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Bestfm\요양원자료\2023년도 추경예산서\"/>
    </mc:Choice>
  </mc:AlternateContent>
  <xr:revisionPtr revIDLastSave="0" documentId="13_ncr:1_{81E3A33C-0BFD-4AF1-8CE7-698906404B89}" xr6:coauthVersionLast="47" xr6:coauthVersionMax="47" xr10:uidLastSave="{00000000-0000-0000-0000-000000000000}"/>
  <bookViews>
    <workbookView xWindow="-120" yWindow="-120" windowWidth="29040" windowHeight="15840" tabRatio="947" firstSheet="6" activeTab="6" xr2:uid="{EB7F46E0-8A97-4D7B-A6F3-4DD95DE58DB3}"/>
  </bookViews>
  <sheets>
    <sheet name="데이터입력" sheetId="1" state="hidden" r:id="rId1"/>
    <sheet name="예산평균" sheetId="15" state="hidden" r:id="rId2"/>
    <sheet name="예산실적비교표" sheetId="2" state="hidden" r:id="rId3"/>
    <sheet name="예산업로드양식" sheetId="10" state="hidden" r:id="rId4"/>
    <sheet name="추경예산업로드양식(희망이음)" sheetId="18" state="hidden" r:id="rId5"/>
    <sheet name="예산작성자료(추경,다음년도)" sheetId="17" state="hidden" r:id="rId6"/>
    <sheet name="표지" sheetId="3" r:id="rId7"/>
    <sheet name="예산총칙" sheetId="4" r:id="rId8"/>
    <sheet name="총괄표" sheetId="5" r:id="rId9"/>
    <sheet name="세입예산서" sheetId="6" r:id="rId10"/>
    <sheet name="세출예산서" sheetId="7" r:id="rId11"/>
    <sheet name="보수일람표" sheetId="8" r:id="rId12"/>
    <sheet name="인건비,생계비현황" sheetId="16" state="hidden" r:id="rId13"/>
    <sheet name="차입금사전신고서" sheetId="9" state="hidden" r:id="rId14"/>
    <sheet name="운영충당적립금 계획서" sheetId="13" state="hidden" r:id="rId15"/>
    <sheet name="시설환경개선준비금 계획서" sheetId="14" state="hidden" r:id="rId16"/>
  </sheets>
  <definedNames>
    <definedName name="_xlnm.Print_Area" localSheetId="11">보수일람표!$A$1:$M$264</definedName>
    <definedName name="_xlnm.Print_Area" localSheetId="9">세입예산서!$A$1:$Y$184</definedName>
    <definedName name="_xlnm.Print_Area" localSheetId="10">세출예산서!$A$1:$Y$305</definedName>
    <definedName name="_xlnm.Print_Area" localSheetId="2">'인건비,생계비현황'!$A$1:$G$43</definedName>
    <definedName name="_xlnm.Print_Area" localSheetId="7">예산총칙!$B$2:$G$24</definedName>
    <definedName name="_xlnm.Print_Area" localSheetId="12">'인건비,생계비현황'!$A$1:$G$44</definedName>
    <definedName name="_xlnm.Print_Area" localSheetId="8">총괄표!$A$1:$N$18</definedName>
    <definedName name="_xlnm.Print_Area" localSheetId="6">표지!$A$2:$C$9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4" i="8" l="1"/>
  <c r="O15" i="8"/>
  <c r="O17" i="8"/>
  <c r="O18" i="8"/>
  <c r="AY64" i="1" l="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48" i="1"/>
  <c r="AY149" i="1"/>
  <c r="AY150" i="1"/>
  <c r="AY151" i="1"/>
  <c r="AY152" i="1"/>
  <c r="AY153" i="1"/>
  <c r="AY154" i="1"/>
  <c r="AY155" i="1"/>
  <c r="AY156" i="1"/>
  <c r="AY157" i="1"/>
  <c r="AY158" i="1"/>
  <c r="AY159" i="1"/>
  <c r="AY160" i="1"/>
  <c r="AY161" i="1"/>
  <c r="AY162" i="1"/>
  <c r="AY163" i="1"/>
  <c r="AY164" i="1"/>
  <c r="AY165" i="1"/>
  <c r="AY166" i="1"/>
  <c r="AY167" i="1"/>
  <c r="AY168" i="1"/>
  <c r="AY169" i="1"/>
  <c r="AY170" i="1"/>
  <c r="AY171" i="1"/>
  <c r="AY172" i="1"/>
  <c r="AY173" i="1"/>
  <c r="AY174"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199" i="1"/>
  <c r="AY200" i="1"/>
  <c r="AY201" i="1"/>
  <c r="AY202" i="1"/>
  <c r="AY203" i="1"/>
  <c r="AY204" i="1"/>
  <c r="AY205" i="1"/>
  <c r="AY206" i="1"/>
  <c r="AY207" i="1"/>
  <c r="AY208" i="1"/>
  <c r="AY209" i="1"/>
  <c r="AY210" i="1"/>
  <c r="AY211" i="1"/>
  <c r="AY212" i="1"/>
  <c r="AY213" i="1"/>
  <c r="AY214" i="1"/>
  <c r="AY215" i="1"/>
  <c r="AY216" i="1"/>
  <c r="AY217" i="1"/>
  <c r="AY218" i="1"/>
  <c r="AY219" i="1"/>
  <c r="AY220" i="1"/>
  <c r="AY221" i="1"/>
  <c r="AY222" i="1"/>
  <c r="AY223" i="1"/>
  <c r="AY224" i="1"/>
  <c r="AY225" i="1"/>
  <c r="AY226" i="1"/>
  <c r="AY227" i="1"/>
  <c r="AY228" i="1"/>
  <c r="AY229" i="1"/>
  <c r="AY230" i="1"/>
  <c r="AY231" i="1"/>
  <c r="AY232" i="1"/>
  <c r="AY233" i="1"/>
  <c r="AY234" i="1"/>
  <c r="AY235" i="1"/>
  <c r="AY236" i="1"/>
  <c r="AY237" i="1"/>
  <c r="AY238" i="1"/>
  <c r="AY239" i="1"/>
  <c r="AY240" i="1"/>
  <c r="AY241" i="1"/>
  <c r="AY242" i="1"/>
  <c r="AY243" i="1"/>
  <c r="AY244" i="1"/>
  <c r="AY245" i="1"/>
  <c r="AY246" i="1"/>
  <c r="AY247" i="1"/>
  <c r="AY248" i="1"/>
  <c r="AY249" i="1"/>
  <c r="AY250" i="1"/>
  <c r="AY251" i="1"/>
  <c r="AY252" i="1"/>
  <c r="AY253" i="1"/>
  <c r="AY254" i="1"/>
  <c r="AY255" i="1"/>
  <c r="AY256" i="1"/>
  <c r="AY257" i="1"/>
  <c r="AY258" i="1"/>
  <c r="AY259" i="1"/>
  <c r="AY260" i="1"/>
  <c r="AY261" i="1"/>
  <c r="AY262" i="1"/>
  <c r="AY6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11"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63"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11" i="1"/>
  <c r="AB8" i="1"/>
  <c r="AF8" i="1"/>
  <c r="AD8" i="1"/>
  <c r="P96" i="1"/>
  <c r="P95" i="1"/>
  <c r="P91" i="1"/>
  <c r="AI1" i="1"/>
  <c r="AE1" i="1"/>
  <c r="AF6" i="1"/>
  <c r="E3" i="16" l="1"/>
  <c r="F9" i="16"/>
  <c r="F8" i="16"/>
  <c r="F11" i="16"/>
  <c r="F7" i="16"/>
  <c r="F10" i="16"/>
  <c r="F6" i="16"/>
  <c r="F5" i="16"/>
  <c r="E3" i="17"/>
  <c r="C7" i="17"/>
  <c r="C8" i="17"/>
  <c r="C9" i="17"/>
  <c r="C10" i="17"/>
  <c r="C11" i="17"/>
  <c r="C12" i="17"/>
  <c r="C6" i="17"/>
  <c r="AE13" i="15"/>
  <c r="AE14" i="15"/>
  <c r="AE15" i="15"/>
  <c r="AE16" i="15"/>
  <c r="AE17" i="15"/>
  <c r="AE18" i="15"/>
  <c r="AE12" i="15"/>
  <c r="Z65" i="1" l="1"/>
  <c r="Z56" i="1"/>
  <c r="C33" i="16"/>
  <c r="C39" i="16" s="1"/>
  <c r="C32" i="16"/>
  <c r="C31" i="16"/>
  <c r="C30" i="16"/>
  <c r="C38" i="16" s="1"/>
  <c r="C12" i="16"/>
  <c r="C11" i="16"/>
  <c r="C10" i="16"/>
  <c r="C9" i="16"/>
  <c r="C8" i="16"/>
  <c r="C7" i="16"/>
  <c r="C6" i="16"/>
  <c r="C5" i="16"/>
  <c r="AD77" i="1"/>
  <c r="L69" i="6" s="1"/>
  <c r="AH82" i="1" s="1"/>
  <c r="AD78" i="1"/>
  <c r="AD76" i="1"/>
  <c r="G66" i="17" s="1"/>
  <c r="G67" i="17"/>
  <c r="G68" i="17"/>
  <c r="P120" i="1"/>
  <c r="AH77" i="1"/>
  <c r="R69" i="6"/>
  <c r="R70" i="6"/>
  <c r="R68" i="6"/>
  <c r="O200" i="7"/>
  <c r="O90" i="7"/>
  <c r="O81" i="7"/>
  <c r="O80" i="7"/>
  <c r="O100" i="7"/>
  <c r="O99" i="7"/>
  <c r="O111" i="7"/>
  <c r="O110" i="7"/>
  <c r="O121" i="7"/>
  <c r="O120" i="7"/>
  <c r="O138" i="7"/>
  <c r="O137" i="7"/>
  <c r="O148" i="7"/>
  <c r="O147" i="7"/>
  <c r="O153" i="7"/>
  <c r="O152" i="7"/>
  <c r="O166" i="7"/>
  <c r="O165" i="7"/>
  <c r="O172" i="7"/>
  <c r="O171" i="7"/>
  <c r="O185" i="7"/>
  <c r="O184" i="7"/>
  <c r="O190" i="7"/>
  <c r="O189" i="7"/>
  <c r="O218" i="7"/>
  <c r="O217" i="7"/>
  <c r="O250" i="7"/>
  <c r="O249" i="7"/>
  <c r="O231" i="7"/>
  <c r="O230" i="7"/>
  <c r="O236" i="7"/>
  <c r="O235" i="7"/>
  <c r="O268" i="7"/>
  <c r="O302" i="7"/>
  <c r="O299" i="7"/>
  <c r="O292" i="7"/>
  <c r="O288" i="7"/>
  <c r="O287" i="7"/>
  <c r="O286" i="7"/>
  <c r="O285" i="7"/>
  <c r="O284" i="7"/>
  <c r="O283" i="7"/>
  <c r="O282" i="7"/>
  <c r="O281" i="7"/>
  <c r="O280" i="7"/>
  <c r="O279" i="7"/>
  <c r="O275" i="7"/>
  <c r="O274" i="7"/>
  <c r="O272" i="7"/>
  <c r="O271" i="7"/>
  <c r="O267" i="7"/>
  <c r="O266" i="7"/>
  <c r="O263" i="7"/>
  <c r="O262" i="7"/>
  <c r="O260" i="7"/>
  <c r="O259" i="7"/>
  <c r="O256" i="7"/>
  <c r="O255" i="7"/>
  <c r="O253" i="7"/>
  <c r="O252" i="7"/>
  <c r="O234" i="7"/>
  <c r="O233" i="7"/>
  <c r="O229" i="7"/>
  <c r="O228" i="7"/>
  <c r="O227" i="7"/>
  <c r="O226" i="7"/>
  <c r="O225" i="7"/>
  <c r="O224" i="7"/>
  <c r="O223" i="7"/>
  <c r="O222" i="7"/>
  <c r="O221" i="7"/>
  <c r="O220" i="7"/>
  <c r="O216" i="7"/>
  <c r="O215" i="7"/>
  <c r="O214" i="7"/>
  <c r="O213" i="7"/>
  <c r="O212" i="7"/>
  <c r="O211" i="7"/>
  <c r="O210" i="7"/>
  <c r="O209" i="7"/>
  <c r="O208" i="7"/>
  <c r="O207" i="7"/>
  <c r="O199" i="7"/>
  <c r="O198" i="7"/>
  <c r="O197" i="7"/>
  <c r="O195" i="7"/>
  <c r="O188" i="7"/>
  <c r="O187" i="7"/>
  <c r="O183" i="7"/>
  <c r="O182" i="7"/>
  <c r="O181" i="7"/>
  <c r="O180" i="7"/>
  <c r="O179" i="7"/>
  <c r="O178" i="7"/>
  <c r="O177" i="7"/>
  <c r="O176" i="7"/>
  <c r="O175" i="7"/>
  <c r="O174" i="7"/>
  <c r="O170" i="7"/>
  <c r="O169" i="7"/>
  <c r="O151" i="7"/>
  <c r="O150" i="7"/>
  <c r="O146" i="7"/>
  <c r="O145" i="7"/>
  <c r="O144" i="7"/>
  <c r="O143" i="7"/>
  <c r="O142" i="7"/>
  <c r="O141" i="7"/>
  <c r="O140" i="7"/>
  <c r="O136" i="7"/>
  <c r="O135" i="7"/>
  <c r="O134" i="7"/>
  <c r="O133" i="7"/>
  <c r="O132" i="7"/>
  <c r="O131" i="7"/>
  <c r="O127" i="7"/>
  <c r="O126" i="7"/>
  <c r="O125" i="7"/>
  <c r="O124" i="7"/>
  <c r="O119" i="7"/>
  <c r="O118" i="7"/>
  <c r="O117" i="7"/>
  <c r="O116" i="7"/>
  <c r="O115" i="7"/>
  <c r="O114" i="7"/>
  <c r="O113" i="7"/>
  <c r="O109" i="7"/>
  <c r="O108" i="7"/>
  <c r="O107" i="7"/>
  <c r="O106" i="7"/>
  <c r="O105" i="7"/>
  <c r="O104" i="7"/>
  <c r="O103" i="7"/>
  <c r="O98" i="7"/>
  <c r="O97" i="7"/>
  <c r="O96" i="7"/>
  <c r="O95" i="7"/>
  <c r="O94" i="7"/>
  <c r="O93" i="7"/>
  <c r="O92" i="7"/>
  <c r="O89" i="7"/>
  <c r="O88" i="7"/>
  <c r="O87" i="7"/>
  <c r="O86" i="7"/>
  <c r="O85" i="7"/>
  <c r="O84" i="7"/>
  <c r="O83" i="7"/>
  <c r="O76" i="7"/>
  <c r="O75" i="7"/>
  <c r="O74" i="7"/>
  <c r="O73" i="7"/>
  <c r="O50" i="7"/>
  <c r="O45" i="7"/>
  <c r="O39" i="7"/>
  <c r="O34" i="7"/>
  <c r="O28" i="7"/>
  <c r="O23" i="7"/>
  <c r="O17" i="7"/>
  <c r="O12" i="7"/>
  <c r="O180" i="6"/>
  <c r="O179" i="6"/>
  <c r="O178" i="6"/>
  <c r="O177" i="6"/>
  <c r="O170" i="6"/>
  <c r="O167" i="6"/>
  <c r="O164" i="6"/>
  <c r="O141" i="6"/>
  <c r="O138" i="6"/>
  <c r="O135" i="6"/>
  <c r="O132" i="6"/>
  <c r="O128" i="6"/>
  <c r="O125" i="6"/>
  <c r="O121" i="6"/>
  <c r="O118" i="6"/>
  <c r="O115" i="6"/>
  <c r="O90" i="6"/>
  <c r="O89" i="6"/>
  <c r="O87" i="6"/>
  <c r="O86" i="6"/>
  <c r="O82" i="6"/>
  <c r="O81" i="6"/>
  <c r="O78" i="6"/>
  <c r="O77" i="6"/>
  <c r="O74" i="6"/>
  <c r="O73" i="6"/>
  <c r="O70" i="6"/>
  <c r="O69" i="6"/>
  <c r="O68" i="6"/>
  <c r="O62" i="6"/>
  <c r="O61" i="6"/>
  <c r="O58" i="6"/>
  <c r="O57" i="6"/>
  <c r="O54" i="6"/>
  <c r="O53" i="6"/>
  <c r="O50" i="6"/>
  <c r="O49" i="6"/>
  <c r="O45" i="6"/>
  <c r="O41" i="6"/>
  <c r="O37" i="6"/>
  <c r="O34" i="6"/>
  <c r="O31" i="6"/>
  <c r="L70" i="6"/>
  <c r="AH83" i="1" s="1"/>
  <c r="L68" i="6"/>
  <c r="AH81" i="1" s="1"/>
  <c r="L205" i="7"/>
  <c r="W205" i="7"/>
  <c r="O11" i="8"/>
  <c r="AS11" i="1"/>
  <c r="AU11" i="1"/>
  <c r="AS63" i="1"/>
  <c r="AU63" i="1"/>
  <c r="C40" i="16" l="1"/>
  <c r="D40" i="16" s="1"/>
  <c r="C22" i="16"/>
  <c r="C15" i="16"/>
  <c r="C16" i="16"/>
  <c r="AZ11" i="1"/>
  <c r="BA11" i="1" s="1"/>
  <c r="BB11" i="1" s="1"/>
  <c r="AV11" i="1" s="1"/>
  <c r="AZ63" i="1"/>
  <c r="C17" i="16" l="1"/>
  <c r="BE21" i="1" l="1"/>
  <c r="AH16" i="1" l="1"/>
  <c r="AD5" i="8"/>
  <c r="Q1" i="8"/>
  <c r="X65" i="1"/>
  <c r="X66" i="1"/>
  <c r="X67" i="1"/>
  <c r="X68" i="1"/>
  <c r="X69" i="1"/>
  <c r="O62" i="8"/>
  <c r="AL64" i="17" s="1"/>
  <c r="AS64" i="1"/>
  <c r="R62" i="8" s="1"/>
  <c r="AU64" i="1"/>
  <c r="T62" i="8" s="1"/>
  <c r="AQ64" i="17" s="1"/>
  <c r="O63" i="8"/>
  <c r="AL65" i="17" s="1"/>
  <c r="Q63" i="8"/>
  <c r="AS65" i="1"/>
  <c r="AU65" i="1"/>
  <c r="P64" i="8"/>
  <c r="AM66" i="17" s="1"/>
  <c r="AS66" i="1"/>
  <c r="R64" i="8" s="1"/>
  <c r="AO66" i="17" s="1"/>
  <c r="AU66" i="1"/>
  <c r="P65" i="8"/>
  <c r="AM67" i="17" s="1"/>
  <c r="Q65" i="8"/>
  <c r="AS67" i="1"/>
  <c r="R65" i="8" s="1"/>
  <c r="AO67" i="17" s="1"/>
  <c r="AU67" i="1"/>
  <c r="T65" i="8" s="1"/>
  <c r="AQ67" i="17" s="1"/>
  <c r="AP68" i="1"/>
  <c r="O66" i="8" s="1"/>
  <c r="AL68" i="17" s="1"/>
  <c r="AQ68" i="1"/>
  <c r="P66" i="8" s="1"/>
  <c r="AM68" i="17" s="1"/>
  <c r="AR68" i="1"/>
  <c r="AS68" i="1"/>
  <c r="R66" i="8" s="1"/>
  <c r="AO68" i="17" s="1"/>
  <c r="AU68" i="1"/>
  <c r="T66" i="8" s="1"/>
  <c r="AQ68" i="17" s="1"/>
  <c r="AP69" i="1"/>
  <c r="O67" i="8" s="1"/>
  <c r="AL69" i="17" s="1"/>
  <c r="AQ69" i="1"/>
  <c r="P67" i="8" s="1"/>
  <c r="AM69" i="17" s="1"/>
  <c r="AR69" i="1"/>
  <c r="AS69" i="1"/>
  <c r="R67" i="8" s="1"/>
  <c r="AO69" i="17" s="1"/>
  <c r="AU69" i="1"/>
  <c r="T67" i="8" s="1"/>
  <c r="AQ69" i="17" s="1"/>
  <c r="AP70" i="1"/>
  <c r="AQ70" i="1"/>
  <c r="AR70" i="1"/>
  <c r="AS70" i="1"/>
  <c r="R68" i="8" s="1"/>
  <c r="AO70" i="17" s="1"/>
  <c r="AU70" i="1"/>
  <c r="T68" i="8" s="1"/>
  <c r="AQ70" i="17" s="1"/>
  <c r="AP71" i="1"/>
  <c r="AQ71" i="1"/>
  <c r="P69" i="8" s="1"/>
  <c r="AR71" i="1"/>
  <c r="Q69" i="8" s="1"/>
  <c r="AS71" i="1"/>
  <c r="AU71" i="1"/>
  <c r="T69" i="8" s="1"/>
  <c r="AP72" i="1"/>
  <c r="O70" i="8" s="1"/>
  <c r="AL72" i="17" s="1"/>
  <c r="AQ72" i="1"/>
  <c r="P70" i="8" s="1"/>
  <c r="AM72" i="17" s="1"/>
  <c r="AR72" i="1"/>
  <c r="Q70" i="8" s="1"/>
  <c r="AS72" i="1"/>
  <c r="AU72" i="1"/>
  <c r="T70" i="8" s="1"/>
  <c r="AQ72" i="17" s="1"/>
  <c r="AP73" i="1"/>
  <c r="O71" i="8" s="1"/>
  <c r="AL73" i="17" s="1"/>
  <c r="AQ73" i="1"/>
  <c r="AR73" i="1"/>
  <c r="AS73" i="1"/>
  <c r="AU73" i="1"/>
  <c r="T71" i="8" s="1"/>
  <c r="AQ73" i="17" s="1"/>
  <c r="AP74" i="1"/>
  <c r="AQ74" i="1"/>
  <c r="P72" i="8" s="1"/>
  <c r="AM74" i="17" s="1"/>
  <c r="AR74" i="1"/>
  <c r="AS74" i="1"/>
  <c r="R72" i="8" s="1"/>
  <c r="AO74" i="17" s="1"/>
  <c r="AU74" i="1"/>
  <c r="T72" i="8" s="1"/>
  <c r="AQ74" i="17" s="1"/>
  <c r="AP75" i="1"/>
  <c r="AQ75" i="1"/>
  <c r="P73" i="8" s="1"/>
  <c r="AM75" i="17" s="1"/>
  <c r="AR75" i="1"/>
  <c r="Q73" i="8" s="1"/>
  <c r="AS75" i="1"/>
  <c r="R73" i="8" s="1"/>
  <c r="AO75" i="17" s="1"/>
  <c r="AU75" i="1"/>
  <c r="AP76" i="1"/>
  <c r="O74" i="8" s="1"/>
  <c r="AL76" i="17" s="1"/>
  <c r="AQ76" i="1"/>
  <c r="P74" i="8" s="1"/>
  <c r="AM76" i="17" s="1"/>
  <c r="AR76" i="1"/>
  <c r="AS76" i="1"/>
  <c r="R74" i="8" s="1"/>
  <c r="AO76" i="17" s="1"/>
  <c r="AU76" i="1"/>
  <c r="T74" i="8" s="1"/>
  <c r="AQ76" i="17" s="1"/>
  <c r="AP77" i="1"/>
  <c r="O75" i="8" s="1"/>
  <c r="AL77" i="17" s="1"/>
  <c r="AQ77" i="1"/>
  <c r="P75" i="8" s="1"/>
  <c r="AM77" i="17" s="1"/>
  <c r="AR77" i="1"/>
  <c r="AS77" i="1"/>
  <c r="AU77" i="1"/>
  <c r="T75" i="8" s="1"/>
  <c r="AQ77" i="17" s="1"/>
  <c r="AP78" i="1"/>
  <c r="AQ78" i="1"/>
  <c r="P76" i="8" s="1"/>
  <c r="AM78" i="17" s="1"/>
  <c r="AR78" i="1"/>
  <c r="AS78" i="1"/>
  <c r="AU78" i="1"/>
  <c r="T76" i="8" s="1"/>
  <c r="AQ78" i="17" s="1"/>
  <c r="AP79" i="1"/>
  <c r="AQ79" i="1"/>
  <c r="P77" i="8" s="1"/>
  <c r="AR79" i="1"/>
  <c r="AS79" i="1"/>
  <c r="AU79" i="1"/>
  <c r="T77" i="8" s="1"/>
  <c r="AP80" i="1"/>
  <c r="O78" i="8" s="1"/>
  <c r="AL80" i="17" s="1"/>
  <c r="AQ80" i="1"/>
  <c r="P78" i="8" s="1"/>
  <c r="AM80" i="17" s="1"/>
  <c r="AR80" i="1"/>
  <c r="Q78" i="8" s="1"/>
  <c r="AS80" i="1"/>
  <c r="AU80" i="1"/>
  <c r="T78" i="8" s="1"/>
  <c r="AQ80" i="17" s="1"/>
  <c r="AP81" i="1"/>
  <c r="O79" i="8" s="1"/>
  <c r="AL81" i="17" s="1"/>
  <c r="AQ81" i="1"/>
  <c r="P79" i="8" s="1"/>
  <c r="AM81" i="17" s="1"/>
  <c r="AR81" i="1"/>
  <c r="AS81" i="1"/>
  <c r="R79" i="8" s="1"/>
  <c r="AO81" i="17" s="1"/>
  <c r="AU81" i="1"/>
  <c r="T79" i="8" s="1"/>
  <c r="AQ81" i="17" s="1"/>
  <c r="AP82" i="1"/>
  <c r="O80" i="8" s="1"/>
  <c r="AL82" i="17" s="1"/>
  <c r="AQ82" i="1"/>
  <c r="P80" i="8" s="1"/>
  <c r="AM82" i="17" s="1"/>
  <c r="AR82" i="1"/>
  <c r="AS82" i="1"/>
  <c r="R80" i="8" s="1"/>
  <c r="AO82" i="17" s="1"/>
  <c r="AU82" i="1"/>
  <c r="T80" i="8" s="1"/>
  <c r="AQ82" i="17" s="1"/>
  <c r="AP83" i="1"/>
  <c r="AQ83" i="1"/>
  <c r="P81" i="8" s="1"/>
  <c r="AM83" i="17" s="1"/>
  <c r="AR83" i="1"/>
  <c r="Q81" i="8" s="1"/>
  <c r="AS83" i="1"/>
  <c r="R81" i="8" s="1"/>
  <c r="AO83" i="17" s="1"/>
  <c r="AU83" i="1"/>
  <c r="AP84" i="1"/>
  <c r="O82" i="8" s="1"/>
  <c r="AL84" i="17" s="1"/>
  <c r="AQ84" i="1"/>
  <c r="P82" i="8" s="1"/>
  <c r="AM84" i="17" s="1"/>
  <c r="AR84" i="1"/>
  <c r="Q82" i="8" s="1"/>
  <c r="AS84" i="1"/>
  <c r="AU84" i="1"/>
  <c r="T82" i="8" s="1"/>
  <c r="AQ84" i="17" s="1"/>
  <c r="AP85" i="1"/>
  <c r="O83" i="8" s="1"/>
  <c r="AL85" i="17" s="1"/>
  <c r="AQ85" i="1"/>
  <c r="AR85" i="1"/>
  <c r="AS85" i="1"/>
  <c r="R83" i="8" s="1"/>
  <c r="AO85" i="17" s="1"/>
  <c r="AU85" i="1"/>
  <c r="T83" i="8" s="1"/>
  <c r="AP86" i="1"/>
  <c r="O84" i="8" s="1"/>
  <c r="AL86" i="17" s="1"/>
  <c r="AQ86" i="1"/>
  <c r="AR86" i="1"/>
  <c r="AS86" i="1"/>
  <c r="AU86" i="1"/>
  <c r="T84" i="8" s="1"/>
  <c r="AQ86" i="17" s="1"/>
  <c r="AP87" i="1"/>
  <c r="AQ87" i="1"/>
  <c r="P85" i="8" s="1"/>
  <c r="AR87" i="1"/>
  <c r="Q85" i="8" s="1"/>
  <c r="AS87" i="1"/>
  <c r="AU87" i="1"/>
  <c r="T85" i="8" s="1"/>
  <c r="AP88" i="1"/>
  <c r="O86" i="8" s="1"/>
  <c r="AL88" i="17" s="1"/>
  <c r="AQ88" i="1"/>
  <c r="P86" i="8" s="1"/>
  <c r="AM88" i="17" s="1"/>
  <c r="AR88" i="1"/>
  <c r="AS88" i="1"/>
  <c r="AU88" i="1"/>
  <c r="T86" i="8" s="1"/>
  <c r="AQ88" i="17" s="1"/>
  <c r="AP89" i="1"/>
  <c r="O87" i="8" s="1"/>
  <c r="AL89" i="17" s="1"/>
  <c r="AQ89" i="1"/>
  <c r="P87" i="8" s="1"/>
  <c r="AM89" i="17" s="1"/>
  <c r="AR89" i="1"/>
  <c r="AS89" i="1"/>
  <c r="AU89" i="1"/>
  <c r="T87" i="8" s="1"/>
  <c r="AQ89" i="17" s="1"/>
  <c r="AP90" i="1"/>
  <c r="O88" i="8" s="1"/>
  <c r="AL90" i="17" s="1"/>
  <c r="AQ90" i="1"/>
  <c r="P88" i="8" s="1"/>
  <c r="AM90" i="17" s="1"/>
  <c r="AR90" i="1"/>
  <c r="AS90" i="1"/>
  <c r="R88" i="8" s="1"/>
  <c r="AO90" i="17" s="1"/>
  <c r="AU90" i="1"/>
  <c r="T88" i="8" s="1"/>
  <c r="AQ90" i="17" s="1"/>
  <c r="AP91" i="1"/>
  <c r="O89" i="8" s="1"/>
  <c r="AL91" i="17" s="1"/>
  <c r="AQ91" i="1"/>
  <c r="P89" i="8" s="1"/>
  <c r="AM91" i="17" s="1"/>
  <c r="AR91" i="1"/>
  <c r="Q89" i="8" s="1"/>
  <c r="AS91" i="1"/>
  <c r="AU91" i="1"/>
  <c r="T89" i="8" s="1"/>
  <c r="AQ91" i="17" s="1"/>
  <c r="AP92" i="1"/>
  <c r="O90" i="8" s="1"/>
  <c r="AL92" i="17" s="1"/>
  <c r="AQ92" i="1"/>
  <c r="P90" i="8" s="1"/>
  <c r="AM92" i="17" s="1"/>
  <c r="AR92" i="1"/>
  <c r="AS92" i="1"/>
  <c r="R90" i="8" s="1"/>
  <c r="AO92" i="17" s="1"/>
  <c r="AU92" i="1"/>
  <c r="T90" i="8" s="1"/>
  <c r="AQ92" i="17" s="1"/>
  <c r="AP93" i="1"/>
  <c r="O91" i="8" s="1"/>
  <c r="AL93" i="17" s="1"/>
  <c r="AQ93" i="1"/>
  <c r="AR93" i="1"/>
  <c r="AS93" i="1"/>
  <c r="R91" i="8" s="1"/>
  <c r="AO93" i="17" s="1"/>
  <c r="AU93" i="1"/>
  <c r="T91" i="8" s="1"/>
  <c r="AQ93" i="17" s="1"/>
  <c r="AP94" i="1"/>
  <c r="O92" i="8" s="1"/>
  <c r="AL94" i="17" s="1"/>
  <c r="AQ94" i="1"/>
  <c r="AR94" i="1"/>
  <c r="AS94" i="1"/>
  <c r="AU94" i="1"/>
  <c r="T92" i="8" s="1"/>
  <c r="AQ94" i="17" s="1"/>
  <c r="AP95" i="1"/>
  <c r="AQ95" i="1"/>
  <c r="P93" i="8" s="1"/>
  <c r="AR95" i="1"/>
  <c r="Q93" i="8" s="1"/>
  <c r="AS95" i="1"/>
  <c r="AU95" i="1"/>
  <c r="AP96" i="1"/>
  <c r="O94" i="8" s="1"/>
  <c r="AL96" i="17" s="1"/>
  <c r="AQ96" i="1"/>
  <c r="P94" i="8" s="1"/>
  <c r="AM96" i="17" s="1"/>
  <c r="AR96" i="1"/>
  <c r="AS96" i="1"/>
  <c r="AU96" i="1"/>
  <c r="T94" i="8" s="1"/>
  <c r="AQ96" i="17" s="1"/>
  <c r="AP97" i="1"/>
  <c r="O95" i="8" s="1"/>
  <c r="AL97" i="17" s="1"/>
  <c r="AQ97" i="1"/>
  <c r="AR97" i="1"/>
  <c r="AS97" i="1"/>
  <c r="R95" i="8" s="1"/>
  <c r="AO97" i="17" s="1"/>
  <c r="AU97" i="1"/>
  <c r="T95" i="8" s="1"/>
  <c r="AQ97" i="17" s="1"/>
  <c r="AP98" i="1"/>
  <c r="O96" i="8" s="1"/>
  <c r="AL98" i="17" s="1"/>
  <c r="AQ98" i="1"/>
  <c r="AR98" i="1"/>
  <c r="AS98" i="1"/>
  <c r="R96" i="8" s="1"/>
  <c r="AO98" i="17" s="1"/>
  <c r="AU98" i="1"/>
  <c r="T96" i="8" s="1"/>
  <c r="AQ98" i="17" s="1"/>
  <c r="AP99" i="1"/>
  <c r="AQ99" i="1"/>
  <c r="P97" i="8" s="1"/>
  <c r="AM99" i="17" s="1"/>
  <c r="AR99" i="1"/>
  <c r="Q97" i="8" s="1"/>
  <c r="AS99" i="1"/>
  <c r="AU99" i="1"/>
  <c r="AP100" i="1"/>
  <c r="O98" i="8" s="1"/>
  <c r="AL100" i="17" s="1"/>
  <c r="AQ100" i="1"/>
  <c r="P98" i="8" s="1"/>
  <c r="AM100" i="17" s="1"/>
  <c r="AR100" i="1"/>
  <c r="Q98" i="8" s="1"/>
  <c r="AS100" i="1"/>
  <c r="R98" i="8" s="1"/>
  <c r="AO100" i="17" s="1"/>
  <c r="AU100" i="1"/>
  <c r="T98" i="8" s="1"/>
  <c r="AQ100" i="17" s="1"/>
  <c r="AP101" i="1"/>
  <c r="O99" i="8" s="1"/>
  <c r="AL101" i="17" s="1"/>
  <c r="AQ101" i="1"/>
  <c r="P99" i="8" s="1"/>
  <c r="AM101" i="17" s="1"/>
  <c r="AR101" i="1"/>
  <c r="AS101" i="1"/>
  <c r="R99" i="8" s="1"/>
  <c r="AO101" i="17" s="1"/>
  <c r="AU101" i="1"/>
  <c r="T99" i="8" s="1"/>
  <c r="AQ101" i="17" s="1"/>
  <c r="AP102" i="1"/>
  <c r="AQ102" i="1"/>
  <c r="AR102" i="1"/>
  <c r="AS102" i="1"/>
  <c r="AU102" i="1"/>
  <c r="AP103" i="1"/>
  <c r="O101" i="8" s="1"/>
  <c r="AL103" i="17" s="1"/>
  <c r="AQ103" i="1"/>
  <c r="P101" i="8" s="1"/>
  <c r="AR103" i="1"/>
  <c r="Q101" i="8" s="1"/>
  <c r="AS103" i="1"/>
  <c r="AU103" i="1"/>
  <c r="T101" i="8" s="1"/>
  <c r="AP104" i="1"/>
  <c r="O102" i="8" s="1"/>
  <c r="AL104" i="17" s="1"/>
  <c r="AQ104" i="1"/>
  <c r="AR104" i="1"/>
  <c r="AS104" i="1"/>
  <c r="AU104" i="1"/>
  <c r="T102" i="8" s="1"/>
  <c r="AQ104" i="17" s="1"/>
  <c r="AP105" i="1"/>
  <c r="O103" i="8" s="1"/>
  <c r="AL105" i="17" s="1"/>
  <c r="AQ105" i="1"/>
  <c r="AR105" i="1"/>
  <c r="AS105" i="1"/>
  <c r="R103" i="8" s="1"/>
  <c r="AO105" i="17" s="1"/>
  <c r="AU105" i="1"/>
  <c r="T103" i="8" s="1"/>
  <c r="AQ105" i="17" s="1"/>
  <c r="AP106" i="1"/>
  <c r="AQ106" i="1"/>
  <c r="AR106" i="1"/>
  <c r="AS106" i="1"/>
  <c r="R104" i="8" s="1"/>
  <c r="AO106" i="17" s="1"/>
  <c r="AU106" i="1"/>
  <c r="T104" i="8" s="1"/>
  <c r="AQ106" i="17" s="1"/>
  <c r="AP107" i="1"/>
  <c r="O105" i="8" s="1"/>
  <c r="AL107" i="17" s="1"/>
  <c r="AQ107" i="1"/>
  <c r="P105" i="8" s="1"/>
  <c r="AM107" i="17" s="1"/>
  <c r="AR107" i="1"/>
  <c r="Q105" i="8" s="1"/>
  <c r="AS107" i="1"/>
  <c r="R105" i="8" s="1"/>
  <c r="AO107" i="17" s="1"/>
  <c r="AU107" i="1"/>
  <c r="T105" i="8" s="1"/>
  <c r="AQ107" i="17" s="1"/>
  <c r="AP108" i="1"/>
  <c r="O106" i="8" s="1"/>
  <c r="AL108" i="17" s="1"/>
  <c r="AQ108" i="1"/>
  <c r="P106" i="8" s="1"/>
  <c r="AM108" i="17" s="1"/>
  <c r="AR108" i="1"/>
  <c r="Q106" i="8" s="1"/>
  <c r="AS108" i="1"/>
  <c r="R106" i="8" s="1"/>
  <c r="AO108" i="17" s="1"/>
  <c r="AU108" i="1"/>
  <c r="T106" i="8" s="1"/>
  <c r="AQ108" i="17" s="1"/>
  <c r="AP109" i="1"/>
  <c r="O107" i="8" s="1"/>
  <c r="AL109" i="17" s="1"/>
  <c r="AQ109" i="1"/>
  <c r="P107" i="8" s="1"/>
  <c r="AM109" i="17" s="1"/>
  <c r="AR109" i="1"/>
  <c r="AS109" i="1"/>
  <c r="R107" i="8" s="1"/>
  <c r="AO109" i="17" s="1"/>
  <c r="AU109" i="1"/>
  <c r="T107" i="8" s="1"/>
  <c r="AQ109" i="17" s="1"/>
  <c r="AP110" i="1"/>
  <c r="AQ110" i="1"/>
  <c r="P108" i="8" s="1"/>
  <c r="AM110" i="17" s="1"/>
  <c r="AR110" i="1"/>
  <c r="AS110" i="1"/>
  <c r="R108" i="8" s="1"/>
  <c r="AO110" i="17" s="1"/>
  <c r="AU110" i="1"/>
  <c r="T108" i="8" s="1"/>
  <c r="AQ110" i="17" s="1"/>
  <c r="AP111" i="1"/>
  <c r="O109" i="8" s="1"/>
  <c r="AL111" i="17" s="1"/>
  <c r="AQ111" i="1"/>
  <c r="P109" i="8" s="1"/>
  <c r="AR111" i="1"/>
  <c r="Q109" i="8" s="1"/>
  <c r="AS111" i="1"/>
  <c r="AU111" i="1"/>
  <c r="T109" i="8" s="1"/>
  <c r="AP112" i="1"/>
  <c r="O110" i="8" s="1"/>
  <c r="AL112" i="17" s="1"/>
  <c r="AQ112" i="1"/>
  <c r="P110" i="8" s="1"/>
  <c r="AM112" i="17" s="1"/>
  <c r="AR112" i="1"/>
  <c r="AS112" i="1"/>
  <c r="AU112" i="1"/>
  <c r="T110" i="8" s="1"/>
  <c r="AQ112" i="17" s="1"/>
  <c r="AP113" i="1"/>
  <c r="O111" i="8" s="1"/>
  <c r="AL113" i="17" s="1"/>
  <c r="AQ113" i="1"/>
  <c r="P111" i="8" s="1"/>
  <c r="AM113" i="17" s="1"/>
  <c r="AR113" i="1"/>
  <c r="AS113" i="1"/>
  <c r="R111" i="8" s="1"/>
  <c r="AO113" i="17" s="1"/>
  <c r="AU113" i="1"/>
  <c r="T111" i="8" s="1"/>
  <c r="AQ113" i="17" s="1"/>
  <c r="AP114" i="1"/>
  <c r="AQ114" i="1"/>
  <c r="P112" i="8" s="1"/>
  <c r="AM114" i="17" s="1"/>
  <c r="AR114" i="1"/>
  <c r="AS114" i="1"/>
  <c r="R112" i="8" s="1"/>
  <c r="AO114" i="17" s="1"/>
  <c r="AU114" i="1"/>
  <c r="T112" i="8" s="1"/>
  <c r="AQ114" i="17" s="1"/>
  <c r="AP115" i="1"/>
  <c r="O113" i="8" s="1"/>
  <c r="AL115" i="17" s="1"/>
  <c r="AQ115" i="1"/>
  <c r="P113" i="8" s="1"/>
  <c r="AM115" i="17" s="1"/>
  <c r="AR115" i="1"/>
  <c r="Q113" i="8" s="1"/>
  <c r="AS115" i="1"/>
  <c r="AU115" i="1"/>
  <c r="T113" i="8" s="1"/>
  <c r="AQ115" i="17" s="1"/>
  <c r="AP116" i="1"/>
  <c r="O114" i="8" s="1"/>
  <c r="AL116" i="17" s="1"/>
  <c r="AQ116" i="1"/>
  <c r="P114" i="8" s="1"/>
  <c r="AM116" i="17" s="1"/>
  <c r="AR116" i="1"/>
  <c r="AS116" i="1"/>
  <c r="R114" i="8" s="1"/>
  <c r="AO116" i="17" s="1"/>
  <c r="AU116" i="1"/>
  <c r="T114" i="8" s="1"/>
  <c r="AQ116" i="17" s="1"/>
  <c r="AP117" i="1"/>
  <c r="O115" i="8" s="1"/>
  <c r="AL117" i="17" s="1"/>
  <c r="AQ117" i="1"/>
  <c r="P115" i="8" s="1"/>
  <c r="AM117" i="17" s="1"/>
  <c r="AR117" i="1"/>
  <c r="AS117" i="1"/>
  <c r="R115" i="8" s="1"/>
  <c r="AO117" i="17" s="1"/>
  <c r="AU117" i="1"/>
  <c r="T115" i="8" s="1"/>
  <c r="AQ117" i="17" s="1"/>
  <c r="AP118" i="1"/>
  <c r="AQ118" i="1"/>
  <c r="P116" i="8" s="1"/>
  <c r="AM118" i="17" s="1"/>
  <c r="AR118" i="1"/>
  <c r="AS118" i="1"/>
  <c r="R116" i="8" s="1"/>
  <c r="AO118" i="17" s="1"/>
  <c r="AU118" i="1"/>
  <c r="T116" i="8" s="1"/>
  <c r="AQ118" i="17" s="1"/>
  <c r="AP119" i="1"/>
  <c r="O117" i="8" s="1"/>
  <c r="AL119" i="17" s="1"/>
  <c r="AQ119" i="1"/>
  <c r="P117" i="8" s="1"/>
  <c r="AR119" i="1"/>
  <c r="AS119" i="1"/>
  <c r="AU119" i="1"/>
  <c r="T117" i="8" s="1"/>
  <c r="AP120" i="1"/>
  <c r="O118" i="8" s="1"/>
  <c r="AL120" i="17" s="1"/>
  <c r="AQ120" i="1"/>
  <c r="P118" i="8" s="1"/>
  <c r="AM120" i="17" s="1"/>
  <c r="AR120" i="1"/>
  <c r="AS120" i="1"/>
  <c r="AU120" i="1"/>
  <c r="T118" i="8" s="1"/>
  <c r="AQ120" i="17" s="1"/>
  <c r="AP121" i="1"/>
  <c r="O119" i="8" s="1"/>
  <c r="AL121" i="17" s="1"/>
  <c r="AQ121" i="1"/>
  <c r="P119" i="8" s="1"/>
  <c r="AM121" i="17" s="1"/>
  <c r="AR121" i="1"/>
  <c r="AS121" i="1"/>
  <c r="R119" i="8" s="1"/>
  <c r="AO121" i="17" s="1"/>
  <c r="AU121" i="1"/>
  <c r="T119" i="8" s="1"/>
  <c r="AQ121" i="17" s="1"/>
  <c r="AP122" i="1"/>
  <c r="O120" i="8" s="1"/>
  <c r="AL122" i="17" s="1"/>
  <c r="AQ122" i="1"/>
  <c r="P120" i="8" s="1"/>
  <c r="AM122" i="17" s="1"/>
  <c r="AR122" i="1"/>
  <c r="AS122" i="1"/>
  <c r="R120" i="8" s="1"/>
  <c r="AO122" i="17" s="1"/>
  <c r="AU122" i="1"/>
  <c r="AP123" i="1"/>
  <c r="O121" i="8" s="1"/>
  <c r="AL123" i="17" s="1"/>
  <c r="AQ123" i="1"/>
  <c r="P121" i="8" s="1"/>
  <c r="AM123" i="17" s="1"/>
  <c r="AR123" i="1"/>
  <c r="AS123" i="1"/>
  <c r="AU123" i="1"/>
  <c r="T121" i="8" s="1"/>
  <c r="AQ123" i="17" s="1"/>
  <c r="AP124" i="1"/>
  <c r="O122" i="8" s="1"/>
  <c r="AL124" i="17" s="1"/>
  <c r="AQ124" i="1"/>
  <c r="P122" i="8" s="1"/>
  <c r="AM124" i="17" s="1"/>
  <c r="AR124" i="1"/>
  <c r="Q122" i="8" s="1"/>
  <c r="AS124" i="1"/>
  <c r="AU124" i="1"/>
  <c r="T122" i="8" s="1"/>
  <c r="AQ124" i="17" s="1"/>
  <c r="AP125" i="1"/>
  <c r="O123" i="8" s="1"/>
  <c r="AL125" i="17" s="1"/>
  <c r="AQ125" i="1"/>
  <c r="P123" i="8" s="1"/>
  <c r="AM125" i="17" s="1"/>
  <c r="AR125" i="1"/>
  <c r="AS125" i="1"/>
  <c r="AU125" i="1"/>
  <c r="T123" i="8" s="1"/>
  <c r="AQ125" i="17" s="1"/>
  <c r="AP126" i="1"/>
  <c r="AQ126" i="1"/>
  <c r="P124" i="8" s="1"/>
  <c r="AM126" i="17" s="1"/>
  <c r="AR126" i="1"/>
  <c r="AS126" i="1"/>
  <c r="R124" i="8" s="1"/>
  <c r="AO126" i="17" s="1"/>
  <c r="AU126" i="1"/>
  <c r="T124" i="8" s="1"/>
  <c r="AQ126" i="17" s="1"/>
  <c r="AP127" i="1"/>
  <c r="O125" i="8" s="1"/>
  <c r="AL127" i="17" s="1"/>
  <c r="AQ127" i="1"/>
  <c r="AR127" i="1"/>
  <c r="Q125" i="8" s="1"/>
  <c r="AS127" i="1"/>
  <c r="R125" i="8" s="1"/>
  <c r="AO127" i="17" s="1"/>
  <c r="AU127" i="1"/>
  <c r="AP128" i="1"/>
  <c r="O126" i="8" s="1"/>
  <c r="AL128" i="17" s="1"/>
  <c r="AQ128" i="1"/>
  <c r="P126" i="8" s="1"/>
  <c r="AM128" i="17" s="1"/>
  <c r="AR128" i="1"/>
  <c r="Q126" i="8" s="1"/>
  <c r="AS128" i="1"/>
  <c r="AU128" i="1"/>
  <c r="T126" i="8" s="1"/>
  <c r="AQ128" i="17" s="1"/>
  <c r="AP129" i="1"/>
  <c r="O127" i="8" s="1"/>
  <c r="AL129" i="17" s="1"/>
  <c r="AQ129" i="1"/>
  <c r="P127" i="8" s="1"/>
  <c r="AM129" i="17" s="1"/>
  <c r="AR129" i="1"/>
  <c r="AS129" i="1"/>
  <c r="AU129" i="1"/>
  <c r="T127" i="8" s="1"/>
  <c r="AQ129" i="17" s="1"/>
  <c r="AP130" i="1"/>
  <c r="O128" i="8" s="1"/>
  <c r="AL130" i="17" s="1"/>
  <c r="AQ130" i="1"/>
  <c r="P128" i="8" s="1"/>
  <c r="AM130" i="17" s="1"/>
  <c r="AR130" i="1"/>
  <c r="AS130" i="1"/>
  <c r="R128" i="8" s="1"/>
  <c r="AO130" i="17" s="1"/>
  <c r="AU130" i="1"/>
  <c r="AP131" i="1"/>
  <c r="O129" i="8" s="1"/>
  <c r="AL131" i="17" s="1"/>
  <c r="AQ131" i="1"/>
  <c r="P129" i="8" s="1"/>
  <c r="AM131" i="17" s="1"/>
  <c r="AR131" i="1"/>
  <c r="AS131" i="1"/>
  <c r="R129" i="8" s="1"/>
  <c r="AO131" i="17" s="1"/>
  <c r="AU131" i="1"/>
  <c r="T129" i="8" s="1"/>
  <c r="AQ131" i="17" s="1"/>
  <c r="AP132" i="1"/>
  <c r="O130" i="8" s="1"/>
  <c r="AL132" i="17" s="1"/>
  <c r="AQ132" i="1"/>
  <c r="P130" i="8" s="1"/>
  <c r="AM132" i="17" s="1"/>
  <c r="AR132" i="1"/>
  <c r="Q130" i="8" s="1"/>
  <c r="AS132" i="1"/>
  <c r="R130" i="8" s="1"/>
  <c r="AO132" i="17" s="1"/>
  <c r="AU132" i="1"/>
  <c r="T130" i="8" s="1"/>
  <c r="AQ132" i="17" s="1"/>
  <c r="AP133" i="1"/>
  <c r="AQ133" i="1"/>
  <c r="P131" i="8" s="1"/>
  <c r="AM133" i="17" s="1"/>
  <c r="AR133" i="1"/>
  <c r="AS133" i="1"/>
  <c r="AU133" i="1"/>
  <c r="T131" i="8" s="1"/>
  <c r="AQ133" i="17" s="1"/>
  <c r="AP134" i="1"/>
  <c r="O132" i="8" s="1"/>
  <c r="AL134" i="17" s="1"/>
  <c r="AQ134" i="1"/>
  <c r="P132" i="8" s="1"/>
  <c r="AM134" i="17" s="1"/>
  <c r="AR134" i="1"/>
  <c r="Q132" i="8" s="1"/>
  <c r="AS134" i="1"/>
  <c r="R132" i="8" s="1"/>
  <c r="AO134" i="17" s="1"/>
  <c r="AU134" i="1"/>
  <c r="T132" i="8" s="1"/>
  <c r="AQ134" i="17" s="1"/>
  <c r="AP135" i="1"/>
  <c r="O133" i="8" s="1"/>
  <c r="AL135" i="17" s="1"/>
  <c r="AQ135" i="1"/>
  <c r="P133" i="8" s="1"/>
  <c r="AR135" i="1"/>
  <c r="Q133" i="8" s="1"/>
  <c r="AS135" i="1"/>
  <c r="R133" i="8" s="1"/>
  <c r="AO135" i="17" s="1"/>
  <c r="AU135" i="1"/>
  <c r="T133" i="8" s="1"/>
  <c r="AP136" i="1"/>
  <c r="AQ136" i="1"/>
  <c r="P134" i="8" s="1"/>
  <c r="AM136" i="17" s="1"/>
  <c r="AR136" i="1"/>
  <c r="Q134" i="8" s="1"/>
  <c r="AS136" i="1"/>
  <c r="AU136" i="1"/>
  <c r="T134" i="8" s="1"/>
  <c r="AQ136" i="17" s="1"/>
  <c r="AP137" i="1"/>
  <c r="O135" i="8" s="1"/>
  <c r="AL137" i="17" s="1"/>
  <c r="AQ137" i="1"/>
  <c r="P135" i="8" s="1"/>
  <c r="AM137" i="17" s="1"/>
  <c r="AR137" i="1"/>
  <c r="Q135" i="8" s="1"/>
  <c r="AS137" i="1"/>
  <c r="R135" i="8" s="1"/>
  <c r="AO137" i="17" s="1"/>
  <c r="AU137" i="1"/>
  <c r="T135" i="8" s="1"/>
  <c r="AQ137" i="17" s="1"/>
  <c r="AP138" i="1"/>
  <c r="O136" i="8" s="1"/>
  <c r="AL138" i="17" s="1"/>
  <c r="AQ138" i="1"/>
  <c r="P136" i="8" s="1"/>
  <c r="AM138" i="17" s="1"/>
  <c r="AR138" i="1"/>
  <c r="AS138" i="1"/>
  <c r="R136" i="8" s="1"/>
  <c r="AO138" i="17" s="1"/>
  <c r="AU138" i="1"/>
  <c r="T136" i="8" s="1"/>
  <c r="AQ138" i="17" s="1"/>
  <c r="AP139" i="1"/>
  <c r="O137" i="8" s="1"/>
  <c r="AL139" i="17" s="1"/>
  <c r="AQ139" i="1"/>
  <c r="P137" i="8" s="1"/>
  <c r="AM139" i="17" s="1"/>
  <c r="AR139" i="1"/>
  <c r="Q137" i="8" s="1"/>
  <c r="AS139" i="1"/>
  <c r="AU139" i="1"/>
  <c r="AP140" i="1"/>
  <c r="O138" i="8" s="1"/>
  <c r="AL140" i="17" s="1"/>
  <c r="AQ140" i="1"/>
  <c r="P138" i="8" s="1"/>
  <c r="AM140" i="17" s="1"/>
  <c r="AR140" i="1"/>
  <c r="Q138" i="8" s="1"/>
  <c r="AS140" i="1"/>
  <c r="AU140" i="1"/>
  <c r="T138" i="8" s="1"/>
  <c r="AQ140" i="17" s="1"/>
  <c r="AP141" i="1"/>
  <c r="O139" i="8" s="1"/>
  <c r="AL141" i="17" s="1"/>
  <c r="AQ141" i="1"/>
  <c r="P139" i="8" s="1"/>
  <c r="AM141" i="17" s="1"/>
  <c r="AR141" i="1"/>
  <c r="AS141" i="1"/>
  <c r="R139" i="8" s="1"/>
  <c r="AO141" i="17" s="1"/>
  <c r="AU141" i="1"/>
  <c r="T139" i="8" s="1"/>
  <c r="AP142" i="1"/>
  <c r="O140" i="8" s="1"/>
  <c r="AL142" i="17" s="1"/>
  <c r="AQ142" i="1"/>
  <c r="P140" i="8" s="1"/>
  <c r="AM142" i="17" s="1"/>
  <c r="AR142" i="1"/>
  <c r="AS142" i="1"/>
  <c r="R140" i="8" s="1"/>
  <c r="AO142" i="17" s="1"/>
  <c r="AU142" i="1"/>
  <c r="T140" i="8" s="1"/>
  <c r="AQ142" i="17" s="1"/>
  <c r="AP143" i="1"/>
  <c r="AQ143" i="1"/>
  <c r="P141" i="8" s="1"/>
  <c r="AR143" i="1"/>
  <c r="Q141" i="8" s="1"/>
  <c r="AS143" i="1"/>
  <c r="R141" i="8" s="1"/>
  <c r="AO143" i="17" s="1"/>
  <c r="AU143" i="1"/>
  <c r="AP144" i="1"/>
  <c r="O142" i="8" s="1"/>
  <c r="AL144" i="17" s="1"/>
  <c r="AQ144" i="1"/>
  <c r="P142" i="8" s="1"/>
  <c r="AM144" i="17" s="1"/>
  <c r="AR144" i="1"/>
  <c r="Q142" i="8" s="1"/>
  <c r="AS144" i="1"/>
  <c r="AU144" i="1"/>
  <c r="T142" i="8" s="1"/>
  <c r="AQ144" i="17" s="1"/>
  <c r="AP145" i="1"/>
  <c r="O143" i="8" s="1"/>
  <c r="AL145" i="17" s="1"/>
  <c r="AQ145" i="1"/>
  <c r="P143" i="8" s="1"/>
  <c r="AM145" i="17" s="1"/>
  <c r="AR145" i="1"/>
  <c r="AS145" i="1"/>
  <c r="AU145" i="1"/>
  <c r="T143" i="8" s="1"/>
  <c r="AQ145" i="17" s="1"/>
  <c r="AP146" i="1"/>
  <c r="O144" i="8" s="1"/>
  <c r="AL146" i="17" s="1"/>
  <c r="AQ146" i="1"/>
  <c r="P144" i="8" s="1"/>
  <c r="AM146" i="17" s="1"/>
  <c r="AR146" i="1"/>
  <c r="AS146" i="1"/>
  <c r="R144" i="8" s="1"/>
  <c r="AO146" i="17" s="1"/>
  <c r="AU146" i="1"/>
  <c r="AP147" i="1"/>
  <c r="O145" i="8" s="1"/>
  <c r="AL147" i="17" s="1"/>
  <c r="AQ147" i="1"/>
  <c r="P145" i="8" s="1"/>
  <c r="AM147" i="17" s="1"/>
  <c r="AR147" i="1"/>
  <c r="Q145" i="8" s="1"/>
  <c r="AS147" i="1"/>
  <c r="AU147" i="1"/>
  <c r="T145" i="8" s="1"/>
  <c r="AQ147" i="17" s="1"/>
  <c r="AP148" i="1"/>
  <c r="O146" i="8" s="1"/>
  <c r="AL148" i="17" s="1"/>
  <c r="AQ148" i="1"/>
  <c r="P146" i="8" s="1"/>
  <c r="AM148" i="17" s="1"/>
  <c r="AR148" i="1"/>
  <c r="AS148" i="1"/>
  <c r="R146" i="8" s="1"/>
  <c r="AO148" i="17" s="1"/>
  <c r="AU148" i="1"/>
  <c r="T146" i="8" s="1"/>
  <c r="AQ148" i="17" s="1"/>
  <c r="AP149" i="1"/>
  <c r="AQ149" i="1"/>
  <c r="P147" i="8" s="1"/>
  <c r="AM149" i="17" s="1"/>
  <c r="AR149" i="1"/>
  <c r="AS149" i="1"/>
  <c r="AU149" i="1"/>
  <c r="T147" i="8" s="1"/>
  <c r="AQ149" i="17" s="1"/>
  <c r="AP150" i="1"/>
  <c r="AQ150" i="1"/>
  <c r="P148" i="8" s="1"/>
  <c r="AM150" i="17" s="1"/>
  <c r="AR150" i="1"/>
  <c r="Q148" i="8" s="1"/>
  <c r="AS150" i="1"/>
  <c r="R148" i="8" s="1"/>
  <c r="AO150" i="17" s="1"/>
  <c r="AU150" i="1"/>
  <c r="AP151" i="1"/>
  <c r="O149" i="8" s="1"/>
  <c r="AL151" i="17" s="1"/>
  <c r="AQ151" i="1"/>
  <c r="P149" i="8" s="1"/>
  <c r="AR151" i="1"/>
  <c r="AS151" i="1"/>
  <c r="AU151" i="1"/>
  <c r="T149" i="8" s="1"/>
  <c r="AP152" i="1"/>
  <c r="O150" i="8" s="1"/>
  <c r="AL152" i="17" s="1"/>
  <c r="AQ152" i="1"/>
  <c r="P150" i="8" s="1"/>
  <c r="AM152" i="17" s="1"/>
  <c r="AR152" i="1"/>
  <c r="AS152" i="1"/>
  <c r="AU152" i="1"/>
  <c r="T150" i="8" s="1"/>
  <c r="AQ152" i="17" s="1"/>
  <c r="AP153" i="1"/>
  <c r="O151" i="8" s="1"/>
  <c r="AL153" i="17" s="1"/>
  <c r="AQ153" i="1"/>
  <c r="AR153" i="1"/>
  <c r="Q151" i="8" s="1"/>
  <c r="AS153" i="1"/>
  <c r="R151" i="8" s="1"/>
  <c r="AO153" i="17" s="1"/>
  <c r="AU153" i="1"/>
  <c r="T151" i="8" s="1"/>
  <c r="AQ153" i="17" s="1"/>
  <c r="AP154" i="1"/>
  <c r="AQ154" i="1"/>
  <c r="P152" i="8" s="1"/>
  <c r="AM154" i="17" s="1"/>
  <c r="AR154" i="1"/>
  <c r="AS154" i="1"/>
  <c r="R152" i="8" s="1"/>
  <c r="AO154" i="17" s="1"/>
  <c r="AU154" i="1"/>
  <c r="AP155" i="1"/>
  <c r="O153" i="8" s="1"/>
  <c r="AL155" i="17" s="1"/>
  <c r="AQ155" i="1"/>
  <c r="P153" i="8" s="1"/>
  <c r="AM155" i="17" s="1"/>
  <c r="AR155" i="1"/>
  <c r="AS155" i="1"/>
  <c r="AU155" i="1"/>
  <c r="T153" i="8" s="1"/>
  <c r="AQ155" i="17" s="1"/>
  <c r="AP156" i="1"/>
  <c r="O154" i="8" s="1"/>
  <c r="AL156" i="17" s="1"/>
  <c r="AQ156" i="1"/>
  <c r="P154" i="8" s="1"/>
  <c r="AM156" i="17" s="1"/>
  <c r="AR156" i="1"/>
  <c r="AS156" i="1"/>
  <c r="AU156" i="1"/>
  <c r="T154" i="8" s="1"/>
  <c r="AQ156" i="17" s="1"/>
  <c r="AP157" i="1"/>
  <c r="AQ157" i="1"/>
  <c r="AR157" i="1"/>
  <c r="AS157" i="1"/>
  <c r="R155" i="8" s="1"/>
  <c r="AO157" i="17" s="1"/>
  <c r="AU157" i="1"/>
  <c r="T155" i="8" s="1"/>
  <c r="AQ157" i="17" s="1"/>
  <c r="AP158" i="1"/>
  <c r="AQ158" i="1"/>
  <c r="P156" i="8" s="1"/>
  <c r="AM158" i="17" s="1"/>
  <c r="AR158" i="1"/>
  <c r="AS158" i="1"/>
  <c r="R156" i="8" s="1"/>
  <c r="AO158" i="17" s="1"/>
  <c r="AU158" i="1"/>
  <c r="AP159" i="1"/>
  <c r="O157" i="8" s="1"/>
  <c r="AL159" i="17" s="1"/>
  <c r="AQ159" i="1"/>
  <c r="P157" i="8" s="1"/>
  <c r="AR159" i="1"/>
  <c r="Q157" i="8" s="1"/>
  <c r="AS159" i="1"/>
  <c r="AU159" i="1"/>
  <c r="T157" i="8" s="1"/>
  <c r="AP160" i="1"/>
  <c r="O158" i="8" s="1"/>
  <c r="AL160" i="17" s="1"/>
  <c r="AQ160" i="1"/>
  <c r="P158" i="8" s="1"/>
  <c r="AM160" i="17" s="1"/>
  <c r="AR160" i="1"/>
  <c r="AS160" i="1"/>
  <c r="AU160" i="1"/>
  <c r="T158" i="8" s="1"/>
  <c r="AQ160" i="17" s="1"/>
  <c r="AP161" i="1"/>
  <c r="O159" i="8" s="1"/>
  <c r="AL161" i="17" s="1"/>
  <c r="AQ161" i="1"/>
  <c r="P159" i="8" s="1"/>
  <c r="AM161" i="17" s="1"/>
  <c r="AR161" i="1"/>
  <c r="Q159" i="8" s="1"/>
  <c r="AS161" i="1"/>
  <c r="AU161" i="1"/>
  <c r="T159" i="8" s="1"/>
  <c r="AQ161" i="17" s="1"/>
  <c r="AP162" i="1"/>
  <c r="AQ162" i="1"/>
  <c r="P160" i="8" s="1"/>
  <c r="AM162" i="17" s="1"/>
  <c r="AR162" i="1"/>
  <c r="AS162" i="1"/>
  <c r="R160" i="8" s="1"/>
  <c r="AO162" i="17" s="1"/>
  <c r="AU162" i="1"/>
  <c r="AP163" i="1"/>
  <c r="O161" i="8" s="1"/>
  <c r="AL163" i="17" s="1"/>
  <c r="AQ163" i="1"/>
  <c r="P161" i="8" s="1"/>
  <c r="AM163" i="17" s="1"/>
  <c r="AR163" i="1"/>
  <c r="AS163" i="1"/>
  <c r="AU163" i="1"/>
  <c r="T161" i="8" s="1"/>
  <c r="AQ163" i="17" s="1"/>
  <c r="AP164" i="1"/>
  <c r="AQ164" i="1"/>
  <c r="P162" i="8" s="1"/>
  <c r="AM164" i="17" s="1"/>
  <c r="AR164" i="1"/>
  <c r="Q162" i="8" s="1"/>
  <c r="AS164" i="1"/>
  <c r="AU164" i="1"/>
  <c r="T162" i="8" s="1"/>
  <c r="AQ164" i="17" s="1"/>
  <c r="AP165" i="1"/>
  <c r="AQ165" i="1"/>
  <c r="P163" i="8" s="1"/>
  <c r="AM165" i="17" s="1"/>
  <c r="AR165" i="1"/>
  <c r="AS165" i="1"/>
  <c r="R163" i="8" s="1"/>
  <c r="AO165" i="17" s="1"/>
  <c r="AU165" i="1"/>
  <c r="T163" i="8" s="1"/>
  <c r="AQ165" i="17" s="1"/>
  <c r="AP166" i="1"/>
  <c r="O164" i="8" s="1"/>
  <c r="AL166" i="17" s="1"/>
  <c r="AQ166" i="1"/>
  <c r="P164" i="8" s="1"/>
  <c r="AM166" i="17" s="1"/>
  <c r="AR166" i="1"/>
  <c r="Q164" i="8" s="1"/>
  <c r="AS166" i="1"/>
  <c r="R164" i="8" s="1"/>
  <c r="AO166" i="17" s="1"/>
  <c r="AU166" i="1"/>
  <c r="T164" i="8" s="1"/>
  <c r="AQ166" i="17" s="1"/>
  <c r="AP167" i="1"/>
  <c r="O165" i="8" s="1"/>
  <c r="AL167" i="17" s="1"/>
  <c r="AQ167" i="1"/>
  <c r="P165" i="8" s="1"/>
  <c r="AR167" i="1"/>
  <c r="Q165" i="8" s="1"/>
  <c r="AS167" i="1"/>
  <c r="R165" i="8" s="1"/>
  <c r="AO167" i="17" s="1"/>
  <c r="AU167" i="1"/>
  <c r="AP168" i="1"/>
  <c r="O166" i="8" s="1"/>
  <c r="AL168" i="17" s="1"/>
  <c r="AQ168" i="1"/>
  <c r="P166" i="8" s="1"/>
  <c r="AM168" i="17" s="1"/>
  <c r="AR168" i="1"/>
  <c r="AS168" i="1"/>
  <c r="AU168" i="1"/>
  <c r="T166" i="8" s="1"/>
  <c r="AQ168" i="17" s="1"/>
  <c r="AP169" i="1"/>
  <c r="O167" i="8" s="1"/>
  <c r="AL169" i="17" s="1"/>
  <c r="AQ169" i="1"/>
  <c r="P167" i="8" s="1"/>
  <c r="AM169" i="17" s="1"/>
  <c r="AR169" i="1"/>
  <c r="AS169" i="1"/>
  <c r="AU169" i="1"/>
  <c r="T167" i="8" s="1"/>
  <c r="AQ169" i="17" s="1"/>
  <c r="AP170" i="1"/>
  <c r="AQ170" i="1"/>
  <c r="P168" i="8" s="1"/>
  <c r="AM170" i="17" s="1"/>
  <c r="AR170" i="1"/>
  <c r="AS170" i="1"/>
  <c r="R168" i="8" s="1"/>
  <c r="AO170" i="17" s="1"/>
  <c r="AU170" i="1"/>
  <c r="AP171" i="1"/>
  <c r="O169" i="8" s="1"/>
  <c r="AL171" i="17" s="1"/>
  <c r="AQ171" i="1"/>
  <c r="P169" i="8" s="1"/>
  <c r="AM171" i="17" s="1"/>
  <c r="AR171" i="1"/>
  <c r="Q169" i="8" s="1"/>
  <c r="AS171" i="1"/>
  <c r="AU171" i="1"/>
  <c r="T169" i="8" s="1"/>
  <c r="AQ171" i="17" s="1"/>
  <c r="AP172" i="1"/>
  <c r="O170" i="8" s="1"/>
  <c r="AL172" i="17" s="1"/>
  <c r="AQ172" i="1"/>
  <c r="P170" i="8" s="1"/>
  <c r="AM172" i="17" s="1"/>
  <c r="AR172" i="1"/>
  <c r="AS172" i="1"/>
  <c r="AU172" i="1"/>
  <c r="T170" i="8" s="1"/>
  <c r="AQ172" i="17" s="1"/>
  <c r="AP173" i="1"/>
  <c r="AQ173" i="1"/>
  <c r="P171" i="8" s="1"/>
  <c r="AM173" i="17" s="1"/>
  <c r="AR173" i="1"/>
  <c r="AS173" i="1"/>
  <c r="R171" i="8" s="1"/>
  <c r="AO173" i="17" s="1"/>
  <c r="AU173" i="1"/>
  <c r="T171" i="8" s="1"/>
  <c r="AQ173" i="17" s="1"/>
  <c r="AP174" i="1"/>
  <c r="AQ174" i="1"/>
  <c r="P172" i="8" s="1"/>
  <c r="AM174" i="17" s="1"/>
  <c r="AR174" i="1"/>
  <c r="Q172" i="8" s="1"/>
  <c r="AS174" i="1"/>
  <c r="AU174" i="1"/>
  <c r="AP175" i="1"/>
  <c r="O173" i="8" s="1"/>
  <c r="AL175" i="17" s="1"/>
  <c r="AQ175" i="1"/>
  <c r="P173" i="8" s="1"/>
  <c r="AR175" i="1"/>
  <c r="Q173" i="8" s="1"/>
  <c r="AS175" i="1"/>
  <c r="AU175" i="1"/>
  <c r="T173" i="8" s="1"/>
  <c r="AP176" i="1"/>
  <c r="O174" i="8" s="1"/>
  <c r="AL176" i="17" s="1"/>
  <c r="AQ176" i="1"/>
  <c r="P174" i="8" s="1"/>
  <c r="AM176" i="17" s="1"/>
  <c r="AR176" i="1"/>
  <c r="AS176" i="1"/>
  <c r="AU176" i="1"/>
  <c r="T174" i="8" s="1"/>
  <c r="AQ176" i="17" s="1"/>
  <c r="AP177" i="1"/>
  <c r="O175" i="8" s="1"/>
  <c r="AL177" i="17" s="1"/>
  <c r="AQ177" i="1"/>
  <c r="P175" i="8" s="1"/>
  <c r="AM177" i="17" s="1"/>
  <c r="AR177" i="1"/>
  <c r="Q175" i="8" s="1"/>
  <c r="AS177" i="1"/>
  <c r="AU177" i="1"/>
  <c r="T175" i="8" s="1"/>
  <c r="AQ177" i="17" s="1"/>
  <c r="AP178" i="1"/>
  <c r="AQ178" i="1"/>
  <c r="P176" i="8" s="1"/>
  <c r="AM178" i="17" s="1"/>
  <c r="AR178" i="1"/>
  <c r="AS178" i="1"/>
  <c r="R176" i="8" s="1"/>
  <c r="AO178" i="17" s="1"/>
  <c r="AU178" i="1"/>
  <c r="T176" i="8" s="1"/>
  <c r="AQ178" i="17" s="1"/>
  <c r="AP179" i="1"/>
  <c r="O177" i="8" s="1"/>
  <c r="AL179" i="17" s="1"/>
  <c r="AQ179" i="1"/>
  <c r="P177" i="8" s="1"/>
  <c r="AM179" i="17" s="1"/>
  <c r="AR179" i="1"/>
  <c r="Q177" i="8" s="1"/>
  <c r="AS179" i="1"/>
  <c r="AU179" i="1"/>
  <c r="AP180" i="1"/>
  <c r="O178" i="8" s="1"/>
  <c r="AL180" i="17" s="1"/>
  <c r="AQ180" i="1"/>
  <c r="P178" i="8" s="1"/>
  <c r="AM180" i="17" s="1"/>
  <c r="AR180" i="1"/>
  <c r="AS180" i="1"/>
  <c r="AU180" i="1"/>
  <c r="AP181" i="1"/>
  <c r="AQ181" i="1"/>
  <c r="P179" i="8" s="1"/>
  <c r="AM181" i="17" s="1"/>
  <c r="AR181" i="1"/>
  <c r="AS181" i="1"/>
  <c r="R179" i="8" s="1"/>
  <c r="AO181" i="17" s="1"/>
  <c r="AU181" i="1"/>
  <c r="T179" i="8" s="1"/>
  <c r="AQ181" i="17" s="1"/>
  <c r="AP182" i="1"/>
  <c r="O180" i="8" s="1"/>
  <c r="AL182" i="17" s="1"/>
  <c r="AQ182" i="1"/>
  <c r="P180" i="8" s="1"/>
  <c r="AM182" i="17" s="1"/>
  <c r="AR182" i="1"/>
  <c r="AS182" i="1"/>
  <c r="R180" i="8" s="1"/>
  <c r="AO182" i="17" s="1"/>
  <c r="AU182" i="1"/>
  <c r="T180" i="8" s="1"/>
  <c r="AQ182" i="17" s="1"/>
  <c r="AP183" i="1"/>
  <c r="O181" i="8" s="1"/>
  <c r="AL183" i="17" s="1"/>
  <c r="AQ183" i="1"/>
  <c r="P181" i="8" s="1"/>
  <c r="AR183" i="1"/>
  <c r="Q181" i="8" s="1"/>
  <c r="AS183" i="1"/>
  <c r="R181" i="8" s="1"/>
  <c r="AO183" i="17" s="1"/>
  <c r="AU183" i="1"/>
  <c r="T181" i="8" s="1"/>
  <c r="AP184" i="1"/>
  <c r="O182" i="8" s="1"/>
  <c r="AL184" i="17" s="1"/>
  <c r="AQ184" i="1"/>
  <c r="P182" i="8" s="1"/>
  <c r="AM184" i="17" s="1"/>
  <c r="AR184" i="1"/>
  <c r="AS184" i="1"/>
  <c r="AU184" i="1"/>
  <c r="T182" i="8" s="1"/>
  <c r="AQ184" i="17" s="1"/>
  <c r="AP185" i="1"/>
  <c r="O183" i="8" s="1"/>
  <c r="AL185" i="17" s="1"/>
  <c r="AQ185" i="1"/>
  <c r="P183" i="8" s="1"/>
  <c r="AM185" i="17" s="1"/>
  <c r="AR185" i="1"/>
  <c r="AS185" i="1"/>
  <c r="R183" i="8" s="1"/>
  <c r="AO185" i="17" s="1"/>
  <c r="AU185" i="1"/>
  <c r="T183" i="8" s="1"/>
  <c r="AQ185" i="17" s="1"/>
  <c r="AP186" i="1"/>
  <c r="O184" i="8" s="1"/>
  <c r="AL186" i="17" s="1"/>
  <c r="AQ186" i="1"/>
  <c r="P184" i="8" s="1"/>
  <c r="AM186" i="17" s="1"/>
  <c r="AR186" i="1"/>
  <c r="AS186" i="1"/>
  <c r="R184" i="8" s="1"/>
  <c r="AO186" i="17" s="1"/>
  <c r="AU186" i="1"/>
  <c r="T184" i="8" s="1"/>
  <c r="AQ186" i="17" s="1"/>
  <c r="AP187" i="1"/>
  <c r="O185" i="8" s="1"/>
  <c r="AL187" i="17" s="1"/>
  <c r="AQ187" i="1"/>
  <c r="P185" i="8" s="1"/>
  <c r="AM187" i="17" s="1"/>
  <c r="AR187" i="1"/>
  <c r="Q185" i="8" s="1"/>
  <c r="AS187" i="1"/>
  <c r="R185" i="8" s="1"/>
  <c r="AO187" i="17" s="1"/>
  <c r="AU187" i="1"/>
  <c r="T185" i="8" s="1"/>
  <c r="AQ187" i="17" s="1"/>
  <c r="AP188" i="1"/>
  <c r="O186" i="8" s="1"/>
  <c r="AL188" i="17" s="1"/>
  <c r="AQ188" i="1"/>
  <c r="P186" i="8" s="1"/>
  <c r="AM188" i="17" s="1"/>
  <c r="AR188" i="1"/>
  <c r="Q186" i="8" s="1"/>
  <c r="AS188" i="1"/>
  <c r="R186" i="8" s="1"/>
  <c r="AO188" i="17" s="1"/>
  <c r="AU188" i="1"/>
  <c r="AP189" i="1"/>
  <c r="AQ189" i="1"/>
  <c r="P187" i="8" s="1"/>
  <c r="AM189" i="17" s="1"/>
  <c r="AR189" i="1"/>
  <c r="AS189" i="1"/>
  <c r="R187" i="8" s="1"/>
  <c r="AO189" i="17" s="1"/>
  <c r="AU189" i="1"/>
  <c r="T187" i="8" s="1"/>
  <c r="AQ189" i="17" s="1"/>
  <c r="AP190" i="1"/>
  <c r="AQ190" i="1"/>
  <c r="AR190" i="1"/>
  <c r="Q188" i="8" s="1"/>
  <c r="AS190" i="1"/>
  <c r="R188" i="8" s="1"/>
  <c r="AO190" i="17" s="1"/>
  <c r="AU190" i="1"/>
  <c r="T188" i="8" s="1"/>
  <c r="AQ190" i="17" s="1"/>
  <c r="AP191" i="1"/>
  <c r="O189" i="8" s="1"/>
  <c r="AL191" i="17" s="1"/>
  <c r="AQ191" i="1"/>
  <c r="P189" i="8" s="1"/>
  <c r="AR191" i="1"/>
  <c r="AS191" i="1"/>
  <c r="AU191" i="1"/>
  <c r="T189" i="8" s="1"/>
  <c r="AP192" i="1"/>
  <c r="AQ192" i="1"/>
  <c r="P190" i="8" s="1"/>
  <c r="AM192" i="17" s="1"/>
  <c r="AR192" i="1"/>
  <c r="AS192" i="1"/>
  <c r="AZ192" i="1" s="1"/>
  <c r="AU192" i="1"/>
  <c r="T190" i="8" s="1"/>
  <c r="AQ192" i="17" s="1"/>
  <c r="AP193" i="1"/>
  <c r="AQ193" i="1"/>
  <c r="P191" i="8" s="1"/>
  <c r="AM193" i="17" s="1"/>
  <c r="AR193" i="1"/>
  <c r="Q191" i="8" s="1"/>
  <c r="AS193" i="1"/>
  <c r="AU193" i="1"/>
  <c r="AP194" i="1"/>
  <c r="AQ194" i="1"/>
  <c r="P192" i="8" s="1"/>
  <c r="AM194" i="17" s="1"/>
  <c r="AR194" i="1"/>
  <c r="AS194" i="1"/>
  <c r="AU194" i="1"/>
  <c r="AP195" i="1"/>
  <c r="O193" i="8" s="1"/>
  <c r="AL195" i="17" s="1"/>
  <c r="AQ195" i="1"/>
  <c r="P193" i="8" s="1"/>
  <c r="AM195" i="17" s="1"/>
  <c r="AR195" i="1"/>
  <c r="AS195" i="1"/>
  <c r="R193" i="8" s="1"/>
  <c r="AO195" i="17" s="1"/>
  <c r="AU195" i="1"/>
  <c r="T193" i="8" s="1"/>
  <c r="AQ195" i="17" s="1"/>
  <c r="AP196" i="1"/>
  <c r="AQ196" i="1"/>
  <c r="AR196" i="1"/>
  <c r="Q194" i="8" s="1"/>
  <c r="AS196" i="1"/>
  <c r="AU196" i="1"/>
  <c r="AP197" i="1"/>
  <c r="AQ197" i="1"/>
  <c r="P195" i="8" s="1"/>
  <c r="AM197" i="17" s="1"/>
  <c r="AR197" i="1"/>
  <c r="AS197" i="1"/>
  <c r="R195" i="8" s="1"/>
  <c r="AO197" i="17" s="1"/>
  <c r="AU197" i="1"/>
  <c r="T195" i="8" s="1"/>
  <c r="AQ197" i="17" s="1"/>
  <c r="AP198" i="1"/>
  <c r="O196" i="8" s="1"/>
  <c r="AL198" i="17" s="1"/>
  <c r="AQ198" i="1"/>
  <c r="P196" i="8" s="1"/>
  <c r="AM198" i="17" s="1"/>
  <c r="AR198" i="1"/>
  <c r="AS198" i="1"/>
  <c r="R196" i="8" s="1"/>
  <c r="AO198" i="17" s="1"/>
  <c r="AU198" i="1"/>
  <c r="AP199" i="1"/>
  <c r="AQ199" i="1"/>
  <c r="AR199" i="1"/>
  <c r="AS199" i="1"/>
  <c r="AU199" i="1"/>
  <c r="T197" i="8" s="1"/>
  <c r="AP200" i="1"/>
  <c r="O198" i="8" s="1"/>
  <c r="AL200" i="17" s="1"/>
  <c r="AQ200" i="1"/>
  <c r="P198" i="8" s="1"/>
  <c r="AM200" i="17" s="1"/>
  <c r="AR200" i="1"/>
  <c r="AS200" i="1"/>
  <c r="AU200" i="1"/>
  <c r="T198" i="8" s="1"/>
  <c r="AQ200" i="17" s="1"/>
  <c r="AP201" i="1"/>
  <c r="AQ201" i="1"/>
  <c r="P199" i="8" s="1"/>
  <c r="AM201" i="17" s="1"/>
  <c r="AR201" i="1"/>
  <c r="Q199" i="8" s="1"/>
  <c r="AS201" i="1"/>
  <c r="R199" i="8" s="1"/>
  <c r="AO201" i="17" s="1"/>
  <c r="AU201" i="1"/>
  <c r="AP202" i="1"/>
  <c r="O200" i="8" s="1"/>
  <c r="AL202" i="17" s="1"/>
  <c r="AQ202" i="1"/>
  <c r="P200" i="8" s="1"/>
  <c r="AM202" i="17" s="1"/>
  <c r="AR202" i="1"/>
  <c r="AS202" i="1"/>
  <c r="R200" i="8" s="1"/>
  <c r="AO202" i="17" s="1"/>
  <c r="AU202" i="1"/>
  <c r="T200" i="8" s="1"/>
  <c r="AQ202" i="17" s="1"/>
  <c r="AP203" i="1"/>
  <c r="O201" i="8" s="1"/>
  <c r="AL203" i="17" s="1"/>
  <c r="AQ203" i="1"/>
  <c r="P201" i="8" s="1"/>
  <c r="AM203" i="17" s="1"/>
  <c r="AR203" i="1"/>
  <c r="AS203" i="1"/>
  <c r="AU203" i="1"/>
  <c r="T201" i="8" s="1"/>
  <c r="AQ203" i="17" s="1"/>
  <c r="AP204" i="1"/>
  <c r="O202" i="8" s="1"/>
  <c r="AL204" i="17" s="1"/>
  <c r="AQ204" i="1"/>
  <c r="AR204" i="1"/>
  <c r="AS204" i="1"/>
  <c r="R202" i="8" s="1"/>
  <c r="AO204" i="17" s="1"/>
  <c r="AU204" i="1"/>
  <c r="T202" i="8" s="1"/>
  <c r="AQ204" i="17" s="1"/>
  <c r="AP205" i="1"/>
  <c r="AQ205" i="1"/>
  <c r="P203" i="8" s="1"/>
  <c r="AM205" i="17" s="1"/>
  <c r="AR205" i="1"/>
  <c r="AS205" i="1"/>
  <c r="AU205" i="1"/>
  <c r="T203" i="8" s="1"/>
  <c r="AQ205" i="17" s="1"/>
  <c r="AP206" i="1"/>
  <c r="AQ206" i="1"/>
  <c r="AR206" i="1"/>
  <c r="AS206" i="1"/>
  <c r="AU206" i="1"/>
  <c r="AP207" i="1"/>
  <c r="AQ207" i="1"/>
  <c r="P205" i="8" s="1"/>
  <c r="AM207" i="17" s="1"/>
  <c r="AR207" i="1"/>
  <c r="AS207" i="1"/>
  <c r="AU207" i="1"/>
  <c r="AP208" i="1"/>
  <c r="O206" i="8" s="1"/>
  <c r="AL208" i="17" s="1"/>
  <c r="AQ208" i="1"/>
  <c r="P206" i="8" s="1"/>
  <c r="AM208" i="17" s="1"/>
  <c r="AR208" i="1"/>
  <c r="AS208" i="1"/>
  <c r="AU208" i="1"/>
  <c r="T206" i="8" s="1"/>
  <c r="AQ208" i="17" s="1"/>
  <c r="AP209" i="1"/>
  <c r="O207" i="8" s="1"/>
  <c r="AL209" i="17" s="1"/>
  <c r="AQ209" i="1"/>
  <c r="AR209" i="1"/>
  <c r="AS209" i="1"/>
  <c r="R207" i="8" s="1"/>
  <c r="AO209" i="17" s="1"/>
  <c r="AU209" i="1"/>
  <c r="T207" i="8" s="1"/>
  <c r="AQ209" i="17" s="1"/>
  <c r="AP210" i="1"/>
  <c r="O208" i="8" s="1"/>
  <c r="AL210" i="17" s="1"/>
  <c r="AQ210" i="1"/>
  <c r="P208" i="8" s="1"/>
  <c r="AM210" i="17" s="1"/>
  <c r="AR210" i="1"/>
  <c r="AS210" i="1"/>
  <c r="AU210" i="1"/>
  <c r="AP211" i="1"/>
  <c r="O209" i="8" s="1"/>
  <c r="AL211" i="17" s="1"/>
  <c r="AQ211" i="1"/>
  <c r="P209" i="8" s="1"/>
  <c r="AM211" i="17" s="1"/>
  <c r="AR211" i="1"/>
  <c r="AS211" i="1"/>
  <c r="R209" i="8" s="1"/>
  <c r="AO211" i="17" s="1"/>
  <c r="AU211" i="1"/>
  <c r="T209" i="8" s="1"/>
  <c r="AQ211" i="17" s="1"/>
  <c r="AP212" i="1"/>
  <c r="AQ212" i="1"/>
  <c r="P210" i="8" s="1"/>
  <c r="AM212" i="17" s="1"/>
  <c r="AR212" i="1"/>
  <c r="AS212" i="1"/>
  <c r="R210" i="8" s="1"/>
  <c r="AO212" i="17" s="1"/>
  <c r="AU212" i="1"/>
  <c r="T210" i="8" s="1"/>
  <c r="AQ212" i="17" s="1"/>
  <c r="AP213" i="1"/>
  <c r="O211" i="8" s="1"/>
  <c r="AL213" i="17" s="1"/>
  <c r="AQ213" i="1"/>
  <c r="AR213" i="1"/>
  <c r="AS213" i="1"/>
  <c r="AU213" i="1"/>
  <c r="T211" i="8" s="1"/>
  <c r="AQ213" i="17" s="1"/>
  <c r="AP214" i="1"/>
  <c r="AQ214" i="1"/>
  <c r="AR214" i="1"/>
  <c r="AS214" i="1"/>
  <c r="R212" i="8" s="1"/>
  <c r="AO214" i="17" s="1"/>
  <c r="AU214" i="1"/>
  <c r="AP215" i="1"/>
  <c r="AQ215" i="1"/>
  <c r="P213" i="8" s="1"/>
  <c r="AR215" i="1"/>
  <c r="AS215" i="1"/>
  <c r="AU215" i="1"/>
  <c r="T213" i="8" s="1"/>
  <c r="AP216" i="1"/>
  <c r="O214" i="8" s="1"/>
  <c r="AL216" i="17" s="1"/>
  <c r="AQ216" i="1"/>
  <c r="P214" i="8" s="1"/>
  <c r="AM216" i="17" s="1"/>
  <c r="AR216" i="1"/>
  <c r="AS216" i="1"/>
  <c r="AU216" i="1"/>
  <c r="T214" i="8" s="1"/>
  <c r="AQ216" i="17" s="1"/>
  <c r="AP217" i="1"/>
  <c r="O215" i="8" s="1"/>
  <c r="AL217" i="17" s="1"/>
  <c r="AQ217" i="1"/>
  <c r="AR217" i="1"/>
  <c r="AS217" i="1"/>
  <c r="AU217" i="1"/>
  <c r="T215" i="8" s="1"/>
  <c r="AQ217" i="17" s="1"/>
  <c r="AP218" i="1"/>
  <c r="AQ218" i="1"/>
  <c r="P216" i="8" s="1"/>
  <c r="AM218" i="17" s="1"/>
  <c r="AR218" i="1"/>
  <c r="AS218" i="1"/>
  <c r="AU218" i="1"/>
  <c r="AP219" i="1"/>
  <c r="O217" i="8" s="1"/>
  <c r="AL219" i="17" s="1"/>
  <c r="AQ219" i="1"/>
  <c r="P217" i="8" s="1"/>
  <c r="AM219" i="17" s="1"/>
  <c r="AR219" i="1"/>
  <c r="AS219" i="1"/>
  <c r="AU219" i="1"/>
  <c r="T217" i="8" s="1"/>
  <c r="AQ219" i="17" s="1"/>
  <c r="AP220" i="1"/>
  <c r="O218" i="8" s="1"/>
  <c r="AL220" i="17" s="1"/>
  <c r="AQ220" i="1"/>
  <c r="P218" i="8" s="1"/>
  <c r="AM220" i="17" s="1"/>
  <c r="AR220" i="1"/>
  <c r="AS220" i="1"/>
  <c r="AU220" i="1"/>
  <c r="T218" i="8" s="1"/>
  <c r="AQ220" i="17" s="1"/>
  <c r="AP221" i="1"/>
  <c r="AQ221" i="1"/>
  <c r="AR221" i="1"/>
  <c r="AS221" i="1"/>
  <c r="AU221" i="1"/>
  <c r="T219" i="8" s="1"/>
  <c r="AQ221" i="17" s="1"/>
  <c r="AP222" i="1"/>
  <c r="AQ222" i="1"/>
  <c r="P220" i="8" s="1"/>
  <c r="AM222" i="17" s="1"/>
  <c r="AR222" i="1"/>
  <c r="AS222" i="1"/>
  <c r="R220" i="8" s="1"/>
  <c r="AO222" i="17" s="1"/>
  <c r="AU222" i="1"/>
  <c r="AP223" i="1"/>
  <c r="O221" i="8" s="1"/>
  <c r="AL223" i="17" s="1"/>
  <c r="AQ223" i="1"/>
  <c r="P221" i="8" s="1"/>
  <c r="AR223" i="1"/>
  <c r="Q221" i="8" s="1"/>
  <c r="AS223" i="1"/>
  <c r="AU223" i="1"/>
  <c r="T221" i="8" s="1"/>
  <c r="AP224" i="1"/>
  <c r="O222" i="8" s="1"/>
  <c r="AL224" i="17" s="1"/>
  <c r="AQ224" i="1"/>
  <c r="P222" i="8" s="1"/>
  <c r="AM224" i="17" s="1"/>
  <c r="AR224" i="1"/>
  <c r="AS224" i="1"/>
  <c r="AU224" i="1"/>
  <c r="T222" i="8" s="1"/>
  <c r="AQ224" i="17" s="1"/>
  <c r="AP225" i="1"/>
  <c r="O223" i="8" s="1"/>
  <c r="AL225" i="17" s="1"/>
  <c r="AQ225" i="1"/>
  <c r="AR225" i="1"/>
  <c r="AS225" i="1"/>
  <c r="AU225" i="1"/>
  <c r="T223" i="8" s="1"/>
  <c r="AQ225" i="17" s="1"/>
  <c r="AP226" i="1"/>
  <c r="AQ226" i="1"/>
  <c r="P224" i="8" s="1"/>
  <c r="AM226" i="17" s="1"/>
  <c r="AR226" i="1"/>
  <c r="AS226" i="1"/>
  <c r="R224" i="8" s="1"/>
  <c r="AO226" i="17" s="1"/>
  <c r="AU226" i="1"/>
  <c r="AP227" i="1"/>
  <c r="O225" i="8" s="1"/>
  <c r="AL227" i="17" s="1"/>
  <c r="AQ227" i="1"/>
  <c r="P225" i="8" s="1"/>
  <c r="AM227" i="17" s="1"/>
  <c r="AR227" i="1"/>
  <c r="AS227" i="1"/>
  <c r="AU227" i="1"/>
  <c r="T225" i="8" s="1"/>
  <c r="AQ227" i="17" s="1"/>
  <c r="AP228" i="1"/>
  <c r="O226" i="8" s="1"/>
  <c r="AL228" i="17" s="1"/>
  <c r="AQ228" i="1"/>
  <c r="P226" i="8" s="1"/>
  <c r="AM228" i="17" s="1"/>
  <c r="AR228" i="1"/>
  <c r="AS228" i="1"/>
  <c r="R226" i="8" s="1"/>
  <c r="AO228" i="17" s="1"/>
  <c r="AU228" i="1"/>
  <c r="T226" i="8" s="1"/>
  <c r="AQ228" i="17" s="1"/>
  <c r="AP229" i="1"/>
  <c r="AQ229" i="1"/>
  <c r="AR229" i="1"/>
  <c r="AS229" i="1"/>
  <c r="AU229" i="1"/>
  <c r="T227" i="8" s="1"/>
  <c r="AQ229" i="17" s="1"/>
  <c r="AP230" i="1"/>
  <c r="AQ230" i="1"/>
  <c r="P228" i="8" s="1"/>
  <c r="AR230" i="1"/>
  <c r="Q228" i="8" s="1"/>
  <c r="AS230" i="1"/>
  <c r="R228" i="8" s="1"/>
  <c r="AO230" i="17" s="1"/>
  <c r="AU230" i="1"/>
  <c r="AP231" i="1"/>
  <c r="O229" i="8" s="1"/>
  <c r="AL231" i="17" s="1"/>
  <c r="AQ231" i="1"/>
  <c r="P229" i="8" s="1"/>
  <c r="AR231" i="1"/>
  <c r="AS231" i="1"/>
  <c r="AU231" i="1"/>
  <c r="T229" i="8" s="1"/>
  <c r="AP232" i="1"/>
  <c r="O230" i="8" s="1"/>
  <c r="AL232" i="17" s="1"/>
  <c r="AQ232" i="1"/>
  <c r="AR232" i="1"/>
  <c r="AS232" i="1"/>
  <c r="AU232" i="1"/>
  <c r="T230" i="8" s="1"/>
  <c r="AQ232" i="17" s="1"/>
  <c r="AP233" i="1"/>
  <c r="O231" i="8" s="1"/>
  <c r="AL233" i="17" s="1"/>
  <c r="AQ233" i="1"/>
  <c r="P231" i="8" s="1"/>
  <c r="AM233" i="17" s="1"/>
  <c r="AR233" i="1"/>
  <c r="AS233" i="1"/>
  <c r="AU233" i="1"/>
  <c r="T231" i="8" s="1"/>
  <c r="AQ233" i="17" s="1"/>
  <c r="AP234" i="1"/>
  <c r="O232" i="8" s="1"/>
  <c r="AL234" i="17" s="1"/>
  <c r="AQ234" i="1"/>
  <c r="P232" i="8" s="1"/>
  <c r="AM234" i="17" s="1"/>
  <c r="AR234" i="1"/>
  <c r="AS234" i="1"/>
  <c r="R232" i="8" s="1"/>
  <c r="AO234" i="17" s="1"/>
  <c r="AU234" i="1"/>
  <c r="T232" i="8" s="1"/>
  <c r="AQ234" i="17" s="1"/>
  <c r="AP235" i="1"/>
  <c r="O233" i="8" s="1"/>
  <c r="AL235" i="17" s="1"/>
  <c r="AQ235" i="1"/>
  <c r="AR235" i="1"/>
  <c r="AS235" i="1"/>
  <c r="R233" i="8" s="1"/>
  <c r="AO235" i="17" s="1"/>
  <c r="AU235" i="1"/>
  <c r="T233" i="8" s="1"/>
  <c r="AQ235" i="17" s="1"/>
  <c r="AP236" i="1"/>
  <c r="AQ236" i="1"/>
  <c r="AR236" i="1"/>
  <c r="AS236" i="1"/>
  <c r="AU236" i="1"/>
  <c r="AP237" i="1"/>
  <c r="O235" i="8" s="1"/>
  <c r="AL237" i="17" s="1"/>
  <c r="AQ237" i="1"/>
  <c r="P235" i="8" s="1"/>
  <c r="AM237" i="17" s="1"/>
  <c r="AR237" i="1"/>
  <c r="AS237" i="1"/>
  <c r="AU237" i="1"/>
  <c r="T235" i="8" s="1"/>
  <c r="AQ237" i="17" s="1"/>
  <c r="AP238" i="1"/>
  <c r="O236" i="8" s="1"/>
  <c r="AL238" i="17" s="1"/>
  <c r="AQ238" i="1"/>
  <c r="P236" i="8" s="1"/>
  <c r="AM238" i="17" s="1"/>
  <c r="AR238" i="1"/>
  <c r="AS238" i="1"/>
  <c r="R236" i="8" s="1"/>
  <c r="AO238" i="17" s="1"/>
  <c r="AU238" i="1"/>
  <c r="T236" i="8" s="1"/>
  <c r="AQ238" i="17" s="1"/>
  <c r="AP239" i="1"/>
  <c r="AQ239" i="1"/>
  <c r="AR239" i="1"/>
  <c r="AS239" i="1"/>
  <c r="R237" i="8" s="1"/>
  <c r="AO239" i="17" s="1"/>
  <c r="AU239" i="1"/>
  <c r="T237" i="8" s="1"/>
  <c r="AQ239" i="17" s="1"/>
  <c r="AP240" i="1"/>
  <c r="O238" i="8" s="1"/>
  <c r="AL240" i="17" s="1"/>
  <c r="AQ240" i="1"/>
  <c r="P238" i="8" s="1"/>
  <c r="AM240" i="17" s="1"/>
  <c r="AR240" i="1"/>
  <c r="AS240" i="1"/>
  <c r="AU240" i="1"/>
  <c r="T238" i="8" s="1"/>
  <c r="AQ240" i="17" s="1"/>
  <c r="AP241" i="1"/>
  <c r="O239" i="8" s="1"/>
  <c r="AL241" i="17" s="1"/>
  <c r="AQ241" i="1"/>
  <c r="P239" i="8" s="1"/>
  <c r="AM241" i="17" s="1"/>
  <c r="AR241" i="1"/>
  <c r="AS241" i="1"/>
  <c r="AU241" i="1"/>
  <c r="T239" i="8" s="1"/>
  <c r="AQ241" i="17" s="1"/>
  <c r="AP242" i="1"/>
  <c r="O240" i="8" s="1"/>
  <c r="AL242" i="17" s="1"/>
  <c r="AQ242" i="1"/>
  <c r="P240" i="8" s="1"/>
  <c r="AM242" i="17" s="1"/>
  <c r="AR242" i="1"/>
  <c r="AS242" i="1"/>
  <c r="R240" i="8" s="1"/>
  <c r="AO242" i="17" s="1"/>
  <c r="AU242" i="1"/>
  <c r="T240" i="8" s="1"/>
  <c r="AQ242" i="17" s="1"/>
  <c r="AP243" i="1"/>
  <c r="O241" i="8" s="1"/>
  <c r="AL243" i="17" s="1"/>
  <c r="AQ243" i="1"/>
  <c r="P241" i="8" s="1"/>
  <c r="AM243" i="17" s="1"/>
  <c r="AR243" i="1"/>
  <c r="AS243" i="1"/>
  <c r="R241" i="8" s="1"/>
  <c r="AO243" i="17" s="1"/>
  <c r="AU243" i="1"/>
  <c r="T241" i="8" s="1"/>
  <c r="AQ243" i="17" s="1"/>
  <c r="AP244" i="1"/>
  <c r="O242" i="8" s="1"/>
  <c r="AL244" i="17" s="1"/>
  <c r="AQ244" i="1"/>
  <c r="P242" i="8" s="1"/>
  <c r="AM244" i="17" s="1"/>
  <c r="AR244" i="1"/>
  <c r="AS244" i="1"/>
  <c r="R242" i="8" s="1"/>
  <c r="AO244" i="17" s="1"/>
  <c r="AU244" i="1"/>
  <c r="T242" i="8" s="1"/>
  <c r="AQ244" i="17" s="1"/>
  <c r="AP245" i="1"/>
  <c r="O243" i="8" s="1"/>
  <c r="AL245" i="17" s="1"/>
  <c r="AQ245" i="1"/>
  <c r="AR245" i="1"/>
  <c r="AS245" i="1"/>
  <c r="AU245" i="1"/>
  <c r="T243" i="8" s="1"/>
  <c r="AQ245" i="17" s="1"/>
  <c r="AP246" i="1"/>
  <c r="O244" i="8" s="1"/>
  <c r="AL246" i="17" s="1"/>
  <c r="AQ246" i="1"/>
  <c r="AR246" i="1"/>
  <c r="AS246" i="1"/>
  <c r="R244" i="8" s="1"/>
  <c r="AO246" i="17" s="1"/>
  <c r="AU246" i="1"/>
  <c r="AP247" i="1"/>
  <c r="O245" i="8" s="1"/>
  <c r="AL247" i="17" s="1"/>
  <c r="AQ247" i="1"/>
  <c r="P245" i="8" s="1"/>
  <c r="AM247" i="17" s="1"/>
  <c r="AR247" i="1"/>
  <c r="AS247" i="1"/>
  <c r="AU247" i="1"/>
  <c r="T245" i="8" s="1"/>
  <c r="AQ247" i="17" s="1"/>
  <c r="AP248" i="1"/>
  <c r="O246" i="8" s="1"/>
  <c r="AQ248" i="1"/>
  <c r="P246" i="8" s="1"/>
  <c r="AM248" i="17" s="1"/>
  <c r="AR248" i="1"/>
  <c r="AS248" i="1"/>
  <c r="AU248" i="1"/>
  <c r="T246" i="8" s="1"/>
  <c r="AQ248" i="17" s="1"/>
  <c r="AP249" i="1"/>
  <c r="O247" i="8" s="1"/>
  <c r="AL249" i="17" s="1"/>
  <c r="AQ249" i="1"/>
  <c r="P247" i="8" s="1"/>
  <c r="AM249" i="17" s="1"/>
  <c r="AR249" i="1"/>
  <c r="Q247" i="8" s="1"/>
  <c r="AS249" i="1"/>
  <c r="AU249" i="1"/>
  <c r="T247" i="8" s="1"/>
  <c r="AQ249" i="17" s="1"/>
  <c r="AP250" i="1"/>
  <c r="AQ250" i="1"/>
  <c r="AR250" i="1"/>
  <c r="AS250" i="1"/>
  <c r="R248" i="8" s="1"/>
  <c r="AO250" i="17" s="1"/>
  <c r="AU250" i="1"/>
  <c r="T248" i="8" s="1"/>
  <c r="AQ250" i="17" s="1"/>
  <c r="AP251" i="1"/>
  <c r="O249" i="8" s="1"/>
  <c r="AL251" i="17" s="1"/>
  <c r="AQ251" i="1"/>
  <c r="P249" i="8" s="1"/>
  <c r="AM251" i="17" s="1"/>
  <c r="AR251" i="1"/>
  <c r="AS251" i="1"/>
  <c r="AU251" i="1"/>
  <c r="T249" i="8" s="1"/>
  <c r="AQ251" i="17" s="1"/>
  <c r="AP252" i="1"/>
  <c r="O250" i="8" s="1"/>
  <c r="AL252" i="17" s="1"/>
  <c r="AQ252" i="1"/>
  <c r="P250" i="8" s="1"/>
  <c r="AM252" i="17" s="1"/>
  <c r="AR252" i="1"/>
  <c r="AS252" i="1"/>
  <c r="R250" i="8" s="1"/>
  <c r="AO252" i="17" s="1"/>
  <c r="AU252" i="1"/>
  <c r="AP253" i="1"/>
  <c r="O251" i="8" s="1"/>
  <c r="AL253" i="17" s="1"/>
  <c r="AQ253" i="1"/>
  <c r="AR253" i="1"/>
  <c r="AS253" i="1"/>
  <c r="R251" i="8" s="1"/>
  <c r="AO253" i="17" s="1"/>
  <c r="AU253" i="1"/>
  <c r="T251" i="8" s="1"/>
  <c r="AQ253" i="17" s="1"/>
  <c r="AP254" i="1"/>
  <c r="AQ254" i="1"/>
  <c r="AR254" i="1"/>
  <c r="AS254" i="1"/>
  <c r="R252" i="8" s="1"/>
  <c r="AO254" i="17" s="1"/>
  <c r="AU254" i="1"/>
  <c r="T252" i="8" s="1"/>
  <c r="AQ254" i="17" s="1"/>
  <c r="AP255" i="1"/>
  <c r="O253" i="8" s="1"/>
  <c r="AL255" i="17" s="1"/>
  <c r="AQ255" i="1"/>
  <c r="P253" i="8" s="1"/>
  <c r="AM255" i="17" s="1"/>
  <c r="AR255" i="1"/>
  <c r="AS255" i="1"/>
  <c r="AU255" i="1"/>
  <c r="T253" i="8" s="1"/>
  <c r="AQ255" i="17" s="1"/>
  <c r="AP256" i="1"/>
  <c r="O254" i="8" s="1"/>
  <c r="AQ256" i="1"/>
  <c r="P254" i="8" s="1"/>
  <c r="AM256" i="17" s="1"/>
  <c r="AR256" i="1"/>
  <c r="AS256" i="1"/>
  <c r="AU256" i="1"/>
  <c r="T254" i="8" s="1"/>
  <c r="AQ256" i="17" s="1"/>
  <c r="AP257" i="1"/>
  <c r="O255" i="8" s="1"/>
  <c r="AL257" i="17" s="1"/>
  <c r="AQ257" i="1"/>
  <c r="AR257" i="1"/>
  <c r="AS257" i="1"/>
  <c r="AU257" i="1"/>
  <c r="T255" i="8" s="1"/>
  <c r="AQ257" i="17" s="1"/>
  <c r="AP258" i="1"/>
  <c r="AQ258" i="1"/>
  <c r="P256" i="8" s="1"/>
  <c r="AM258" i="17" s="1"/>
  <c r="AR258" i="1"/>
  <c r="AS258" i="1"/>
  <c r="R256" i="8" s="1"/>
  <c r="AO258" i="17" s="1"/>
  <c r="AU258" i="1"/>
  <c r="AP259" i="1"/>
  <c r="AQ259" i="1"/>
  <c r="P257" i="8" s="1"/>
  <c r="AM259" i="17" s="1"/>
  <c r="AR259" i="1"/>
  <c r="AS259" i="1"/>
  <c r="AU259" i="1"/>
  <c r="T257" i="8" s="1"/>
  <c r="AQ259" i="17" s="1"/>
  <c r="AP260" i="1"/>
  <c r="O258" i="8" s="1"/>
  <c r="AL260" i="17" s="1"/>
  <c r="AQ260" i="1"/>
  <c r="P258" i="8" s="1"/>
  <c r="AM260" i="17" s="1"/>
  <c r="AR260" i="1"/>
  <c r="AS260" i="1"/>
  <c r="R258" i="8" s="1"/>
  <c r="AO260" i="17" s="1"/>
  <c r="AU260" i="1"/>
  <c r="AP261" i="1"/>
  <c r="O259" i="8" s="1"/>
  <c r="AL261" i="17" s="1"/>
  <c r="AQ261" i="1"/>
  <c r="AR261" i="1"/>
  <c r="AS261" i="1"/>
  <c r="AU261" i="1"/>
  <c r="T259" i="8" s="1"/>
  <c r="AQ261" i="17" s="1"/>
  <c r="AP262" i="1"/>
  <c r="AQ262" i="1"/>
  <c r="P260" i="8" s="1"/>
  <c r="AM262" i="17" s="1"/>
  <c r="AR262" i="1"/>
  <c r="AS262" i="1"/>
  <c r="R260" i="8" s="1"/>
  <c r="AO262" i="17" s="1"/>
  <c r="AU262" i="1"/>
  <c r="P61" i="8"/>
  <c r="AM63" i="17" s="1"/>
  <c r="O61" i="8"/>
  <c r="AL63" i="17" s="1"/>
  <c r="O12" i="8"/>
  <c r="P12" i="8"/>
  <c r="AM12" i="17" s="1"/>
  <c r="Q12" i="8"/>
  <c r="AS12" i="1"/>
  <c r="R12" i="8" s="1"/>
  <c r="AU12" i="1"/>
  <c r="T12" i="8" s="1"/>
  <c r="AQ12" i="17" s="1"/>
  <c r="O13" i="8"/>
  <c r="P13" i="8"/>
  <c r="AM13" i="17" s="1"/>
  <c r="AS13" i="1"/>
  <c r="R13" i="8" s="1"/>
  <c r="AO13" i="17" s="1"/>
  <c r="AU13" i="1"/>
  <c r="T13" i="8" s="1"/>
  <c r="AQ13" i="17" s="1"/>
  <c r="AP14" i="1"/>
  <c r="AL14" i="17" s="1"/>
  <c r="AQ14" i="1"/>
  <c r="P14" i="8" s="1"/>
  <c r="AM14" i="17" s="1"/>
  <c r="AR14" i="1"/>
  <c r="AS14" i="1"/>
  <c r="AU14" i="1"/>
  <c r="T14" i="8" s="1"/>
  <c r="AQ14" i="17" s="1"/>
  <c r="AP15" i="1"/>
  <c r="AL15" i="17" s="1"/>
  <c r="AQ15" i="1"/>
  <c r="P15" i="8" s="1"/>
  <c r="AM15" i="17" s="1"/>
  <c r="AR15" i="1"/>
  <c r="AS15" i="1"/>
  <c r="R15" i="8" s="1"/>
  <c r="AO15" i="17" s="1"/>
  <c r="AU15" i="1"/>
  <c r="T15" i="8" s="1"/>
  <c r="AQ15" i="17" s="1"/>
  <c r="AP16" i="1"/>
  <c r="O16" i="8" s="1"/>
  <c r="AQ16" i="1"/>
  <c r="P16" i="8" s="1"/>
  <c r="AM16" i="17" s="1"/>
  <c r="AR16" i="1"/>
  <c r="Q16" i="8" s="1"/>
  <c r="AS16" i="1"/>
  <c r="AU16" i="1"/>
  <c r="T16" i="8" s="1"/>
  <c r="AQ16" i="17" s="1"/>
  <c r="AP17" i="1"/>
  <c r="AQ17" i="1"/>
  <c r="AR17" i="1"/>
  <c r="AS17" i="1"/>
  <c r="R17" i="8" s="1"/>
  <c r="AO17" i="17" s="1"/>
  <c r="AU17" i="1"/>
  <c r="T17" i="8" s="1"/>
  <c r="AQ17" i="17" s="1"/>
  <c r="AP18" i="1"/>
  <c r="AL18" i="17" s="1"/>
  <c r="AQ18" i="1"/>
  <c r="P18" i="8" s="1"/>
  <c r="AM18" i="17" s="1"/>
  <c r="AR18" i="1"/>
  <c r="Q18" i="8" s="1"/>
  <c r="AS18" i="1"/>
  <c r="AU18" i="1"/>
  <c r="T18" i="8" s="1"/>
  <c r="AQ18" i="17" s="1"/>
  <c r="AP19" i="1"/>
  <c r="O19" i="8" s="1"/>
  <c r="AL19" i="17" s="1"/>
  <c r="AQ19" i="1"/>
  <c r="P19" i="8" s="1"/>
  <c r="AM19" i="17" s="1"/>
  <c r="AR19" i="1"/>
  <c r="AS19" i="1"/>
  <c r="R19" i="8" s="1"/>
  <c r="AO19" i="17" s="1"/>
  <c r="AU19" i="1"/>
  <c r="T19" i="8" s="1"/>
  <c r="AQ19" i="17" s="1"/>
  <c r="AP20" i="1"/>
  <c r="O20" i="8" s="1"/>
  <c r="AL20" i="17" s="1"/>
  <c r="AQ20" i="1"/>
  <c r="P20" i="8" s="1"/>
  <c r="AM20" i="17" s="1"/>
  <c r="AR20" i="1"/>
  <c r="AS20" i="1"/>
  <c r="AU20" i="1"/>
  <c r="T20" i="8" s="1"/>
  <c r="AQ20" i="17" s="1"/>
  <c r="AP21" i="1"/>
  <c r="O21" i="8" s="1"/>
  <c r="AL21" i="17" s="1"/>
  <c r="AQ21" i="1"/>
  <c r="P21" i="8" s="1"/>
  <c r="AM21" i="17" s="1"/>
  <c r="AR21" i="1"/>
  <c r="AS21" i="1"/>
  <c r="R21" i="8" s="1"/>
  <c r="AO21" i="17" s="1"/>
  <c r="AU21" i="1"/>
  <c r="T21" i="8" s="1"/>
  <c r="AQ21" i="17" s="1"/>
  <c r="AP22" i="1"/>
  <c r="AQ22" i="1"/>
  <c r="P22" i="8" s="1"/>
  <c r="AM22" i="17" s="1"/>
  <c r="AR22" i="1"/>
  <c r="AS22" i="1"/>
  <c r="AU22" i="1"/>
  <c r="T22" i="8" s="1"/>
  <c r="AQ22" i="17" s="1"/>
  <c r="AP23" i="1"/>
  <c r="O23" i="8" s="1"/>
  <c r="AL23" i="17" s="1"/>
  <c r="AQ23" i="1"/>
  <c r="P23" i="8" s="1"/>
  <c r="AM23" i="17" s="1"/>
  <c r="AR23" i="1"/>
  <c r="AS23" i="1"/>
  <c r="R23" i="8" s="1"/>
  <c r="AO23" i="17" s="1"/>
  <c r="AU23" i="1"/>
  <c r="T23" i="8" s="1"/>
  <c r="AQ23" i="17" s="1"/>
  <c r="AP24" i="1"/>
  <c r="O24" i="8" s="1"/>
  <c r="AL24" i="17" s="1"/>
  <c r="AQ24" i="1"/>
  <c r="P24" i="8" s="1"/>
  <c r="AM24" i="17" s="1"/>
  <c r="AR24" i="1"/>
  <c r="Q24" i="8" s="1"/>
  <c r="AS24" i="1"/>
  <c r="AU24" i="1"/>
  <c r="T24" i="8" s="1"/>
  <c r="AQ24" i="17" s="1"/>
  <c r="AP25" i="1"/>
  <c r="AQ25" i="1"/>
  <c r="P25" i="8" s="1"/>
  <c r="AM25" i="17" s="1"/>
  <c r="AR25" i="1"/>
  <c r="AS25" i="1"/>
  <c r="R25" i="8" s="1"/>
  <c r="AO25" i="17" s="1"/>
  <c r="AU25" i="1"/>
  <c r="T25" i="8" s="1"/>
  <c r="AQ25" i="17" s="1"/>
  <c r="AP26" i="1"/>
  <c r="O26" i="8" s="1"/>
  <c r="AL26" i="17" s="1"/>
  <c r="AQ26" i="1"/>
  <c r="P26" i="8" s="1"/>
  <c r="AM26" i="17" s="1"/>
  <c r="AR26" i="1"/>
  <c r="AS26" i="1"/>
  <c r="R26" i="8" s="1"/>
  <c r="AO26" i="17" s="1"/>
  <c r="AU26" i="1"/>
  <c r="T26" i="8" s="1"/>
  <c r="AQ26" i="17" s="1"/>
  <c r="AP27" i="1"/>
  <c r="AQ27" i="1"/>
  <c r="P27" i="8" s="1"/>
  <c r="AM27" i="17" s="1"/>
  <c r="AR27" i="1"/>
  <c r="AS27" i="1"/>
  <c r="R27" i="8" s="1"/>
  <c r="AO27" i="17" s="1"/>
  <c r="AU27" i="1"/>
  <c r="AP28" i="1"/>
  <c r="O28" i="8" s="1"/>
  <c r="AL28" i="17" s="1"/>
  <c r="AQ28" i="1"/>
  <c r="P28" i="8" s="1"/>
  <c r="AM28" i="17" s="1"/>
  <c r="AR28" i="1"/>
  <c r="AS28" i="1"/>
  <c r="R28" i="8" s="1"/>
  <c r="AU28" i="1"/>
  <c r="T28" i="8" s="1"/>
  <c r="AQ28" i="17" s="1"/>
  <c r="AP29" i="1"/>
  <c r="O29" i="8" s="1"/>
  <c r="AL29" i="17" s="1"/>
  <c r="AQ29" i="1"/>
  <c r="P29" i="8" s="1"/>
  <c r="AM29" i="17" s="1"/>
  <c r="AR29" i="1"/>
  <c r="AS29" i="1"/>
  <c r="R29" i="8" s="1"/>
  <c r="AO29" i="17" s="1"/>
  <c r="AU29" i="1"/>
  <c r="T29" i="8" s="1"/>
  <c r="AQ29" i="17" s="1"/>
  <c r="AP30" i="1"/>
  <c r="O30" i="8" s="1"/>
  <c r="AL30" i="17" s="1"/>
  <c r="AQ30" i="1"/>
  <c r="P30" i="8" s="1"/>
  <c r="AM30" i="17" s="1"/>
  <c r="AR30" i="1"/>
  <c r="Q30" i="8" s="1"/>
  <c r="AS30" i="1"/>
  <c r="AU30" i="1"/>
  <c r="T30" i="8" s="1"/>
  <c r="AQ30" i="17" s="1"/>
  <c r="AP31" i="1"/>
  <c r="AQ31" i="1"/>
  <c r="P31" i="8" s="1"/>
  <c r="AM31" i="17" s="1"/>
  <c r="AR31" i="1"/>
  <c r="AS31" i="1"/>
  <c r="R31" i="8" s="1"/>
  <c r="AO31" i="17" s="1"/>
  <c r="AU31" i="1"/>
  <c r="T31" i="8" s="1"/>
  <c r="AQ31" i="17" s="1"/>
  <c r="AP32" i="1"/>
  <c r="O32" i="8" s="1"/>
  <c r="AL32" i="17" s="1"/>
  <c r="AQ32" i="1"/>
  <c r="P32" i="8" s="1"/>
  <c r="AM32" i="17" s="1"/>
  <c r="AR32" i="1"/>
  <c r="AS32" i="1"/>
  <c r="R32" i="8" s="1"/>
  <c r="AU32" i="1"/>
  <c r="T32" i="8" s="1"/>
  <c r="AQ32" i="17" s="1"/>
  <c r="AP33" i="1"/>
  <c r="O33" i="8" s="1"/>
  <c r="AL33" i="17" s="1"/>
  <c r="AQ33" i="1"/>
  <c r="P33" i="8" s="1"/>
  <c r="AM33" i="17" s="1"/>
  <c r="AR33" i="1"/>
  <c r="AS33" i="1"/>
  <c r="AU33" i="1"/>
  <c r="T33" i="8" s="1"/>
  <c r="AQ33" i="17" s="1"/>
  <c r="AP34" i="1"/>
  <c r="O34" i="8" s="1"/>
  <c r="AL34" i="17" s="1"/>
  <c r="AQ34" i="1"/>
  <c r="P34" i="8" s="1"/>
  <c r="AM34" i="17" s="1"/>
  <c r="AR34" i="1"/>
  <c r="Q34" i="8" s="1"/>
  <c r="AS34" i="1"/>
  <c r="AU34" i="1"/>
  <c r="T34" i="8" s="1"/>
  <c r="AQ34" i="17" s="1"/>
  <c r="AP35" i="1"/>
  <c r="O35" i="8" s="1"/>
  <c r="AL35" i="17" s="1"/>
  <c r="AQ35" i="1"/>
  <c r="P35" i="8" s="1"/>
  <c r="AM35" i="17" s="1"/>
  <c r="AR35" i="1"/>
  <c r="Q35" i="8" s="1"/>
  <c r="AS35" i="1"/>
  <c r="AU35" i="1"/>
  <c r="T35" i="8" s="1"/>
  <c r="AQ35" i="17" s="1"/>
  <c r="AP36" i="1"/>
  <c r="O36" i="8" s="1"/>
  <c r="AL36" i="17" s="1"/>
  <c r="AQ36" i="1"/>
  <c r="P36" i="8" s="1"/>
  <c r="AM36" i="17" s="1"/>
  <c r="AR36" i="1"/>
  <c r="Q36" i="8" s="1"/>
  <c r="AS36" i="1"/>
  <c r="AU36" i="1"/>
  <c r="T36" i="8" s="1"/>
  <c r="AQ36" i="17" s="1"/>
  <c r="AP37" i="1"/>
  <c r="O37" i="8" s="1"/>
  <c r="AL37" i="17" s="1"/>
  <c r="AQ37" i="1"/>
  <c r="P37" i="8" s="1"/>
  <c r="AM37" i="17" s="1"/>
  <c r="AR37" i="1"/>
  <c r="AS37" i="1"/>
  <c r="R37" i="8" s="1"/>
  <c r="AO37" i="17" s="1"/>
  <c r="AU37" i="1"/>
  <c r="T37" i="8" s="1"/>
  <c r="AQ37" i="17" s="1"/>
  <c r="AP38" i="1"/>
  <c r="O38" i="8" s="1"/>
  <c r="AL38" i="17" s="1"/>
  <c r="AQ38" i="1"/>
  <c r="P38" i="8" s="1"/>
  <c r="AM38" i="17" s="1"/>
  <c r="AR38" i="1"/>
  <c r="Q38" i="8" s="1"/>
  <c r="AS38" i="1"/>
  <c r="AU38" i="1"/>
  <c r="T38" i="8" s="1"/>
  <c r="AQ38" i="17" s="1"/>
  <c r="AP39" i="1"/>
  <c r="O39" i="8" s="1"/>
  <c r="AL39" i="17" s="1"/>
  <c r="AQ39" i="1"/>
  <c r="P39" i="8" s="1"/>
  <c r="AM39" i="17" s="1"/>
  <c r="AR39" i="1"/>
  <c r="AS39" i="1"/>
  <c r="R39" i="8" s="1"/>
  <c r="AO39" i="17" s="1"/>
  <c r="AU39" i="1"/>
  <c r="T39" i="8" s="1"/>
  <c r="AQ39" i="17" s="1"/>
  <c r="AP40" i="1"/>
  <c r="O40" i="8" s="1"/>
  <c r="AL40" i="17" s="1"/>
  <c r="AQ40" i="1"/>
  <c r="P40" i="8" s="1"/>
  <c r="AM40" i="17" s="1"/>
  <c r="AR40" i="1"/>
  <c r="Q40" i="8" s="1"/>
  <c r="AS40" i="1"/>
  <c r="AU40" i="1"/>
  <c r="T40" i="8" s="1"/>
  <c r="AQ40" i="17" s="1"/>
  <c r="AP41" i="1"/>
  <c r="O41" i="8" s="1"/>
  <c r="AL41" i="17" s="1"/>
  <c r="AQ41" i="1"/>
  <c r="P41" i="8" s="1"/>
  <c r="AM41" i="17" s="1"/>
  <c r="AR41" i="1"/>
  <c r="Q41" i="8" s="1"/>
  <c r="AS41" i="1"/>
  <c r="AU41" i="1"/>
  <c r="T41" i="8" s="1"/>
  <c r="AQ41" i="17" s="1"/>
  <c r="AP42" i="1"/>
  <c r="O42" i="8" s="1"/>
  <c r="AL42" i="17" s="1"/>
  <c r="AQ42" i="1"/>
  <c r="P42" i="8" s="1"/>
  <c r="AM42" i="17" s="1"/>
  <c r="AR42" i="1"/>
  <c r="Q42" i="8" s="1"/>
  <c r="AS42" i="1"/>
  <c r="AU42" i="1"/>
  <c r="T42" i="8" s="1"/>
  <c r="AQ42" i="17" s="1"/>
  <c r="AP43" i="1"/>
  <c r="O43" i="8" s="1"/>
  <c r="AL43" i="17" s="1"/>
  <c r="AQ43" i="1"/>
  <c r="P43" i="8" s="1"/>
  <c r="AM43" i="17" s="1"/>
  <c r="AR43" i="1"/>
  <c r="Q43" i="8" s="1"/>
  <c r="AS43" i="1"/>
  <c r="AU43" i="1"/>
  <c r="T43" i="8" s="1"/>
  <c r="AQ43" i="17" s="1"/>
  <c r="AP44" i="1"/>
  <c r="O44" i="8" s="1"/>
  <c r="AL44" i="17" s="1"/>
  <c r="AQ44" i="1"/>
  <c r="P44" i="8" s="1"/>
  <c r="AM44" i="17" s="1"/>
  <c r="AR44" i="1"/>
  <c r="Q44" i="8" s="1"/>
  <c r="AS44" i="1"/>
  <c r="R44" i="8" s="1"/>
  <c r="AU44" i="1"/>
  <c r="T44" i="8" s="1"/>
  <c r="AQ44" i="17" s="1"/>
  <c r="AP45" i="1"/>
  <c r="O45" i="8" s="1"/>
  <c r="AL45" i="17" s="1"/>
  <c r="AQ45" i="1"/>
  <c r="P45" i="8" s="1"/>
  <c r="AM45" i="17" s="1"/>
  <c r="AR45" i="1"/>
  <c r="AS45" i="1"/>
  <c r="R45" i="8" s="1"/>
  <c r="AO45" i="17" s="1"/>
  <c r="AU45" i="1"/>
  <c r="T45" i="8" s="1"/>
  <c r="AQ45" i="17" s="1"/>
  <c r="AP46" i="1"/>
  <c r="O46" i="8" s="1"/>
  <c r="AL46" i="17" s="1"/>
  <c r="AQ46" i="1"/>
  <c r="P46" i="8" s="1"/>
  <c r="AM46" i="17" s="1"/>
  <c r="AR46" i="1"/>
  <c r="AS46" i="1"/>
  <c r="AU46" i="1"/>
  <c r="AP47" i="1"/>
  <c r="O47" i="8" s="1"/>
  <c r="AL47" i="17" s="1"/>
  <c r="AQ47" i="1"/>
  <c r="P47" i="8" s="1"/>
  <c r="AM47" i="17" s="1"/>
  <c r="AR47" i="1"/>
  <c r="Q47" i="8" s="1"/>
  <c r="AS47" i="1"/>
  <c r="R47" i="8" s="1"/>
  <c r="AO47" i="17" s="1"/>
  <c r="AU47" i="1"/>
  <c r="T47" i="8" s="1"/>
  <c r="AQ47" i="17" s="1"/>
  <c r="AP48" i="1"/>
  <c r="O48" i="8" s="1"/>
  <c r="AL48" i="17" s="1"/>
  <c r="AQ48" i="1"/>
  <c r="P48" i="8" s="1"/>
  <c r="AM48" i="17" s="1"/>
  <c r="AR48" i="1"/>
  <c r="AS48" i="1"/>
  <c r="AU48" i="1"/>
  <c r="T48" i="8" s="1"/>
  <c r="AQ48" i="17" s="1"/>
  <c r="AP49" i="1"/>
  <c r="O49" i="8" s="1"/>
  <c r="AL49" i="17" s="1"/>
  <c r="AQ49" i="1"/>
  <c r="P49" i="8" s="1"/>
  <c r="AM49" i="17" s="1"/>
  <c r="AR49" i="1"/>
  <c r="Q49" i="8" s="1"/>
  <c r="AS49" i="1"/>
  <c r="AU49" i="1"/>
  <c r="T49" i="8" s="1"/>
  <c r="AQ49" i="17" s="1"/>
  <c r="AP50" i="1"/>
  <c r="O50" i="8" s="1"/>
  <c r="AL50" i="17" s="1"/>
  <c r="AQ50" i="1"/>
  <c r="P50" i="8" s="1"/>
  <c r="AM50" i="17" s="1"/>
  <c r="AR50" i="1"/>
  <c r="AS50" i="1"/>
  <c r="R50" i="8" s="1"/>
  <c r="AO50" i="17" s="1"/>
  <c r="AU50" i="1"/>
  <c r="T50" i="8" s="1"/>
  <c r="AQ50" i="17" s="1"/>
  <c r="AP51" i="1"/>
  <c r="O51" i="8" s="1"/>
  <c r="AL51" i="17" s="1"/>
  <c r="AQ51" i="1"/>
  <c r="P51" i="8" s="1"/>
  <c r="AM51" i="17" s="1"/>
  <c r="AR51" i="1"/>
  <c r="AS51" i="1"/>
  <c r="R51" i="8" s="1"/>
  <c r="AO51" i="17" s="1"/>
  <c r="AU51" i="1"/>
  <c r="T51" i="8" s="1"/>
  <c r="AQ51" i="17" s="1"/>
  <c r="AP52" i="1"/>
  <c r="O52" i="8" s="1"/>
  <c r="AL52" i="17" s="1"/>
  <c r="AQ52" i="1"/>
  <c r="P52" i="8" s="1"/>
  <c r="AM52" i="17" s="1"/>
  <c r="AR52" i="1"/>
  <c r="AS52" i="1"/>
  <c r="R52" i="8" s="1"/>
  <c r="AO52" i="17" s="1"/>
  <c r="AU52" i="1"/>
  <c r="T52" i="8" s="1"/>
  <c r="AQ52" i="17" s="1"/>
  <c r="AP53" i="1"/>
  <c r="O53" i="8" s="1"/>
  <c r="AL53" i="17" s="1"/>
  <c r="AQ53" i="1"/>
  <c r="P53" i="8" s="1"/>
  <c r="AM53" i="17" s="1"/>
  <c r="AR53" i="1"/>
  <c r="AS53" i="1"/>
  <c r="R53" i="8" s="1"/>
  <c r="AO53" i="17" s="1"/>
  <c r="AU53" i="1"/>
  <c r="T53" i="8" s="1"/>
  <c r="AQ53" i="17" s="1"/>
  <c r="AP54" i="1"/>
  <c r="O54" i="8" s="1"/>
  <c r="AL54" i="17" s="1"/>
  <c r="AQ54" i="1"/>
  <c r="P54" i="8" s="1"/>
  <c r="AM54" i="17" s="1"/>
  <c r="AR54" i="1"/>
  <c r="Q54" i="8" s="1"/>
  <c r="AS54" i="1"/>
  <c r="R54" i="8" s="1"/>
  <c r="AO54" i="17" s="1"/>
  <c r="AU54" i="1"/>
  <c r="T54" i="8" s="1"/>
  <c r="AQ54" i="17" s="1"/>
  <c r="AP55" i="1"/>
  <c r="O55" i="8" s="1"/>
  <c r="AL55" i="17" s="1"/>
  <c r="AQ55" i="1"/>
  <c r="P55" i="8" s="1"/>
  <c r="AM55" i="17" s="1"/>
  <c r="AR55" i="1"/>
  <c r="AS55" i="1"/>
  <c r="AU55" i="1"/>
  <c r="T55" i="8" s="1"/>
  <c r="AQ55" i="17" s="1"/>
  <c r="AP56" i="1"/>
  <c r="O56" i="8" s="1"/>
  <c r="AL56" i="17" s="1"/>
  <c r="AQ56" i="1"/>
  <c r="P56" i="8" s="1"/>
  <c r="AM56" i="17" s="1"/>
  <c r="AR56" i="1"/>
  <c r="AS56" i="1"/>
  <c r="R56" i="8" s="1"/>
  <c r="AO56" i="17" s="1"/>
  <c r="AU56" i="1"/>
  <c r="T56" i="8" s="1"/>
  <c r="AQ56" i="17" s="1"/>
  <c r="AP57" i="1"/>
  <c r="O57" i="8" s="1"/>
  <c r="AL57" i="17" s="1"/>
  <c r="AQ57" i="1"/>
  <c r="P57" i="8" s="1"/>
  <c r="AM57" i="17" s="1"/>
  <c r="AR57" i="1"/>
  <c r="AS57" i="1"/>
  <c r="AU57" i="1"/>
  <c r="T57" i="8" s="1"/>
  <c r="AQ57" i="17" s="1"/>
  <c r="AP58" i="1"/>
  <c r="O58" i="8" s="1"/>
  <c r="AL58" i="17" s="1"/>
  <c r="AQ58" i="1"/>
  <c r="P58" i="8" s="1"/>
  <c r="AM58" i="17" s="1"/>
  <c r="AR58" i="1"/>
  <c r="AS58" i="1"/>
  <c r="AU58" i="1"/>
  <c r="T58" i="8" s="1"/>
  <c r="AQ58" i="17" s="1"/>
  <c r="AP59" i="1"/>
  <c r="O59" i="8" s="1"/>
  <c r="AL59" i="17" s="1"/>
  <c r="AQ59" i="1"/>
  <c r="P59" i="8" s="1"/>
  <c r="AM59" i="17" s="1"/>
  <c r="AR59" i="1"/>
  <c r="AS59" i="1"/>
  <c r="AU59" i="1"/>
  <c r="T59" i="8" s="1"/>
  <c r="AQ59" i="17" s="1"/>
  <c r="AP60" i="1"/>
  <c r="O60" i="8" s="1"/>
  <c r="AL60" i="17" s="1"/>
  <c r="AQ60" i="1"/>
  <c r="P60" i="8" s="1"/>
  <c r="AM60" i="17" s="1"/>
  <c r="AR60" i="1"/>
  <c r="Q60" i="8" s="1"/>
  <c r="AS60" i="1"/>
  <c r="R60" i="8" s="1"/>
  <c r="AO60" i="17" s="1"/>
  <c r="AU60" i="1"/>
  <c r="T60" i="8" s="1"/>
  <c r="AQ60" i="17" s="1"/>
  <c r="T11" i="8"/>
  <c r="AQ11" i="17" s="1"/>
  <c r="Q11" i="8"/>
  <c r="Q174" i="8"/>
  <c r="P248" i="8"/>
  <c r="AM250" i="17" s="1"/>
  <c r="P63" i="8"/>
  <c r="AM65" i="17" s="1"/>
  <c r="R63" i="8"/>
  <c r="AO65" i="17" s="1"/>
  <c r="T63" i="8"/>
  <c r="AQ65" i="17" s="1"/>
  <c r="O64" i="8"/>
  <c r="AL66" i="17" s="1"/>
  <c r="T64" i="8"/>
  <c r="O65" i="8"/>
  <c r="AL67" i="17" s="1"/>
  <c r="O68" i="8"/>
  <c r="AL70" i="17" s="1"/>
  <c r="P68" i="8"/>
  <c r="AM70" i="17" s="1"/>
  <c r="O69" i="8"/>
  <c r="AL71" i="17" s="1"/>
  <c r="P71" i="8"/>
  <c r="AM73" i="17" s="1"/>
  <c r="Q71" i="8"/>
  <c r="O72" i="8"/>
  <c r="AL74" i="17" s="1"/>
  <c r="O73" i="8"/>
  <c r="AL75" i="17" s="1"/>
  <c r="T73" i="8"/>
  <c r="AQ75" i="17" s="1"/>
  <c r="Q74" i="8"/>
  <c r="O76" i="8"/>
  <c r="AL78" i="17" s="1"/>
  <c r="O77" i="8"/>
  <c r="Q77" i="8"/>
  <c r="O81" i="8"/>
  <c r="AL83" i="17" s="1"/>
  <c r="T81" i="8"/>
  <c r="AQ83" i="17" s="1"/>
  <c r="R82" i="8"/>
  <c r="AO84" i="17" s="1"/>
  <c r="P83" i="8"/>
  <c r="AM85" i="17" s="1"/>
  <c r="P84" i="8"/>
  <c r="AM86" i="17" s="1"/>
  <c r="R84" i="8"/>
  <c r="AO86" i="17" s="1"/>
  <c r="O85" i="8"/>
  <c r="AL87" i="17" s="1"/>
  <c r="Q86" i="8"/>
  <c r="Q87" i="8"/>
  <c r="Q90" i="8"/>
  <c r="P91" i="8"/>
  <c r="AM93" i="17" s="1"/>
  <c r="P92" i="8"/>
  <c r="AM94" i="17" s="1"/>
  <c r="O93" i="8"/>
  <c r="AL95" i="17" s="1"/>
  <c r="T93" i="8"/>
  <c r="P95" i="8"/>
  <c r="AM97" i="17" s="1"/>
  <c r="P96" i="8"/>
  <c r="AM98" i="17" s="1"/>
  <c r="O97" i="8"/>
  <c r="AL99" i="17" s="1"/>
  <c r="T97" i="8"/>
  <c r="AQ99" i="17" s="1"/>
  <c r="O100" i="8"/>
  <c r="AL102" i="17" s="1"/>
  <c r="P100" i="8"/>
  <c r="AM102" i="17" s="1"/>
  <c r="T100" i="8"/>
  <c r="AQ102" i="17" s="1"/>
  <c r="P102" i="8"/>
  <c r="AM104" i="17" s="1"/>
  <c r="Q102" i="8"/>
  <c r="P103" i="8"/>
  <c r="AM105" i="17" s="1"/>
  <c r="O104" i="8"/>
  <c r="AL106" i="17" s="1"/>
  <c r="P104" i="8"/>
  <c r="AM106" i="17" s="1"/>
  <c r="O108" i="8"/>
  <c r="AL110" i="17" s="1"/>
  <c r="Q110" i="8"/>
  <c r="O112" i="8"/>
  <c r="AL114" i="17" s="1"/>
  <c r="O116" i="8"/>
  <c r="AL118" i="17" s="1"/>
  <c r="R117" i="8"/>
  <c r="AO119" i="17" s="1"/>
  <c r="T120" i="8"/>
  <c r="AQ122" i="17" s="1"/>
  <c r="Q121" i="8"/>
  <c r="R122" i="8"/>
  <c r="AO124" i="17" s="1"/>
  <c r="O124" i="8"/>
  <c r="AL126" i="17" s="1"/>
  <c r="P125" i="8"/>
  <c r="T125" i="8"/>
  <c r="Q127" i="8"/>
  <c r="T128" i="8"/>
  <c r="AQ130" i="17" s="1"/>
  <c r="O134" i="8"/>
  <c r="AL136" i="17" s="1"/>
  <c r="R137" i="8"/>
  <c r="AO139" i="17" s="1"/>
  <c r="T137" i="8"/>
  <c r="AQ139" i="17" s="1"/>
  <c r="O141" i="8"/>
  <c r="AL143" i="17" s="1"/>
  <c r="T141" i="8"/>
  <c r="Q143" i="8"/>
  <c r="T144" i="8"/>
  <c r="AQ146" i="17" s="1"/>
  <c r="Q146" i="8"/>
  <c r="O148" i="8"/>
  <c r="AL150" i="17" s="1"/>
  <c r="T148" i="8"/>
  <c r="AQ150" i="17" s="1"/>
  <c r="R149" i="8"/>
  <c r="AO151" i="17" s="1"/>
  <c r="Q150" i="8"/>
  <c r="P151" i="8"/>
  <c r="AM153" i="17" s="1"/>
  <c r="O152" i="8"/>
  <c r="AL154" i="17" s="1"/>
  <c r="T152" i="8"/>
  <c r="AQ154" i="17" s="1"/>
  <c r="R153" i="8"/>
  <c r="AO155" i="17" s="1"/>
  <c r="Q154" i="8"/>
  <c r="P155" i="8"/>
  <c r="AM157" i="17" s="1"/>
  <c r="O156" i="8"/>
  <c r="AL158" i="17" s="1"/>
  <c r="T156" i="8"/>
  <c r="AQ158" i="17" s="1"/>
  <c r="R157" i="8"/>
  <c r="AO159" i="17" s="1"/>
  <c r="Q158" i="8"/>
  <c r="O160" i="8"/>
  <c r="AL162" i="17" s="1"/>
  <c r="T160" i="8"/>
  <c r="AQ162" i="17" s="1"/>
  <c r="R161" i="8"/>
  <c r="AO163" i="17" s="1"/>
  <c r="O162" i="8"/>
  <c r="AL164" i="17" s="1"/>
  <c r="T165" i="8"/>
  <c r="Q166" i="8"/>
  <c r="Q167" i="8"/>
  <c r="R167" i="8"/>
  <c r="AO169" i="17" s="1"/>
  <c r="O168" i="8"/>
  <c r="AL170" i="17" s="1"/>
  <c r="T168" i="8"/>
  <c r="AQ170" i="17" s="1"/>
  <c r="Q170" i="8"/>
  <c r="O172" i="8"/>
  <c r="AL174" i="17" s="1"/>
  <c r="R172" i="8"/>
  <c r="AO174" i="17" s="1"/>
  <c r="T172" i="8"/>
  <c r="AQ174" i="17" s="1"/>
  <c r="R173" i="8"/>
  <c r="AO175" i="17" s="1"/>
  <c r="O176" i="8"/>
  <c r="AL178" i="17" s="1"/>
  <c r="T177" i="8"/>
  <c r="AQ179" i="17" s="1"/>
  <c r="Q178" i="8"/>
  <c r="T178" i="8"/>
  <c r="AQ180" i="17" s="1"/>
  <c r="T186" i="8"/>
  <c r="AQ188" i="17" s="1"/>
  <c r="O188" i="8"/>
  <c r="AL190" i="17" s="1"/>
  <c r="P188" i="8"/>
  <c r="AM190" i="17" s="1"/>
  <c r="O190" i="8"/>
  <c r="AL192" i="17" s="1"/>
  <c r="Q190" i="8"/>
  <c r="O191" i="8"/>
  <c r="AL193" i="17" s="1"/>
  <c r="R191" i="8"/>
  <c r="AO193" i="17" s="1"/>
  <c r="T191" i="8"/>
  <c r="AQ193" i="17" s="1"/>
  <c r="O192" i="8"/>
  <c r="AL194" i="17" s="1"/>
  <c r="R192" i="8"/>
  <c r="AO194" i="17" s="1"/>
  <c r="T192" i="8"/>
  <c r="AQ194" i="17" s="1"/>
  <c r="O194" i="8"/>
  <c r="AL196" i="17" s="1"/>
  <c r="P194" i="8"/>
  <c r="AM196" i="17" s="1"/>
  <c r="T194" i="8"/>
  <c r="AQ196" i="17" s="1"/>
  <c r="T196" i="8"/>
  <c r="AQ198" i="17" s="1"/>
  <c r="O197" i="8"/>
  <c r="AL199" i="17" s="1"/>
  <c r="P197" i="8"/>
  <c r="Q198" i="8"/>
  <c r="O199" i="8"/>
  <c r="AL201" i="17" s="1"/>
  <c r="T199" i="8"/>
  <c r="AQ201" i="17" s="1"/>
  <c r="P202" i="8"/>
  <c r="AM204" i="17" s="1"/>
  <c r="O204" i="8"/>
  <c r="AL206" i="17" s="1"/>
  <c r="P204" i="8"/>
  <c r="AM206" i="17" s="1"/>
  <c r="T204" i="8"/>
  <c r="AQ206" i="17" s="1"/>
  <c r="O205" i="8"/>
  <c r="AL207" i="17" s="1"/>
  <c r="R205" i="8"/>
  <c r="AO207" i="17" s="1"/>
  <c r="T205" i="8"/>
  <c r="Q206" i="8"/>
  <c r="P207" i="8"/>
  <c r="AM209" i="17" s="1"/>
  <c r="R208" i="8"/>
  <c r="AO210" i="17" s="1"/>
  <c r="T208" i="8"/>
  <c r="O210" i="8"/>
  <c r="AL212" i="17" s="1"/>
  <c r="P211" i="8"/>
  <c r="AM213" i="17" s="1"/>
  <c r="O212" i="8"/>
  <c r="AL214" i="17" s="1"/>
  <c r="P212" i="8"/>
  <c r="AM214" i="17" s="1"/>
  <c r="T212" i="8"/>
  <c r="AQ214" i="17" s="1"/>
  <c r="O213" i="8"/>
  <c r="AL215" i="17" s="1"/>
  <c r="R213" i="8"/>
  <c r="AO215" i="17" s="1"/>
  <c r="Q214" i="8"/>
  <c r="P215" i="8"/>
  <c r="AM217" i="17" s="1"/>
  <c r="Q215" i="8"/>
  <c r="R215" i="8"/>
  <c r="AO217" i="17" s="1"/>
  <c r="O216" i="8"/>
  <c r="AL218" i="17" s="1"/>
  <c r="T216" i="8"/>
  <c r="AQ218" i="17" s="1"/>
  <c r="R217" i="8"/>
  <c r="AO219" i="17" s="1"/>
  <c r="Q218" i="8"/>
  <c r="P219" i="8"/>
  <c r="AM221" i="17" s="1"/>
  <c r="R219" i="8"/>
  <c r="AO221" i="17" s="1"/>
  <c r="O220" i="8"/>
  <c r="AL222" i="17" s="1"/>
  <c r="T220" i="8"/>
  <c r="AQ222" i="17" s="1"/>
  <c r="R221" i="8"/>
  <c r="AO223" i="17" s="1"/>
  <c r="Q222" i="8"/>
  <c r="P223" i="8"/>
  <c r="AM225" i="17" s="1"/>
  <c r="O224" i="8"/>
  <c r="AL226" i="17" s="1"/>
  <c r="T224" i="8"/>
  <c r="AQ226" i="17" s="1"/>
  <c r="R225" i="8"/>
  <c r="AO227" i="17" s="1"/>
  <c r="Q226" i="8"/>
  <c r="P227" i="8"/>
  <c r="AM229" i="17" s="1"/>
  <c r="O228" i="8"/>
  <c r="AL230" i="17" s="1"/>
  <c r="T228" i="8"/>
  <c r="AQ230" i="17" s="1"/>
  <c r="R229" i="8"/>
  <c r="AO231" i="17" s="1"/>
  <c r="P230" i="8"/>
  <c r="AM232" i="17" s="1"/>
  <c r="Q230" i="8"/>
  <c r="Q231" i="8"/>
  <c r="P233" i="8"/>
  <c r="AM235" i="17" s="1"/>
  <c r="O234" i="8"/>
  <c r="AL236" i="17" s="1"/>
  <c r="P234" i="8"/>
  <c r="AM236" i="17" s="1"/>
  <c r="Q234" i="8"/>
  <c r="T234" i="8"/>
  <c r="AQ236" i="17" s="1"/>
  <c r="O237" i="8"/>
  <c r="AL239" i="17" s="1"/>
  <c r="P237" i="8"/>
  <c r="AM239" i="17" s="1"/>
  <c r="R238" i="8"/>
  <c r="AO240" i="17" s="1"/>
  <c r="P243" i="8"/>
  <c r="AM245" i="17" s="1"/>
  <c r="P244" i="8"/>
  <c r="AM246" i="17" s="1"/>
  <c r="Q244" i="8"/>
  <c r="T244" i="8"/>
  <c r="AQ246" i="17" s="1"/>
  <c r="R245" i="8"/>
  <c r="AO247" i="17" s="1"/>
  <c r="R246" i="8"/>
  <c r="AO248" i="17" s="1"/>
  <c r="O248" i="8"/>
  <c r="AL250" i="17" s="1"/>
  <c r="R249" i="8"/>
  <c r="AO251" i="17" s="1"/>
  <c r="T250" i="8"/>
  <c r="AQ252" i="17" s="1"/>
  <c r="P251" i="8"/>
  <c r="AM253" i="17" s="1"/>
  <c r="O252" i="8"/>
  <c r="AL254" i="17" s="1"/>
  <c r="P252" i="8"/>
  <c r="AM254" i="17" s="1"/>
  <c r="R253" i="8"/>
  <c r="AO255" i="17" s="1"/>
  <c r="P255" i="8"/>
  <c r="AM257" i="17" s="1"/>
  <c r="O256" i="8"/>
  <c r="AL258" i="17" s="1"/>
  <c r="T256" i="8"/>
  <c r="AQ258" i="17" s="1"/>
  <c r="O257" i="8"/>
  <c r="AL259" i="17" s="1"/>
  <c r="R257" i="8"/>
  <c r="AO259" i="17" s="1"/>
  <c r="Q258" i="8"/>
  <c r="T258" i="8"/>
  <c r="AQ260" i="17" s="1"/>
  <c r="P259" i="8"/>
  <c r="AM261" i="17" s="1"/>
  <c r="O260" i="8"/>
  <c r="AL262" i="17" s="1"/>
  <c r="T260" i="8"/>
  <c r="AQ262" i="17" s="1"/>
  <c r="T61" i="8"/>
  <c r="AQ63" i="17" s="1"/>
  <c r="R61" i="8"/>
  <c r="AO63" i="17" s="1"/>
  <c r="AL17" i="17"/>
  <c r="P17" i="8"/>
  <c r="AM17" i="17" s="1"/>
  <c r="R20" i="8"/>
  <c r="AO20" i="17" s="1"/>
  <c r="O22" i="8"/>
  <c r="AL22" i="17" s="1"/>
  <c r="Q23" i="8"/>
  <c r="O25" i="8"/>
  <c r="AL25" i="17" s="1"/>
  <c r="O27" i="8"/>
  <c r="AL27" i="17" s="1"/>
  <c r="T27" i="8"/>
  <c r="AQ27" i="17" s="1"/>
  <c r="O31" i="8"/>
  <c r="AL31" i="17" s="1"/>
  <c r="Q31" i="8"/>
  <c r="Q33" i="8"/>
  <c r="R40" i="8"/>
  <c r="R46" i="8"/>
  <c r="AO46" i="17" s="1"/>
  <c r="T46" i="8"/>
  <c r="AQ46" i="17" s="1"/>
  <c r="P11" i="8"/>
  <c r="AM11" i="17" s="1"/>
  <c r="AE2" i="1"/>
  <c r="AQ66" i="17"/>
  <c r="AL79" i="17"/>
  <c r="AQ85" i="17"/>
  <c r="AQ141" i="17"/>
  <c r="AQ210" i="17"/>
  <c r="AM230" i="17"/>
  <c r="T4" i="1" l="1"/>
  <c r="T27" i="1"/>
  <c r="T18" i="1"/>
  <c r="T6" i="1"/>
  <c r="T13" i="1"/>
  <c r="T16" i="1"/>
  <c r="AD14" i="1"/>
  <c r="W7" i="8" s="1"/>
  <c r="AB13" i="1"/>
  <c r="T7" i="8" s="1"/>
  <c r="T4" i="8" s="1"/>
  <c r="AI23" i="1"/>
  <c r="AI17" i="1"/>
  <c r="T22" i="1"/>
  <c r="T21" i="1"/>
  <c r="T8" i="1"/>
  <c r="AI22" i="1"/>
  <c r="T14" i="1"/>
  <c r="T15" i="1"/>
  <c r="T17" i="1"/>
  <c r="T20" i="1"/>
  <c r="AB14" i="1"/>
  <c r="AV7" i="1" s="1"/>
  <c r="AV4" i="1" s="1"/>
  <c r="AI18" i="1"/>
  <c r="T5" i="1"/>
  <c r="T19" i="1"/>
  <c r="T10" i="1"/>
  <c r="T25" i="1"/>
  <c r="T9" i="1"/>
  <c r="T12" i="1"/>
  <c r="AD13" i="1"/>
  <c r="V7" i="8" s="1"/>
  <c r="AB12" i="1"/>
  <c r="S7" i="8" s="1"/>
  <c r="S4" i="8" s="1"/>
  <c r="AI19" i="1"/>
  <c r="T11" i="1"/>
  <c r="T23" i="1"/>
  <c r="T24" i="1"/>
  <c r="AD12" i="1"/>
  <c r="AI21" i="1"/>
  <c r="T26" i="1"/>
  <c r="T7" i="1"/>
  <c r="AI20" i="1"/>
  <c r="AL16" i="17"/>
  <c r="AL13" i="17"/>
  <c r="AL12" i="17"/>
  <c r="AL11" i="17"/>
  <c r="AW4" i="1"/>
  <c r="B20" i="16"/>
  <c r="AZ222" i="1"/>
  <c r="P62" i="8"/>
  <c r="AM64" i="17" s="1"/>
  <c r="Y31" i="1"/>
  <c r="R254" i="8"/>
  <c r="AO256" i="17" s="1"/>
  <c r="X234" i="8"/>
  <c r="AU236" i="17" s="1"/>
  <c r="AZ232" i="1"/>
  <c r="BD63" i="1"/>
  <c r="AZ250" i="1"/>
  <c r="BA250" i="1" s="1"/>
  <c r="BB250" i="1" s="1"/>
  <c r="AV250" i="1" s="1"/>
  <c r="Q209" i="8"/>
  <c r="R201" i="8"/>
  <c r="AO203" i="17" s="1"/>
  <c r="AZ203" i="1"/>
  <c r="BA203" i="1" s="1"/>
  <c r="BB203" i="1" s="1"/>
  <c r="AV203" i="1" s="1"/>
  <c r="AZ199" i="1"/>
  <c r="R197" i="8"/>
  <c r="AO199" i="17" s="1"/>
  <c r="AZ196" i="1"/>
  <c r="BA196" i="1" s="1"/>
  <c r="BB196" i="1" s="1"/>
  <c r="AV196" i="1" s="1"/>
  <c r="R194" i="8"/>
  <c r="AO196" i="17" s="1"/>
  <c r="Q207" i="8"/>
  <c r="S223" i="8"/>
  <c r="Q223" i="8"/>
  <c r="R218" i="8"/>
  <c r="AO220" i="17" s="1"/>
  <c r="AZ219" i="1"/>
  <c r="AZ260" i="1"/>
  <c r="BA260" i="1" s="1"/>
  <c r="BB260" i="1" s="1"/>
  <c r="AV260" i="1" s="1"/>
  <c r="AZ235" i="1"/>
  <c r="BA235" i="1" s="1"/>
  <c r="BB235" i="1" s="1"/>
  <c r="AV235" i="1" s="1"/>
  <c r="AZ189" i="1"/>
  <c r="BA189" i="1" s="1"/>
  <c r="BB189" i="1" s="1"/>
  <c r="AV189" i="1" s="1"/>
  <c r="AZ247" i="1"/>
  <c r="BA247" i="1" s="1"/>
  <c r="AZ208" i="1"/>
  <c r="BA208" i="1" s="1"/>
  <c r="BB208" i="1" s="1"/>
  <c r="AV208" i="1" s="1"/>
  <c r="AZ202" i="1"/>
  <c r="BA202" i="1" s="1"/>
  <c r="BB202" i="1" s="1"/>
  <c r="AV202" i="1" s="1"/>
  <c r="AZ197" i="1"/>
  <c r="BA197" i="1" s="1"/>
  <c r="R121" i="8"/>
  <c r="AO123" i="17" s="1"/>
  <c r="R71" i="8"/>
  <c r="AO73" i="17" s="1"/>
  <c r="S181" i="8"/>
  <c r="AZ177" i="1"/>
  <c r="AZ153" i="1"/>
  <c r="AZ149" i="1"/>
  <c r="R147" i="8"/>
  <c r="AO149" i="17" s="1"/>
  <c r="AZ52" i="1"/>
  <c r="AZ58" i="1"/>
  <c r="BA58" i="1" s="1"/>
  <c r="BB58" i="1" s="1"/>
  <c r="AV58" i="1" s="1"/>
  <c r="R58" i="8"/>
  <c r="AO58" i="17" s="1"/>
  <c r="R35" i="8"/>
  <c r="AO35" i="17" s="1"/>
  <c r="Q182" i="8"/>
  <c r="R175" i="8"/>
  <c r="AO177" i="17" s="1"/>
  <c r="R41" i="8"/>
  <c r="AO41" i="17" s="1"/>
  <c r="AZ123" i="1"/>
  <c r="BA123" i="1" s="1"/>
  <c r="BB123" i="1" s="1"/>
  <c r="AV123" i="1" s="1"/>
  <c r="S121" i="8"/>
  <c r="X45" i="8"/>
  <c r="AU45" i="17" s="1"/>
  <c r="AZ45" i="1"/>
  <c r="BA45" i="1" s="1"/>
  <c r="BB45" i="1" s="1"/>
  <c r="AV45" i="1" s="1"/>
  <c r="Q161" i="8"/>
  <c r="Q153" i="8"/>
  <c r="R100" i="8"/>
  <c r="AO102" i="17" s="1"/>
  <c r="Q39" i="8"/>
  <c r="AZ25" i="1"/>
  <c r="AZ165" i="1"/>
  <c r="BA165" i="1" s="1"/>
  <c r="BB165" i="1" s="1"/>
  <c r="AV165" i="1" s="1"/>
  <c r="Q118" i="8"/>
  <c r="AZ18" i="1"/>
  <c r="BA18" i="1" s="1"/>
  <c r="BB18" i="1" s="1"/>
  <c r="AV18" i="1" s="1"/>
  <c r="AZ157" i="1"/>
  <c r="BA157" i="1" s="1"/>
  <c r="BB157" i="1" s="1"/>
  <c r="AV157" i="1" s="1"/>
  <c r="AZ102" i="1"/>
  <c r="BA102" i="1" s="1"/>
  <c r="BB102" i="1" s="1"/>
  <c r="AV102" i="1" s="1"/>
  <c r="AZ42" i="1"/>
  <c r="BA42" i="1" s="1"/>
  <c r="BB42" i="1" s="1"/>
  <c r="AV42" i="1" s="1"/>
  <c r="AZ84" i="1"/>
  <c r="BA84" i="1" s="1"/>
  <c r="BB84" i="1" s="1"/>
  <c r="AV84" i="1" s="1"/>
  <c r="AZ34" i="1"/>
  <c r="BA34" i="1" s="1"/>
  <c r="BB34" i="1" s="1"/>
  <c r="AV34" i="1" s="1"/>
  <c r="AZ259" i="1"/>
  <c r="BA259" i="1" s="1"/>
  <c r="BB259" i="1" s="1"/>
  <c r="AV259" i="1" s="1"/>
  <c r="R239" i="8"/>
  <c r="AO241" i="17" s="1"/>
  <c r="S191" i="8"/>
  <c r="AZ133" i="1"/>
  <c r="BA133" i="1" s="1"/>
  <c r="BB133" i="1" s="1"/>
  <c r="AV133" i="1" s="1"/>
  <c r="R131" i="8"/>
  <c r="AO133" i="17" s="1"/>
  <c r="AZ93" i="1"/>
  <c r="BA93" i="1" s="1"/>
  <c r="BB93" i="1" s="1"/>
  <c r="AV93" i="1" s="1"/>
  <c r="Q79" i="8"/>
  <c r="AZ81" i="1"/>
  <c r="BA81" i="1" s="1"/>
  <c r="BB81" i="1" s="1"/>
  <c r="AV81" i="1" s="1"/>
  <c r="X197" i="8"/>
  <c r="AU199" i="17" s="1"/>
  <c r="Q193" i="8"/>
  <c r="AZ193" i="1"/>
  <c r="BA193" i="1" s="1"/>
  <c r="BB193" i="1" s="1"/>
  <c r="AV193" i="1" s="1"/>
  <c r="S145" i="8"/>
  <c r="R145" i="8"/>
  <c r="AO147" i="17" s="1"/>
  <c r="Q114" i="8"/>
  <c r="S113" i="8"/>
  <c r="R113" i="8"/>
  <c r="AO115" i="17" s="1"/>
  <c r="Q94" i="8"/>
  <c r="AZ38" i="1"/>
  <c r="BA38" i="1" s="1"/>
  <c r="BB38" i="1" s="1"/>
  <c r="AV38" i="1" s="1"/>
  <c r="AZ248" i="1"/>
  <c r="BA248" i="1" s="1"/>
  <c r="BB248" i="1" s="1"/>
  <c r="AV248" i="1" s="1"/>
  <c r="AZ224" i="1"/>
  <c r="BA224" i="1" s="1"/>
  <c r="BB224" i="1" s="1"/>
  <c r="AV224" i="1" s="1"/>
  <c r="Q117" i="8"/>
  <c r="Q103" i="8"/>
  <c r="AZ105" i="1"/>
  <c r="BA105" i="1" s="1"/>
  <c r="BB105" i="1" s="1"/>
  <c r="AV105" i="1" s="1"/>
  <c r="R24" i="8"/>
  <c r="AO24" i="17" s="1"/>
  <c r="AZ24" i="1"/>
  <c r="BA24" i="1" s="1"/>
  <c r="BB24" i="1" s="1"/>
  <c r="AV24" i="1" s="1"/>
  <c r="R204" i="8"/>
  <c r="AO206" i="17" s="1"/>
  <c r="AZ206" i="1"/>
  <c r="R169" i="8"/>
  <c r="AO171" i="17" s="1"/>
  <c r="Q129" i="8"/>
  <c r="S129" i="8"/>
  <c r="R109" i="8"/>
  <c r="AO111" i="17" s="1"/>
  <c r="AZ111" i="1"/>
  <c r="BA111" i="1" s="1"/>
  <c r="BB111" i="1" s="1"/>
  <c r="AV111" i="1" s="1"/>
  <c r="R87" i="8"/>
  <c r="AO89" i="17" s="1"/>
  <c r="R75" i="8"/>
  <c r="AO77" i="17" s="1"/>
  <c r="AZ77" i="1"/>
  <c r="BA77" i="1" s="1"/>
  <c r="BB77" i="1" s="1"/>
  <c r="AV77" i="1" s="1"/>
  <c r="AZ28" i="1"/>
  <c r="BA28" i="1" s="1"/>
  <c r="BB28" i="1" s="1"/>
  <c r="AV28" i="1" s="1"/>
  <c r="AZ227" i="1"/>
  <c r="BA227" i="1" s="1"/>
  <c r="AZ216" i="1"/>
  <c r="AZ186" i="1"/>
  <c r="BA186" i="1" s="1"/>
  <c r="BB186" i="1" s="1"/>
  <c r="AV186" i="1" s="1"/>
  <c r="AZ178" i="1"/>
  <c r="BA178" i="1" s="1"/>
  <c r="BB178" i="1" s="1"/>
  <c r="AV178" i="1" s="1"/>
  <c r="AZ117" i="1"/>
  <c r="BA117" i="1" s="1"/>
  <c r="AZ57" i="1"/>
  <c r="AZ251" i="1"/>
  <c r="BA251" i="1" s="1"/>
  <c r="BB251" i="1" s="1"/>
  <c r="AV251" i="1" s="1"/>
  <c r="AZ236" i="1"/>
  <c r="BA236" i="1" s="1"/>
  <c r="BB236" i="1" s="1"/>
  <c r="AV236" i="1" s="1"/>
  <c r="AZ228" i="1"/>
  <c r="BA228" i="1" s="1"/>
  <c r="BB228" i="1" s="1"/>
  <c r="AV228" i="1" s="1"/>
  <c r="AZ198" i="1"/>
  <c r="BA198" i="1" s="1"/>
  <c r="BB198" i="1" s="1"/>
  <c r="AV198" i="1" s="1"/>
  <c r="AZ173" i="1"/>
  <c r="BA173" i="1" s="1"/>
  <c r="AZ169" i="1"/>
  <c r="Y167" i="8" s="1"/>
  <c r="AV169" i="17" s="1"/>
  <c r="AZ109" i="1"/>
  <c r="BA109" i="1" s="1"/>
  <c r="BB109" i="1" s="1"/>
  <c r="AV109" i="1" s="1"/>
  <c r="AZ16" i="1"/>
  <c r="BA16" i="1" s="1"/>
  <c r="BB16" i="1" s="1"/>
  <c r="AV16" i="1" s="1"/>
  <c r="AZ262" i="1"/>
  <c r="AZ214" i="1"/>
  <c r="AZ211" i="1"/>
  <c r="AZ141" i="1"/>
  <c r="BA141" i="1" s="1"/>
  <c r="BB141" i="1" s="1"/>
  <c r="AV141" i="1" s="1"/>
  <c r="AZ137" i="1"/>
  <c r="BA137" i="1" s="1"/>
  <c r="AZ116" i="1"/>
  <c r="BA116" i="1" s="1"/>
  <c r="BB116" i="1" s="1"/>
  <c r="AV116" i="1" s="1"/>
  <c r="AZ85" i="1"/>
  <c r="BA85" i="1" s="1"/>
  <c r="S207" i="8"/>
  <c r="Q26" i="8"/>
  <c r="AZ74" i="1"/>
  <c r="AZ56" i="1"/>
  <c r="BA56" i="1" s="1"/>
  <c r="BB56" i="1" s="1"/>
  <c r="AV56" i="1" s="1"/>
  <c r="Q56" i="8"/>
  <c r="AZ50" i="1"/>
  <c r="BA50" i="1" s="1"/>
  <c r="BB50" i="1" s="1"/>
  <c r="AV50" i="1" s="1"/>
  <c r="Q37" i="8"/>
  <c r="AZ36" i="1"/>
  <c r="R36" i="8"/>
  <c r="AO36" i="17" s="1"/>
  <c r="AZ26" i="1"/>
  <c r="Q50" i="8"/>
  <c r="Q46" i="8"/>
  <c r="AZ240" i="1"/>
  <c r="BA240" i="1" s="1"/>
  <c r="BB240" i="1" s="1"/>
  <c r="AV240" i="1" s="1"/>
  <c r="R59" i="8"/>
  <c r="AO59" i="17" s="1"/>
  <c r="AZ59" i="1"/>
  <c r="BA59" i="1" s="1"/>
  <c r="BB59" i="1" s="1"/>
  <c r="AV59" i="1" s="1"/>
  <c r="Q61" i="8"/>
  <c r="AZ252" i="1"/>
  <c r="Q250" i="8"/>
  <c r="AZ212" i="1"/>
  <c r="BA212" i="1" s="1"/>
  <c r="BB212" i="1" s="1"/>
  <c r="AV212" i="1" s="1"/>
  <c r="R11" i="8"/>
  <c r="AO11" i="17" s="1"/>
  <c r="Q58" i="8"/>
  <c r="AZ54" i="1"/>
  <c r="BA54" i="1" s="1"/>
  <c r="BB54" i="1" s="1"/>
  <c r="AV54" i="1" s="1"/>
  <c r="AZ48" i="1"/>
  <c r="BA48" i="1" s="1"/>
  <c r="BB48" i="1" s="1"/>
  <c r="AV48" i="1" s="1"/>
  <c r="Q48" i="8"/>
  <c r="AZ33" i="1"/>
  <c r="R33" i="8"/>
  <c r="AO33" i="17" s="1"/>
  <c r="AZ22" i="1"/>
  <c r="BA22" i="1" s="1"/>
  <c r="BB22" i="1" s="1"/>
  <c r="AV22" i="1" s="1"/>
  <c r="Q22" i="8"/>
  <c r="Q202" i="8"/>
  <c r="AZ204" i="1"/>
  <c r="AZ161" i="1"/>
  <c r="R159" i="8"/>
  <c r="AO161" i="17" s="1"/>
  <c r="Q149" i="8"/>
  <c r="BA149" i="1"/>
  <c r="BB149" i="1" s="1"/>
  <c r="AV149" i="1" s="1"/>
  <c r="BA57" i="1"/>
  <c r="BB57" i="1" s="1"/>
  <c r="AV57" i="1" s="1"/>
  <c r="AZ49" i="1"/>
  <c r="R49" i="8"/>
  <c r="AO49" i="17" s="1"/>
  <c r="Q242" i="8"/>
  <c r="BA222" i="1"/>
  <c r="BB222" i="1" s="1"/>
  <c r="AV222" i="1" s="1"/>
  <c r="BA177" i="1"/>
  <c r="BB177" i="1" s="1"/>
  <c r="AV177" i="1" s="1"/>
  <c r="AZ78" i="1"/>
  <c r="R57" i="8"/>
  <c r="AO57" i="17" s="1"/>
  <c r="Q27" i="8"/>
  <c r="Q14" i="8"/>
  <c r="Q210" i="8"/>
  <c r="AZ32" i="1"/>
  <c r="Q32" i="8"/>
  <c r="AZ30" i="1"/>
  <c r="BA30" i="1" s="1"/>
  <c r="BB30" i="1" s="1"/>
  <c r="AV30" i="1" s="1"/>
  <c r="AZ182" i="1"/>
  <c r="Q180" i="8"/>
  <c r="AZ179" i="1"/>
  <c r="BA179" i="1" s="1"/>
  <c r="BB179" i="1" s="1"/>
  <c r="AV179" i="1" s="1"/>
  <c r="R177" i="8"/>
  <c r="AO179" i="17" s="1"/>
  <c r="X176" i="8"/>
  <c r="AU178" i="17" s="1"/>
  <c r="BB173" i="1"/>
  <c r="AV173" i="1" s="1"/>
  <c r="AZ129" i="1"/>
  <c r="R127" i="8"/>
  <c r="AO129" i="17" s="1"/>
  <c r="AZ86" i="1"/>
  <c r="BA86" i="1" s="1"/>
  <c r="BB86" i="1" s="1"/>
  <c r="AV86" i="1" s="1"/>
  <c r="AZ14" i="1"/>
  <c r="BA14" i="1" s="1"/>
  <c r="BB14" i="1" s="1"/>
  <c r="AV14" i="1" s="1"/>
  <c r="AZ244" i="1"/>
  <c r="BA244" i="1" s="1"/>
  <c r="BB244" i="1" s="1"/>
  <c r="AV244" i="1" s="1"/>
  <c r="R76" i="8"/>
  <c r="AO78" i="17" s="1"/>
  <c r="BA52" i="1"/>
  <c r="BB52" i="1" s="1"/>
  <c r="AV52" i="1" s="1"/>
  <c r="AZ46" i="1"/>
  <c r="BA46" i="1" s="1"/>
  <c r="BB46" i="1" s="1"/>
  <c r="AV46" i="1" s="1"/>
  <c r="BA25" i="1"/>
  <c r="BB25" i="1" s="1"/>
  <c r="AV25" i="1" s="1"/>
  <c r="Q19" i="8"/>
  <c r="Q15" i="8"/>
  <c r="BA262" i="1"/>
  <c r="BB262" i="1" s="1"/>
  <c r="AV262" i="1" s="1"/>
  <c r="AZ256" i="1"/>
  <c r="BA256" i="1" s="1"/>
  <c r="BB256" i="1" s="1"/>
  <c r="AV256" i="1" s="1"/>
  <c r="AZ200" i="1"/>
  <c r="AZ145" i="1"/>
  <c r="R143" i="8"/>
  <c r="AO145" i="17" s="1"/>
  <c r="X113" i="8"/>
  <c r="AU115" i="17" s="1"/>
  <c r="AZ115" i="1"/>
  <c r="BA115" i="1" s="1"/>
  <c r="BB115" i="1" s="1"/>
  <c r="AV115" i="1" s="1"/>
  <c r="AZ94" i="1"/>
  <c r="BA94" i="1" s="1"/>
  <c r="BB94" i="1" s="1"/>
  <c r="AV94" i="1" s="1"/>
  <c r="R92" i="8"/>
  <c r="AO94" i="17" s="1"/>
  <c r="AZ21" i="1"/>
  <c r="AZ234" i="1"/>
  <c r="BA234" i="1" s="1"/>
  <c r="BB234" i="1" s="1"/>
  <c r="AV234" i="1" s="1"/>
  <c r="R216" i="8"/>
  <c r="AO218" i="17" s="1"/>
  <c r="AZ218" i="1"/>
  <c r="BA218" i="1" s="1"/>
  <c r="BB218" i="1" s="1"/>
  <c r="AV218" i="1" s="1"/>
  <c r="BA206" i="1"/>
  <c r="BB206" i="1" s="1"/>
  <c r="AV206" i="1" s="1"/>
  <c r="AZ183" i="1"/>
  <c r="BA183" i="1" s="1"/>
  <c r="BB183" i="1" s="1"/>
  <c r="AV183" i="1" s="1"/>
  <c r="BA169" i="1"/>
  <c r="Z167" i="8" s="1"/>
  <c r="BA153" i="1"/>
  <c r="Z151" i="8" s="1"/>
  <c r="AZ107" i="1"/>
  <c r="Y105" i="8" s="1"/>
  <c r="AV107" i="17" s="1"/>
  <c r="S105" i="8"/>
  <c r="AZ70" i="1"/>
  <c r="BA70" i="1" s="1"/>
  <c r="BB70" i="1" s="1"/>
  <c r="AV70" i="1" s="1"/>
  <c r="Q21" i="8"/>
  <c r="Q13" i="8"/>
  <c r="R247" i="8"/>
  <c r="AO249" i="17" s="1"/>
  <c r="R234" i="8"/>
  <c r="AO236" i="17" s="1"/>
  <c r="AZ44" i="1"/>
  <c r="BA44" i="1" s="1"/>
  <c r="BB44" i="1" s="1"/>
  <c r="AV44" i="1" s="1"/>
  <c r="AZ41" i="1"/>
  <c r="AZ246" i="1"/>
  <c r="AZ243" i="1"/>
  <c r="BA243" i="1" s="1"/>
  <c r="BB243" i="1" s="1"/>
  <c r="AV243" i="1" s="1"/>
  <c r="AZ231" i="1"/>
  <c r="BA231" i="1" s="1"/>
  <c r="BB231" i="1" s="1"/>
  <c r="AV231" i="1" s="1"/>
  <c r="AZ220" i="1"/>
  <c r="BA216" i="1"/>
  <c r="BB216" i="1" s="1"/>
  <c r="AV216" i="1" s="1"/>
  <c r="AZ215" i="1"/>
  <c r="BA215" i="1" s="1"/>
  <c r="Q205" i="8"/>
  <c r="AZ187" i="1"/>
  <c r="BA187" i="1" s="1"/>
  <c r="BB187" i="1" s="1"/>
  <c r="AV187" i="1" s="1"/>
  <c r="X114" i="8"/>
  <c r="AU116" i="17" s="1"/>
  <c r="X105" i="8"/>
  <c r="AU107" i="17" s="1"/>
  <c r="AZ82" i="1"/>
  <c r="AZ80" i="1"/>
  <c r="S215" i="8"/>
  <c r="AZ184" i="1"/>
  <c r="BA184" i="1" s="1"/>
  <c r="BB184" i="1" s="1"/>
  <c r="AV184" i="1" s="1"/>
  <c r="AZ180" i="1"/>
  <c r="AZ97" i="1"/>
  <c r="AZ230" i="1"/>
  <c r="BA219" i="1"/>
  <c r="BB219" i="1" s="1"/>
  <c r="AV219" i="1" s="1"/>
  <c r="BA214" i="1"/>
  <c r="BB214" i="1" s="1"/>
  <c r="AV214" i="1" s="1"/>
  <c r="BA211" i="1"/>
  <c r="BB211" i="1" s="1"/>
  <c r="AV211" i="1" s="1"/>
  <c r="BA199" i="1"/>
  <c r="BB199" i="1" s="1"/>
  <c r="AV199" i="1" s="1"/>
  <c r="BB197" i="1"/>
  <c r="AV197" i="1" s="1"/>
  <c r="AZ195" i="1"/>
  <c r="AZ120" i="1"/>
  <c r="BA120" i="1" s="1"/>
  <c r="BB120" i="1" s="1"/>
  <c r="AV120" i="1" s="1"/>
  <c r="AZ119" i="1"/>
  <c r="BA119" i="1" s="1"/>
  <c r="BB119" i="1" s="1"/>
  <c r="AV119" i="1" s="1"/>
  <c r="AZ112" i="1"/>
  <c r="BA112" i="1" s="1"/>
  <c r="BB112" i="1" s="1"/>
  <c r="AV112" i="1" s="1"/>
  <c r="AZ90" i="1"/>
  <c r="BA90" i="1" s="1"/>
  <c r="BB90" i="1" s="1"/>
  <c r="AV90" i="1" s="1"/>
  <c r="BA232" i="1"/>
  <c r="BB232" i="1" s="1"/>
  <c r="AV232" i="1" s="1"/>
  <c r="BA192" i="1"/>
  <c r="BB192" i="1" s="1"/>
  <c r="AV192" i="1" s="1"/>
  <c r="AZ124" i="1"/>
  <c r="BA124" i="1" s="1"/>
  <c r="BB124" i="1" s="1"/>
  <c r="AV124" i="1" s="1"/>
  <c r="AZ108" i="1"/>
  <c r="BA108" i="1" s="1"/>
  <c r="BB108" i="1" s="1"/>
  <c r="AV108" i="1" s="1"/>
  <c r="BB247" i="1"/>
  <c r="AV247" i="1" s="1"/>
  <c r="BB117" i="1"/>
  <c r="AV117" i="1" s="1"/>
  <c r="BB215" i="1"/>
  <c r="AV215" i="1" s="1"/>
  <c r="AZ245" i="1"/>
  <c r="AZ238" i="1"/>
  <c r="AZ229" i="1"/>
  <c r="S221" i="8"/>
  <c r="S208" i="8"/>
  <c r="AZ191" i="1"/>
  <c r="R189" i="8"/>
  <c r="AO191" i="17" s="1"/>
  <c r="AZ185" i="1"/>
  <c r="Y183" i="8" s="1"/>
  <c r="AV185" i="17" s="1"/>
  <c r="AZ160" i="1"/>
  <c r="Y158" i="8" s="1"/>
  <c r="AV160" i="17" s="1"/>
  <c r="AZ144" i="1"/>
  <c r="AZ91" i="1"/>
  <c r="R89" i="8"/>
  <c r="AO91" i="17" s="1"/>
  <c r="S185" i="8"/>
  <c r="S177" i="8"/>
  <c r="S233" i="8"/>
  <c r="AZ64" i="1"/>
  <c r="Q62" i="8"/>
  <c r="Q252" i="8"/>
  <c r="R227" i="8"/>
  <c r="AO229" i="17" s="1"/>
  <c r="Q183" i="8"/>
  <c r="R178" i="8"/>
  <c r="AO180" i="17" s="1"/>
  <c r="AZ253" i="1"/>
  <c r="S245" i="8"/>
  <c r="AZ237" i="1"/>
  <c r="R235" i="8"/>
  <c r="AO237" i="17" s="1"/>
  <c r="AZ221" i="1"/>
  <c r="S216" i="8"/>
  <c r="Q213" i="8"/>
  <c r="R203" i="8"/>
  <c r="AO205" i="17" s="1"/>
  <c r="AZ205" i="1"/>
  <c r="S200" i="8"/>
  <c r="AZ181" i="1"/>
  <c r="AZ168" i="1"/>
  <c r="AZ152" i="1"/>
  <c r="AZ136" i="1"/>
  <c r="AZ125" i="1"/>
  <c r="R123" i="8"/>
  <c r="AO125" i="17" s="1"/>
  <c r="Q95" i="8"/>
  <c r="AZ68" i="1"/>
  <c r="Q66" i="8"/>
  <c r="R259" i="8"/>
  <c r="AO261" i="17" s="1"/>
  <c r="AZ261" i="1"/>
  <c r="AZ254" i="1"/>
  <c r="X240" i="8"/>
  <c r="AU242" i="17" s="1"/>
  <c r="S237" i="8"/>
  <c r="S224" i="8"/>
  <c r="X224" i="8"/>
  <c r="AU226" i="17" s="1"/>
  <c r="AZ213" i="1"/>
  <c r="R211" i="8"/>
  <c r="AO213" i="17" s="1"/>
  <c r="S192" i="8"/>
  <c r="AZ194" i="1"/>
  <c r="AZ176" i="1"/>
  <c r="AZ128" i="1"/>
  <c r="X119" i="8"/>
  <c r="AU121" i="17" s="1"/>
  <c r="AZ121" i="1"/>
  <c r="Q119" i="8"/>
  <c r="AZ113" i="1"/>
  <c r="AZ99" i="1"/>
  <c r="S97" i="8"/>
  <c r="R97" i="8"/>
  <c r="AO99" i="17" s="1"/>
  <c r="R243" i="8"/>
  <c r="AO245" i="17" s="1"/>
  <c r="Q111" i="8"/>
  <c r="R255" i="8"/>
  <c r="AO257" i="17" s="1"/>
  <c r="AZ257" i="1"/>
  <c r="AZ241" i="1"/>
  <c r="X236" i="8"/>
  <c r="AU238" i="17" s="1"/>
  <c r="Q236" i="8"/>
  <c r="R223" i="8"/>
  <c r="AO225" i="17" s="1"/>
  <c r="AZ225" i="1"/>
  <c r="Q217" i="8"/>
  <c r="AZ209" i="1"/>
  <c r="AZ190" i="1"/>
  <c r="AZ188" i="1"/>
  <c r="AZ172" i="1"/>
  <c r="S161" i="8"/>
  <c r="AZ156" i="1"/>
  <c r="R154" i="8"/>
  <c r="AO156" i="17" s="1"/>
  <c r="AZ140" i="1"/>
  <c r="R138" i="8"/>
  <c r="AO140" i="17" s="1"/>
  <c r="AZ106" i="1"/>
  <c r="Q201" i="8"/>
  <c r="R170" i="8"/>
  <c r="AO172" i="17" s="1"/>
  <c r="Q260" i="8"/>
  <c r="S259" i="8"/>
  <c r="AZ258" i="1"/>
  <c r="AZ255" i="1"/>
  <c r="AZ249" i="1"/>
  <c r="X244" i="8"/>
  <c r="AU246" i="17" s="1"/>
  <c r="S243" i="8"/>
  <c r="AZ242" i="1"/>
  <c r="AZ239" i="1"/>
  <c r="AZ233" i="1"/>
  <c r="R231" i="8"/>
  <c r="AO233" i="17" s="1"/>
  <c r="X228" i="8"/>
  <c r="AU230" i="17" s="1"/>
  <c r="Q225" i="8"/>
  <c r="AZ226" i="1"/>
  <c r="AZ223" i="1"/>
  <c r="AZ217" i="1"/>
  <c r="X212" i="8"/>
  <c r="AU214" i="17" s="1"/>
  <c r="S211" i="8"/>
  <c r="AZ210" i="1"/>
  <c r="AZ207" i="1"/>
  <c r="AZ201" i="1"/>
  <c r="AZ164" i="1"/>
  <c r="R162" i="8"/>
  <c r="AO164" i="17" s="1"/>
  <c r="S153" i="8"/>
  <c r="AZ148" i="1"/>
  <c r="S137" i="8"/>
  <c r="X130" i="8"/>
  <c r="AU132" i="17" s="1"/>
  <c r="AZ132" i="1"/>
  <c r="S96" i="8"/>
  <c r="AZ98" i="1"/>
  <c r="S89" i="8"/>
  <c r="X85" i="8"/>
  <c r="AU87" i="17" s="1"/>
  <c r="AZ87" i="1"/>
  <c r="S85" i="8"/>
  <c r="AZ174" i="1"/>
  <c r="AZ170" i="1"/>
  <c r="AZ166" i="1"/>
  <c r="AZ162" i="1"/>
  <c r="S160" i="8"/>
  <c r="AZ158" i="1"/>
  <c r="AZ154" i="1"/>
  <c r="Y152" i="8" s="1"/>
  <c r="AV154" i="17" s="1"/>
  <c r="S152" i="8"/>
  <c r="AZ150" i="1"/>
  <c r="AZ146" i="1"/>
  <c r="S144" i="8"/>
  <c r="AZ142" i="1"/>
  <c r="AZ138" i="1"/>
  <c r="Y136" i="8" s="1"/>
  <c r="AV138" i="17" s="1"/>
  <c r="S136" i="8"/>
  <c r="AZ134" i="1"/>
  <c r="X132" i="8"/>
  <c r="AU134" i="17" s="1"/>
  <c r="AZ130" i="1"/>
  <c r="S128" i="8"/>
  <c r="S184" i="8"/>
  <c r="S176" i="8"/>
  <c r="X175" i="8"/>
  <c r="AU177" i="17" s="1"/>
  <c r="X159" i="8"/>
  <c r="AU161" i="17" s="1"/>
  <c r="X147" i="8"/>
  <c r="AU149" i="17" s="1"/>
  <c r="AZ126" i="1"/>
  <c r="AZ118" i="1"/>
  <c r="AZ110" i="1"/>
  <c r="AZ100" i="1"/>
  <c r="X133" i="8"/>
  <c r="AU135" i="17" s="1"/>
  <c r="AZ122" i="1"/>
  <c r="S115" i="8"/>
  <c r="S112" i="8"/>
  <c r="AZ114" i="1"/>
  <c r="S107" i="8"/>
  <c r="AZ103" i="1"/>
  <c r="S101" i="8"/>
  <c r="AZ95" i="1"/>
  <c r="S93" i="8"/>
  <c r="AZ92" i="1"/>
  <c r="AZ88" i="1"/>
  <c r="AZ66" i="1"/>
  <c r="AZ175" i="1"/>
  <c r="AZ171" i="1"/>
  <c r="AZ167" i="1"/>
  <c r="AZ163" i="1"/>
  <c r="AZ159" i="1"/>
  <c r="AZ155" i="1"/>
  <c r="Y153" i="8" s="1"/>
  <c r="AV155" i="17" s="1"/>
  <c r="AZ151" i="1"/>
  <c r="AZ147" i="1"/>
  <c r="AZ143" i="1"/>
  <c r="AZ139" i="1"/>
  <c r="AZ135" i="1"/>
  <c r="Y133" i="8" s="1"/>
  <c r="AV135" i="17" s="1"/>
  <c r="AZ131" i="1"/>
  <c r="AZ127" i="1"/>
  <c r="X102" i="8"/>
  <c r="AU104" i="17" s="1"/>
  <c r="AZ104" i="1"/>
  <c r="AZ101" i="1"/>
  <c r="AZ96" i="1"/>
  <c r="AZ89" i="1"/>
  <c r="S74" i="8"/>
  <c r="AZ76" i="1"/>
  <c r="AZ75" i="1"/>
  <c r="AZ67" i="1"/>
  <c r="S83" i="8"/>
  <c r="AZ79" i="1"/>
  <c r="AZ73" i="1"/>
  <c r="Y71" i="8" s="1"/>
  <c r="S70" i="8"/>
  <c r="AZ71" i="1"/>
  <c r="X81" i="8"/>
  <c r="AU83" i="17" s="1"/>
  <c r="AZ83" i="1"/>
  <c r="AZ29" i="1"/>
  <c r="AZ20" i="1"/>
  <c r="Q20" i="8"/>
  <c r="Q29" i="8"/>
  <c r="R16" i="8"/>
  <c r="AO16" i="17" s="1"/>
  <c r="AZ55" i="1"/>
  <c r="S55" i="8"/>
  <c r="R55" i="8"/>
  <c r="AO55" i="17" s="1"/>
  <c r="AZ47" i="1"/>
  <c r="AZ39" i="1"/>
  <c r="X60" i="8"/>
  <c r="AU60" i="17" s="1"/>
  <c r="AZ60" i="1"/>
  <c r="AZ43" i="1"/>
  <c r="R43" i="8"/>
  <c r="AO43" i="17" s="1"/>
  <c r="AZ40" i="1"/>
  <c r="Y40" i="8" s="1"/>
  <c r="AV40" i="17" s="1"/>
  <c r="AZ31" i="1"/>
  <c r="AZ53" i="1"/>
  <c r="Q52" i="8"/>
  <c r="AZ37" i="1"/>
  <c r="AZ17" i="1"/>
  <c r="Q17" i="8"/>
  <c r="AZ13" i="1"/>
  <c r="BA13" i="1" s="1"/>
  <c r="AZ19" i="1"/>
  <c r="X16" i="8"/>
  <c r="AU16" i="17" s="1"/>
  <c r="AZ12" i="1"/>
  <c r="BA12" i="1" s="1"/>
  <c r="Q28" i="8"/>
  <c r="Q25" i="8"/>
  <c r="AZ51" i="1"/>
  <c r="AZ35" i="1"/>
  <c r="AZ27" i="1"/>
  <c r="Y27" i="8" s="1"/>
  <c r="AV27" i="17" s="1"/>
  <c r="AZ15" i="1"/>
  <c r="X48" i="8"/>
  <c r="AU48" i="17" s="1"/>
  <c r="X32" i="8"/>
  <c r="AU32" i="17" s="1"/>
  <c r="AZ23" i="1"/>
  <c r="S59" i="8"/>
  <c r="Q59" i="8"/>
  <c r="Q245" i="8"/>
  <c r="Q200" i="8"/>
  <c r="Q184" i="8"/>
  <c r="Q171" i="8"/>
  <c r="Q168" i="8"/>
  <c r="Q152" i="8"/>
  <c r="Q139" i="8"/>
  <c r="Q123" i="8"/>
  <c r="S123" i="8"/>
  <c r="S120" i="8"/>
  <c r="Q120" i="8"/>
  <c r="S104" i="8"/>
  <c r="Q104" i="8"/>
  <c r="R93" i="8"/>
  <c r="AO95" i="17" s="1"/>
  <c r="Q45" i="8"/>
  <c r="S254" i="8"/>
  <c r="Q254" i="8"/>
  <c r="S251" i="8"/>
  <c r="Q251" i="8"/>
  <c r="S250" i="8"/>
  <c r="Q248" i="8"/>
  <c r="Q238" i="8"/>
  <c r="S238" i="8"/>
  <c r="S235" i="8"/>
  <c r="Q235" i="8"/>
  <c r="S234" i="8"/>
  <c r="Q232" i="8"/>
  <c r="S232" i="8"/>
  <c r="Q96" i="8"/>
  <c r="R85" i="8"/>
  <c r="AO87" i="17" s="1"/>
  <c r="Q75" i="8"/>
  <c r="S75" i="8"/>
  <c r="S64" i="8"/>
  <c r="Q64" i="8"/>
  <c r="S51" i="8"/>
  <c r="Q51" i="8"/>
  <c r="R42" i="8"/>
  <c r="AO42" i="17" s="1"/>
  <c r="R38" i="8"/>
  <c r="AO38" i="17" s="1"/>
  <c r="R34" i="8"/>
  <c r="AO34" i="17" s="1"/>
  <c r="R30" i="8"/>
  <c r="AO30" i="17" s="1"/>
  <c r="R22" i="8"/>
  <c r="AO22" i="17" s="1"/>
  <c r="R18" i="8"/>
  <c r="R14" i="8"/>
  <c r="AO14" i="17" s="1"/>
  <c r="Q253" i="8"/>
  <c r="Q237" i="8"/>
  <c r="Q227" i="8"/>
  <c r="Q224" i="8"/>
  <c r="Q211" i="8"/>
  <c r="Q208" i="8"/>
  <c r="Q195" i="8"/>
  <c r="Q192" i="8"/>
  <c r="Q179" i="8"/>
  <c r="Q176" i="8"/>
  <c r="Q163" i="8"/>
  <c r="Q160" i="8"/>
  <c r="Q147" i="8"/>
  <c r="Q144" i="8"/>
  <c r="Q131" i="8"/>
  <c r="Q128" i="8"/>
  <c r="Q115" i="8"/>
  <c r="Q112" i="8"/>
  <c r="Q99" i="8"/>
  <c r="S99" i="8"/>
  <c r="S88" i="8"/>
  <c r="Q88" i="8"/>
  <c r="R77" i="8"/>
  <c r="AO79" i="17" s="1"/>
  <c r="Q67" i="8"/>
  <c r="Q57" i="8"/>
  <c r="Q219" i="8"/>
  <c r="Q216" i="8"/>
  <c r="Q203" i="8"/>
  <c r="Q187" i="8"/>
  <c r="Q155" i="8"/>
  <c r="Q136" i="8"/>
  <c r="Q107" i="8"/>
  <c r="Q83" i="8"/>
  <c r="S72" i="8"/>
  <c r="Q72" i="8"/>
  <c r="Q55" i="8"/>
  <c r="Q259" i="8"/>
  <c r="Q256" i="8"/>
  <c r="Q246" i="8"/>
  <c r="Q243" i="8"/>
  <c r="S242" i="8"/>
  <c r="Q240" i="8"/>
  <c r="S240" i="8"/>
  <c r="R101" i="8"/>
  <c r="AO103" i="17" s="1"/>
  <c r="Q91" i="8"/>
  <c r="Q80" i="8"/>
  <c r="R69" i="8"/>
  <c r="AO71" i="17" s="1"/>
  <c r="Q53" i="8"/>
  <c r="R48" i="8"/>
  <c r="AO48" i="17" s="1"/>
  <c r="Q229" i="8"/>
  <c r="S81" i="8"/>
  <c r="Q197" i="8"/>
  <c r="Q239" i="8"/>
  <c r="R230" i="8"/>
  <c r="AO232" i="17" s="1"/>
  <c r="O227" i="8"/>
  <c r="AL229" i="17" s="1"/>
  <c r="R222" i="8"/>
  <c r="AO224" i="17" s="1"/>
  <c r="Q220" i="8"/>
  <c r="O219" i="8"/>
  <c r="AL221" i="17" s="1"/>
  <c r="R214" i="8"/>
  <c r="AO216" i="17" s="1"/>
  <c r="Q212" i="8"/>
  <c r="R206" i="8"/>
  <c r="AO208" i="17" s="1"/>
  <c r="Q204" i="8"/>
  <c r="O203" i="8"/>
  <c r="AL205" i="17" s="1"/>
  <c r="R198" i="8"/>
  <c r="AO200" i="17" s="1"/>
  <c r="Q196" i="8"/>
  <c r="O195" i="8"/>
  <c r="AL197" i="17" s="1"/>
  <c r="R190" i="8"/>
  <c r="AO192" i="17" s="1"/>
  <c r="O187" i="8"/>
  <c r="AL189" i="17" s="1"/>
  <c r="R182" i="8"/>
  <c r="AO184" i="17" s="1"/>
  <c r="O179" i="8"/>
  <c r="AL181" i="17" s="1"/>
  <c r="R174" i="8"/>
  <c r="AO176" i="17" s="1"/>
  <c r="O171" i="8"/>
  <c r="AL173" i="17" s="1"/>
  <c r="R166" i="8"/>
  <c r="AO168" i="17" s="1"/>
  <c r="O163" i="8"/>
  <c r="AL165" i="17" s="1"/>
  <c r="R158" i="8"/>
  <c r="AO160" i="17" s="1"/>
  <c r="Q156" i="8"/>
  <c r="O155" i="8"/>
  <c r="AL157" i="17" s="1"/>
  <c r="R150" i="8"/>
  <c r="AO152" i="17" s="1"/>
  <c r="O147" i="8"/>
  <c r="AL149" i="17" s="1"/>
  <c r="R142" i="8"/>
  <c r="AO144" i="17" s="1"/>
  <c r="Q140" i="8"/>
  <c r="R134" i="8"/>
  <c r="AO136" i="17" s="1"/>
  <c r="O131" i="8"/>
  <c r="AL133" i="17" s="1"/>
  <c r="R126" i="8"/>
  <c r="AO128" i="17" s="1"/>
  <c r="Q124" i="8"/>
  <c r="R118" i="8"/>
  <c r="AO120" i="17" s="1"/>
  <c r="Q116" i="8"/>
  <c r="R110" i="8"/>
  <c r="AO112" i="17" s="1"/>
  <c r="Q108" i="8"/>
  <c r="R102" i="8"/>
  <c r="AO104" i="17" s="1"/>
  <c r="Q100" i="8"/>
  <c r="R94" i="8"/>
  <c r="AO96" i="17" s="1"/>
  <c r="Q92" i="8"/>
  <c r="R86" i="8"/>
  <c r="AO88" i="17" s="1"/>
  <c r="Q84" i="8"/>
  <c r="R78" i="8"/>
  <c r="AO80" i="17" s="1"/>
  <c r="S76" i="8"/>
  <c r="Q76" i="8"/>
  <c r="R70" i="8"/>
  <c r="AO72" i="17" s="1"/>
  <c r="Q68" i="8"/>
  <c r="Q255" i="8"/>
  <c r="Q189" i="8"/>
  <c r="S257" i="8"/>
  <c r="Q257" i="8"/>
  <c r="S249" i="8"/>
  <c r="Q249" i="8"/>
  <c r="Q241" i="8"/>
  <c r="Q233" i="8"/>
  <c r="S213" i="8"/>
  <c r="S173" i="8"/>
  <c r="S165" i="8"/>
  <c r="S157" i="8"/>
  <c r="S149" i="8"/>
  <c r="S133" i="8"/>
  <c r="S109" i="8"/>
  <c r="AL256" i="17"/>
  <c r="AL248" i="17"/>
  <c r="AQ231" i="17"/>
  <c r="AM231" i="17"/>
  <c r="AQ223" i="17"/>
  <c r="AM223" i="17"/>
  <c r="AQ215" i="17"/>
  <c r="AM215" i="17"/>
  <c r="AQ207" i="17"/>
  <c r="AQ199" i="17"/>
  <c r="AM199" i="17"/>
  <c r="AQ191" i="17"/>
  <c r="AM191" i="17"/>
  <c r="AQ183" i="17"/>
  <c r="AM183" i="17"/>
  <c r="AQ175" i="17"/>
  <c r="AM175" i="17"/>
  <c r="AQ167" i="17"/>
  <c r="AM167" i="17"/>
  <c r="AQ159" i="17"/>
  <c r="AM159" i="17"/>
  <c r="AQ151" i="17"/>
  <c r="AM151" i="17"/>
  <c r="AQ143" i="17"/>
  <c r="AM143" i="17"/>
  <c r="AQ135" i="17"/>
  <c r="AM135" i="17"/>
  <c r="AQ127" i="17"/>
  <c r="AM127" i="17"/>
  <c r="AQ119" i="17"/>
  <c r="AM119" i="17"/>
  <c r="AQ111" i="17"/>
  <c r="AM111" i="17"/>
  <c r="AQ103" i="17"/>
  <c r="AM103" i="17"/>
  <c r="AQ95" i="17"/>
  <c r="AM95" i="17"/>
  <c r="AQ87" i="17"/>
  <c r="AM87" i="17"/>
  <c r="AQ79" i="17"/>
  <c r="AM79" i="17"/>
  <c r="AQ71" i="17"/>
  <c r="AM71" i="17"/>
  <c r="AO64" i="17"/>
  <c r="AO44" i="17"/>
  <c r="AO40" i="17"/>
  <c r="AO32" i="17"/>
  <c r="AO28" i="17"/>
  <c r="AO12" i="17"/>
  <c r="AQ61" i="17"/>
  <c r="E1" i="17"/>
  <c r="H1" i="17"/>
  <c r="T262" i="8"/>
  <c r="AC61" i="8"/>
  <c r="T261" i="8"/>
  <c r="Z9" i="8"/>
  <c r="Z8" i="8"/>
  <c r="Z7" i="8"/>
  <c r="Z6" i="8"/>
  <c r="Z5" i="8"/>
  <c r="S5" i="8"/>
  <c r="Z4" i="8"/>
  <c r="Z3" i="8"/>
  <c r="Z2" i="8"/>
  <c r="X253" i="8"/>
  <c r="AU255" i="17" s="1"/>
  <c r="Y241" i="8"/>
  <c r="AV243" i="17" s="1"/>
  <c r="Y225" i="8"/>
  <c r="AV227" i="17" s="1"/>
  <c r="Y209" i="8"/>
  <c r="AV211" i="17" s="1"/>
  <c r="Y206" i="8"/>
  <c r="AV208" i="17" s="1"/>
  <c r="Y198" i="8"/>
  <c r="AV200" i="17" s="1"/>
  <c r="Y193" i="8"/>
  <c r="AV195" i="17" s="1"/>
  <c r="Y155" i="8"/>
  <c r="AV157" i="17" s="1"/>
  <c r="Y101" i="8"/>
  <c r="AV103" i="17" s="1"/>
  <c r="BC72" i="1"/>
  <c r="BC71" i="1"/>
  <c r="BC70" i="1"/>
  <c r="BC69" i="1"/>
  <c r="BC68" i="1"/>
  <c r="BC67" i="1"/>
  <c r="BC66" i="1"/>
  <c r="BC65" i="1"/>
  <c r="X61" i="8"/>
  <c r="BC20" i="1"/>
  <c r="BC19" i="1"/>
  <c r="BC18" i="1"/>
  <c r="BC17" i="1"/>
  <c r="BC16" i="1"/>
  <c r="Y16" i="8"/>
  <c r="BC15" i="1"/>
  <c r="BC14" i="1"/>
  <c r="BC13" i="1"/>
  <c r="AT5" i="1"/>
  <c r="AU263" i="1"/>
  <c r="AS263" i="1"/>
  <c r="AR263" i="1"/>
  <c r="Z257" i="8"/>
  <c r="Z241" i="8"/>
  <c r="AW243" i="17" s="1"/>
  <c r="Z217" i="8"/>
  <c r="Z213" i="8"/>
  <c r="Z201" i="8"/>
  <c r="Z177" i="8"/>
  <c r="AW179" i="17" s="1"/>
  <c r="Z117" i="8"/>
  <c r="Z110" i="8"/>
  <c r="Y27" i="1"/>
  <c r="AU61" i="1"/>
  <c r="AS61" i="1"/>
  <c r="AR61" i="1"/>
  <c r="Z18" i="8"/>
  <c r="AW18" i="17" s="1"/>
  <c r="BD11" i="1"/>
  <c r="Z60" i="1"/>
  <c r="Z59" i="1"/>
  <c r="Z58" i="1"/>
  <c r="Z57" i="1"/>
  <c r="Z55" i="1"/>
  <c r="X53" i="1"/>
  <c r="X54" i="1"/>
  <c r="X55" i="1"/>
  <c r="X56" i="1"/>
  <c r="X57" i="1"/>
  <c r="X58" i="1"/>
  <c r="X59" i="1"/>
  <c r="X60" i="1"/>
  <c r="X52" i="1"/>
  <c r="Y8" i="1"/>
  <c r="U89" i="1" l="1"/>
  <c r="U85" i="1"/>
  <c r="U81" i="1"/>
  <c r="U77" i="1"/>
  <c r="Y9" i="1"/>
  <c r="U59" i="1"/>
  <c r="U87" i="1"/>
  <c r="U83" i="1"/>
  <c r="U90" i="1"/>
  <c r="U82" i="1"/>
  <c r="U78" i="1"/>
  <c r="U88" i="1"/>
  <c r="U84" i="1"/>
  <c r="U80" i="1"/>
  <c r="U51" i="1"/>
  <c r="U91" i="1"/>
  <c r="U79" i="1"/>
  <c r="U73" i="1"/>
  <c r="V6" i="1"/>
  <c r="U86" i="1"/>
  <c r="U65" i="1"/>
  <c r="F72" i="17"/>
  <c r="I31" i="17"/>
  <c r="I30" i="17"/>
  <c r="F75" i="17"/>
  <c r="I28" i="17"/>
  <c r="I29" i="17"/>
  <c r="L34" i="1"/>
  <c r="L78" i="1"/>
  <c r="L74" i="1"/>
  <c r="L51" i="1"/>
  <c r="L47" i="1"/>
  <c r="L43" i="1"/>
  <c r="L20" i="1"/>
  <c r="L16" i="1"/>
  <c r="L3" i="1"/>
  <c r="L28" i="1"/>
  <c r="L26" i="1"/>
  <c r="L110" i="1"/>
  <c r="L77" i="1"/>
  <c r="L72" i="1"/>
  <c r="L50" i="1"/>
  <c r="L46" i="1"/>
  <c r="L42" i="1"/>
  <c r="L19" i="1"/>
  <c r="L15" i="1"/>
  <c r="L48" i="1"/>
  <c r="L103" i="1"/>
  <c r="L76" i="1"/>
  <c r="L71" i="1"/>
  <c r="L49" i="1"/>
  <c r="L45" i="1"/>
  <c r="L27" i="1"/>
  <c r="L18" i="1"/>
  <c r="L14" i="1"/>
  <c r="L40" i="1"/>
  <c r="L79" i="1"/>
  <c r="L75" i="1"/>
  <c r="L64" i="1"/>
  <c r="L44" i="1"/>
  <c r="L21" i="1"/>
  <c r="L17" i="1"/>
  <c r="L4" i="1"/>
  <c r="AP215" i="17"/>
  <c r="AN215" i="17"/>
  <c r="AP77" i="17"/>
  <c r="AN77" i="17"/>
  <c r="AP237" i="17"/>
  <c r="AN237" i="17"/>
  <c r="AP106" i="17"/>
  <c r="AN106" i="17"/>
  <c r="AP85" i="17"/>
  <c r="AN85" i="17"/>
  <c r="AP154" i="17"/>
  <c r="AN154" i="17"/>
  <c r="AP99" i="17"/>
  <c r="AN99" i="17"/>
  <c r="AP226" i="17"/>
  <c r="AN226" i="17"/>
  <c r="AP101" i="17"/>
  <c r="AN101" i="17"/>
  <c r="AP240" i="17"/>
  <c r="AN240" i="17"/>
  <c r="AP103" i="17"/>
  <c r="AN103" i="17"/>
  <c r="AP130" i="17"/>
  <c r="AN130" i="17"/>
  <c r="AP162" i="17"/>
  <c r="AN162" i="17"/>
  <c r="AP98" i="17"/>
  <c r="AN98" i="17"/>
  <c r="AP245" i="17"/>
  <c r="AN245" i="17"/>
  <c r="AP239" i="17"/>
  <c r="AN239" i="17"/>
  <c r="AP179" i="17"/>
  <c r="AN179" i="17"/>
  <c r="AP217" i="17"/>
  <c r="AN217" i="17"/>
  <c r="AP151" i="17"/>
  <c r="AN151" i="17"/>
  <c r="AP251" i="17"/>
  <c r="AN251" i="17"/>
  <c r="AP90" i="17"/>
  <c r="AN90" i="17"/>
  <c r="AP252" i="17"/>
  <c r="AN252" i="17"/>
  <c r="AP76" i="17"/>
  <c r="AN76" i="17"/>
  <c r="AP213" i="17"/>
  <c r="AN213" i="17"/>
  <c r="AP159" i="17"/>
  <c r="AN159" i="17"/>
  <c r="AP111" i="17"/>
  <c r="AN111" i="17"/>
  <c r="AP167" i="17"/>
  <c r="AN167" i="17"/>
  <c r="AP259" i="17"/>
  <c r="AN259" i="17"/>
  <c r="AP83" i="17"/>
  <c r="AN83" i="17"/>
  <c r="AP242" i="17"/>
  <c r="AN242" i="17"/>
  <c r="AP236" i="17"/>
  <c r="AN236" i="17"/>
  <c r="AP253" i="17"/>
  <c r="AN253" i="17"/>
  <c r="AP122" i="17"/>
  <c r="AN122" i="17"/>
  <c r="AP95" i="17"/>
  <c r="AN95" i="17"/>
  <c r="AP114" i="17"/>
  <c r="AN114" i="17"/>
  <c r="AP178" i="17"/>
  <c r="AN178" i="17"/>
  <c r="AP138" i="17"/>
  <c r="AN138" i="17"/>
  <c r="AP91" i="17"/>
  <c r="AN91" i="17"/>
  <c r="AP194" i="17"/>
  <c r="AN194" i="17"/>
  <c r="AP202" i="17"/>
  <c r="AN202" i="17"/>
  <c r="AP187" i="17"/>
  <c r="AN187" i="17"/>
  <c r="AP131" i="17"/>
  <c r="AN131" i="17"/>
  <c r="AP147" i="17"/>
  <c r="AN147" i="17"/>
  <c r="AP78" i="17"/>
  <c r="AN78" i="17"/>
  <c r="AP244" i="17"/>
  <c r="AN244" i="17"/>
  <c r="AP234" i="17"/>
  <c r="AN234" i="17"/>
  <c r="AP256" i="17"/>
  <c r="AN256" i="17"/>
  <c r="AP139" i="17"/>
  <c r="AN139" i="17"/>
  <c r="AP218" i="17"/>
  <c r="AN218" i="17"/>
  <c r="AP223" i="17"/>
  <c r="AN223" i="17"/>
  <c r="AP183" i="17"/>
  <c r="AN183" i="17"/>
  <c r="Z209" i="8"/>
  <c r="AP135" i="17"/>
  <c r="AN135" i="17"/>
  <c r="AP175" i="17"/>
  <c r="AN175" i="17"/>
  <c r="AP74" i="17"/>
  <c r="AN74" i="17"/>
  <c r="AP66" i="17"/>
  <c r="AN66" i="17"/>
  <c r="AP125" i="17"/>
  <c r="AN125" i="17"/>
  <c r="AP72" i="17"/>
  <c r="AN72" i="17"/>
  <c r="AP109" i="17"/>
  <c r="AN109" i="17"/>
  <c r="AP117" i="17"/>
  <c r="AN117" i="17"/>
  <c r="AP186" i="17"/>
  <c r="AN186" i="17"/>
  <c r="AP146" i="17"/>
  <c r="AN146" i="17"/>
  <c r="AP87" i="17"/>
  <c r="AN87" i="17"/>
  <c r="AP155" i="17"/>
  <c r="AN155" i="17"/>
  <c r="AP261" i="17"/>
  <c r="AN261" i="17"/>
  <c r="AP163" i="17"/>
  <c r="AN163" i="17"/>
  <c r="AP247" i="17"/>
  <c r="AN247" i="17"/>
  <c r="AP235" i="17"/>
  <c r="AN235" i="17"/>
  <c r="AP210" i="17"/>
  <c r="AN210" i="17"/>
  <c r="AP107" i="17"/>
  <c r="AN107" i="17"/>
  <c r="AP209" i="17"/>
  <c r="AN209" i="17"/>
  <c r="AP115" i="17"/>
  <c r="AN115" i="17"/>
  <c r="AP193" i="17"/>
  <c r="AN193" i="17"/>
  <c r="AP123" i="17"/>
  <c r="AN123" i="17"/>
  <c r="AP225" i="17"/>
  <c r="AN225" i="17"/>
  <c r="AP55" i="17"/>
  <c r="AN55" i="17"/>
  <c r="AP51" i="17"/>
  <c r="AN51" i="17"/>
  <c r="AP59" i="17"/>
  <c r="AN59" i="17"/>
  <c r="Y54" i="8"/>
  <c r="AV54" i="17" s="1"/>
  <c r="P23" i="1"/>
  <c r="P24" i="1"/>
  <c r="AE38" i="1"/>
  <c r="H28" i="17" s="1"/>
  <c r="AE76" i="1"/>
  <c r="AE78" i="1"/>
  <c r="C19" i="16"/>
  <c r="AE77" i="1"/>
  <c r="BE41" i="1"/>
  <c r="AF12" i="8"/>
  <c r="BE30" i="1"/>
  <c r="AF8" i="8"/>
  <c r="AT7" i="1"/>
  <c r="AT4" i="1" s="1"/>
  <c r="BE38" i="1"/>
  <c r="AF10" i="8"/>
  <c r="BE40" i="1"/>
  <c r="AF11" i="8"/>
  <c r="BE34" i="1"/>
  <c r="AF9" i="8"/>
  <c r="BE26" i="1"/>
  <c r="AF7" i="8"/>
  <c r="V4" i="8"/>
  <c r="AU7" i="1"/>
  <c r="AU4" i="1" s="1"/>
  <c r="AX7" i="1"/>
  <c r="AW7" i="1"/>
  <c r="U7" i="8"/>
  <c r="U4" i="8" s="1"/>
  <c r="BE22" i="1"/>
  <c r="AF6" i="8"/>
  <c r="Z212" i="8"/>
  <c r="Z249" i="8"/>
  <c r="S246" i="8"/>
  <c r="S169" i="8"/>
  <c r="S68" i="8"/>
  <c r="S73" i="8"/>
  <c r="BB227" i="1"/>
  <c r="AV227" i="1" s="1"/>
  <c r="Z225" i="8"/>
  <c r="AW227" i="17" s="1"/>
  <c r="S253" i="8"/>
  <c r="Y34" i="8"/>
  <c r="AV34" i="17" s="1"/>
  <c r="Y109" i="8"/>
  <c r="AV111" i="17" s="1"/>
  <c r="Y185" i="8"/>
  <c r="AV187" i="17" s="1"/>
  <c r="S125" i="8"/>
  <c r="R261" i="8"/>
  <c r="BB169" i="1"/>
  <c r="AV169" i="1" s="1"/>
  <c r="Z84" i="8"/>
  <c r="AW86" i="17" s="1"/>
  <c r="BB85" i="1"/>
  <c r="AV85" i="1" s="1"/>
  <c r="Z83" i="8"/>
  <c r="AW85" i="17" s="1"/>
  <c r="BB137" i="1"/>
  <c r="AV137" i="1" s="1"/>
  <c r="Z135" i="8"/>
  <c r="AW137" i="17" s="1"/>
  <c r="BB153" i="1"/>
  <c r="AV153" i="1" s="1"/>
  <c r="Y177" i="8"/>
  <c r="AV179" i="17" s="1"/>
  <c r="S62" i="8"/>
  <c r="S141" i="8"/>
  <c r="S80" i="8"/>
  <c r="Z100" i="8"/>
  <c r="AW102" i="17" s="1"/>
  <c r="Z103" i="8"/>
  <c r="AW105" i="17" s="1"/>
  <c r="S117" i="8"/>
  <c r="S69" i="8"/>
  <c r="AN71" i="17" s="1"/>
  <c r="S91" i="8"/>
  <c r="AZ65" i="1"/>
  <c r="Y63" i="8" s="1"/>
  <c r="AV65" i="17" s="1"/>
  <c r="S199" i="8"/>
  <c r="AC11" i="8"/>
  <c r="Y28" i="1"/>
  <c r="BA19" i="1"/>
  <c r="BB19" i="1" s="1"/>
  <c r="AV19" i="1" s="1"/>
  <c r="BA17" i="1"/>
  <c r="BB17" i="1" s="1"/>
  <c r="AV17" i="1" s="1"/>
  <c r="BA43" i="1"/>
  <c r="BB43" i="1" s="1"/>
  <c r="BA75" i="1"/>
  <c r="BB75" i="1" s="1"/>
  <c r="AV75" i="1" s="1"/>
  <c r="BA101" i="1"/>
  <c r="BB101" i="1" s="1"/>
  <c r="AV101" i="1" s="1"/>
  <c r="BA159" i="1"/>
  <c r="BA118" i="1"/>
  <c r="Z116" i="8" s="1"/>
  <c r="AW118" i="17" s="1"/>
  <c r="BA134" i="1"/>
  <c r="BB134" i="1" s="1"/>
  <c r="AV134" i="1" s="1"/>
  <c r="BA87" i="1"/>
  <c r="BB87" i="1" s="1"/>
  <c r="AV87" i="1" s="1"/>
  <c r="U85" i="8" s="1"/>
  <c r="BA258" i="1"/>
  <c r="BB258" i="1" s="1"/>
  <c r="AV258" i="1" s="1"/>
  <c r="BA190" i="1"/>
  <c r="BB190" i="1" s="1"/>
  <c r="AV190" i="1" s="1"/>
  <c r="BA257" i="1"/>
  <c r="BB257" i="1" s="1"/>
  <c r="AV257" i="1" s="1"/>
  <c r="BA99" i="1"/>
  <c r="BB99" i="1" s="1"/>
  <c r="BA128" i="1"/>
  <c r="BB128" i="1" s="1"/>
  <c r="AV128" i="1" s="1"/>
  <c r="BA152" i="1"/>
  <c r="BB152" i="1" s="1"/>
  <c r="AV152" i="1" s="1"/>
  <c r="BA64" i="1"/>
  <c r="BB64" i="1" s="1"/>
  <c r="AV64" i="1" s="1"/>
  <c r="BA191" i="1"/>
  <c r="BB191" i="1" s="1"/>
  <c r="AV191" i="1" s="1"/>
  <c r="BA229" i="1"/>
  <c r="Z227" i="8" s="1"/>
  <c r="BA82" i="1"/>
  <c r="BB82" i="1" s="1"/>
  <c r="AV82" i="1" s="1"/>
  <c r="BA220" i="1"/>
  <c r="Z218" i="8" s="1"/>
  <c r="AW220" i="17" s="1"/>
  <c r="BA107" i="1"/>
  <c r="BB107" i="1" s="1"/>
  <c r="AV107" i="1" s="1"/>
  <c r="BA204" i="1"/>
  <c r="BB204" i="1" s="1"/>
  <c r="AV204" i="1" s="1"/>
  <c r="BA252" i="1"/>
  <c r="BB252" i="1" s="1"/>
  <c r="AV252" i="1" s="1"/>
  <c r="BA74" i="1"/>
  <c r="BB74" i="1" s="1"/>
  <c r="AV74" i="1" s="1"/>
  <c r="Z181" i="8"/>
  <c r="Z216" i="8"/>
  <c r="AW218" i="17" s="1"/>
  <c r="Y22" i="8"/>
  <c r="AV22" i="17" s="1"/>
  <c r="Y118" i="8"/>
  <c r="AV120" i="17" s="1"/>
  <c r="S84" i="8"/>
  <c r="S65" i="8"/>
  <c r="S258" i="8"/>
  <c r="S53" i="8"/>
  <c r="BB12" i="1"/>
  <c r="AV12" i="1" s="1"/>
  <c r="BB13" i="1"/>
  <c r="AV13" i="1" s="1"/>
  <c r="BA40" i="1"/>
  <c r="BB40" i="1" s="1"/>
  <c r="AV40" i="1" s="1"/>
  <c r="BA29" i="1"/>
  <c r="BB29" i="1" s="1"/>
  <c r="AV29" i="1" s="1"/>
  <c r="BA83" i="1"/>
  <c r="BB83" i="1" s="1"/>
  <c r="AV83" i="1" s="1"/>
  <c r="BA71" i="1"/>
  <c r="BB71" i="1" s="1"/>
  <c r="AV71" i="1" s="1"/>
  <c r="BA73" i="1"/>
  <c r="BB73" i="1" s="1"/>
  <c r="AV73" i="1" s="1"/>
  <c r="BA131" i="1"/>
  <c r="Z129" i="8" s="1"/>
  <c r="BA147" i="1"/>
  <c r="BA163" i="1"/>
  <c r="Z161" i="8" s="1"/>
  <c r="AW163" i="17" s="1"/>
  <c r="BA110" i="1"/>
  <c r="BB110" i="1" s="1"/>
  <c r="BA130" i="1"/>
  <c r="BB130" i="1" s="1"/>
  <c r="AV130" i="1" s="1"/>
  <c r="BA146" i="1"/>
  <c r="BB146" i="1" s="1"/>
  <c r="AV146" i="1" s="1"/>
  <c r="BA162" i="1"/>
  <c r="BB162" i="1" s="1"/>
  <c r="AV162" i="1" s="1"/>
  <c r="BA98" i="1"/>
  <c r="BB98" i="1" s="1"/>
  <c r="BA207" i="1"/>
  <c r="BA217" i="1"/>
  <c r="BB217" i="1" s="1"/>
  <c r="AV217" i="1" s="1"/>
  <c r="BA249" i="1"/>
  <c r="Z247" i="8" s="1"/>
  <c r="BA156" i="1"/>
  <c r="BB156" i="1" s="1"/>
  <c r="AV156" i="1" s="1"/>
  <c r="BA172" i="1"/>
  <c r="BB172" i="1" s="1"/>
  <c r="AV172" i="1" s="1"/>
  <c r="U170" i="8" s="1"/>
  <c r="BA113" i="1"/>
  <c r="BB113" i="1" s="1"/>
  <c r="AV113" i="1" s="1"/>
  <c r="BA121" i="1"/>
  <c r="BB121" i="1" s="1"/>
  <c r="AV121" i="1" s="1"/>
  <c r="BA194" i="1"/>
  <c r="BA261" i="1"/>
  <c r="BB261" i="1" s="1"/>
  <c r="AV261" i="1" s="1"/>
  <c r="BA136" i="1"/>
  <c r="BA205" i="1"/>
  <c r="BB205" i="1" s="1"/>
  <c r="AV205" i="1" s="1"/>
  <c r="BA253" i="1"/>
  <c r="BB253" i="1" s="1"/>
  <c r="AV253" i="1" s="1"/>
  <c r="BA160" i="1"/>
  <c r="BB160" i="1" s="1"/>
  <c r="AV160" i="1" s="1"/>
  <c r="BA230" i="1"/>
  <c r="BB230" i="1" s="1"/>
  <c r="AV230" i="1" s="1"/>
  <c r="BA97" i="1"/>
  <c r="BB97" i="1" s="1"/>
  <c r="AV97" i="1" s="1"/>
  <c r="BA80" i="1"/>
  <c r="BA21" i="1"/>
  <c r="BB21" i="1" s="1"/>
  <c r="AV21" i="1" s="1"/>
  <c r="BA200" i="1"/>
  <c r="BB200" i="1" s="1"/>
  <c r="AV200" i="1" s="1"/>
  <c r="BA161" i="1"/>
  <c r="BB161" i="1" s="1"/>
  <c r="AV161" i="1" s="1"/>
  <c r="BA36" i="1"/>
  <c r="BB36" i="1" s="1"/>
  <c r="AV36" i="1" s="1"/>
  <c r="BA20" i="1"/>
  <c r="BB20" i="1" s="1"/>
  <c r="BA76" i="1"/>
  <c r="BB76" i="1" s="1"/>
  <c r="AV76" i="1" s="1"/>
  <c r="BA96" i="1"/>
  <c r="BB96" i="1" s="1"/>
  <c r="AV96" i="1" s="1"/>
  <c r="BA135" i="1"/>
  <c r="BB135" i="1" s="1"/>
  <c r="AV135" i="1" s="1"/>
  <c r="BA167" i="1"/>
  <c r="BB167" i="1" s="1"/>
  <c r="AV167" i="1" s="1"/>
  <c r="BA142" i="1"/>
  <c r="BB142" i="1" s="1"/>
  <c r="AV142" i="1" s="1"/>
  <c r="BA158" i="1"/>
  <c r="BB158" i="1" s="1"/>
  <c r="AV158" i="1" s="1"/>
  <c r="BA174" i="1"/>
  <c r="BB174" i="1" s="1"/>
  <c r="AV174" i="1" s="1"/>
  <c r="BA210" i="1"/>
  <c r="BB210" i="1" s="1"/>
  <c r="AV210" i="1" s="1"/>
  <c r="BA239" i="1"/>
  <c r="BB239" i="1" s="1"/>
  <c r="AV239" i="1" s="1"/>
  <c r="BA140" i="1"/>
  <c r="BB140" i="1" s="1"/>
  <c r="AV140" i="1" s="1"/>
  <c r="U138" i="8" s="1"/>
  <c r="BA209" i="1"/>
  <c r="BB209" i="1" s="1"/>
  <c r="AV209" i="1" s="1"/>
  <c r="BA241" i="1"/>
  <c r="Z239" i="8" s="1"/>
  <c r="AW241" i="17" s="1"/>
  <c r="BA176" i="1"/>
  <c r="BB176" i="1" s="1"/>
  <c r="AV176" i="1" s="1"/>
  <c r="BA213" i="1"/>
  <c r="BB213" i="1" s="1"/>
  <c r="AV213" i="1" s="1"/>
  <c r="BA254" i="1"/>
  <c r="BB254" i="1" s="1"/>
  <c r="AV254" i="1" s="1"/>
  <c r="BA68" i="1"/>
  <c r="BB68" i="1" s="1"/>
  <c r="AV68" i="1" s="1"/>
  <c r="BA221" i="1"/>
  <c r="BB221" i="1" s="1"/>
  <c r="AV221" i="1" s="1"/>
  <c r="BA144" i="1"/>
  <c r="BB144" i="1" s="1"/>
  <c r="AV144" i="1" s="1"/>
  <c r="BA185" i="1"/>
  <c r="Z183" i="8" s="1"/>
  <c r="AW185" i="17" s="1"/>
  <c r="BA238" i="1"/>
  <c r="BB238" i="1" s="1"/>
  <c r="AV238" i="1" s="1"/>
  <c r="BA195" i="1"/>
  <c r="BB195" i="1" s="1"/>
  <c r="AV195" i="1" s="1"/>
  <c r="BA145" i="1"/>
  <c r="Z143" i="8" s="1"/>
  <c r="BA129" i="1"/>
  <c r="BB129" i="1" s="1"/>
  <c r="AV129" i="1" s="1"/>
  <c r="BA182" i="1"/>
  <c r="BB182" i="1" s="1"/>
  <c r="AV182" i="1" s="1"/>
  <c r="BA32" i="1"/>
  <c r="BB32" i="1" s="1"/>
  <c r="BA49" i="1"/>
  <c r="BB49" i="1" s="1"/>
  <c r="AV49" i="1" s="1"/>
  <c r="BA23" i="1"/>
  <c r="BB23" i="1" s="1"/>
  <c r="BA31" i="1"/>
  <c r="BB31" i="1" s="1"/>
  <c r="BA39" i="1"/>
  <c r="BB39" i="1" s="1"/>
  <c r="AV39" i="1" s="1"/>
  <c r="BA79" i="1"/>
  <c r="BB79" i="1" s="1"/>
  <c r="AV79" i="1" s="1"/>
  <c r="U77" i="8" s="1"/>
  <c r="BA127" i="1"/>
  <c r="BB127" i="1" s="1"/>
  <c r="AV127" i="1" s="1"/>
  <c r="BA143" i="1"/>
  <c r="BB143" i="1" s="1"/>
  <c r="AV143" i="1" s="1"/>
  <c r="BA175" i="1"/>
  <c r="BB175" i="1" s="1"/>
  <c r="AV175" i="1" s="1"/>
  <c r="BA66" i="1"/>
  <c r="BB66" i="1" s="1"/>
  <c r="AV66" i="1" s="1"/>
  <c r="BA95" i="1"/>
  <c r="BB95" i="1" s="1"/>
  <c r="AV95" i="1" s="1"/>
  <c r="BA122" i="1"/>
  <c r="BB122" i="1" s="1"/>
  <c r="AV122" i="1" s="1"/>
  <c r="BA100" i="1"/>
  <c r="BB100" i="1" s="1"/>
  <c r="AV100" i="1" s="1"/>
  <c r="BA150" i="1"/>
  <c r="Z148" i="8" s="1"/>
  <c r="AW150" i="17" s="1"/>
  <c r="BA166" i="1"/>
  <c r="BB166" i="1" s="1"/>
  <c r="AV166" i="1" s="1"/>
  <c r="BA164" i="1"/>
  <c r="BB164" i="1" s="1"/>
  <c r="AV164" i="1" s="1"/>
  <c r="BA226" i="1"/>
  <c r="BB226" i="1" s="1"/>
  <c r="AV226" i="1" s="1"/>
  <c r="BA233" i="1"/>
  <c r="BB233" i="1" s="1"/>
  <c r="AV233" i="1" s="1"/>
  <c r="Y162" i="8"/>
  <c r="AV164" i="17" s="1"/>
  <c r="BA35" i="1"/>
  <c r="BB35" i="1" s="1"/>
  <c r="BA67" i="1"/>
  <c r="BB67" i="1" s="1"/>
  <c r="AV67" i="1" s="1"/>
  <c r="BA89" i="1"/>
  <c r="BB89" i="1" s="1"/>
  <c r="AV89" i="1" s="1"/>
  <c r="BA104" i="1"/>
  <c r="BB104" i="1" s="1"/>
  <c r="AV104" i="1" s="1"/>
  <c r="BA151" i="1"/>
  <c r="BB151" i="1" s="1"/>
  <c r="AV151" i="1" s="1"/>
  <c r="BA92" i="1"/>
  <c r="BB92" i="1" s="1"/>
  <c r="AV92" i="1" s="1"/>
  <c r="Z185" i="8"/>
  <c r="AW187" i="17" s="1"/>
  <c r="Y20" i="8"/>
  <c r="AV20" i="17" s="1"/>
  <c r="Y141" i="8"/>
  <c r="AV143" i="17" s="1"/>
  <c r="Y165" i="8"/>
  <c r="AV167" i="17" s="1"/>
  <c r="Y202" i="8"/>
  <c r="AV204" i="17" s="1"/>
  <c r="Y227" i="8"/>
  <c r="AV229" i="17" s="1"/>
  <c r="BA15" i="1"/>
  <c r="BB15" i="1" s="1"/>
  <c r="AV15" i="1" s="1"/>
  <c r="BA27" i="1"/>
  <c r="BB27" i="1" s="1"/>
  <c r="AV27" i="1" s="1"/>
  <c r="BA51" i="1"/>
  <c r="BB51" i="1" s="1"/>
  <c r="AV51" i="1" s="1"/>
  <c r="BA37" i="1"/>
  <c r="BA53" i="1"/>
  <c r="BB53" i="1" s="1"/>
  <c r="BA60" i="1"/>
  <c r="BB60" i="1" s="1"/>
  <c r="AV60" i="1" s="1"/>
  <c r="BA47" i="1"/>
  <c r="Z47" i="8" s="1"/>
  <c r="AW47" i="17" s="1"/>
  <c r="BA55" i="1"/>
  <c r="BA139" i="1"/>
  <c r="BA155" i="1"/>
  <c r="BB155" i="1" s="1"/>
  <c r="AV155" i="1" s="1"/>
  <c r="BA171" i="1"/>
  <c r="BB171" i="1" s="1"/>
  <c r="AV171" i="1" s="1"/>
  <c r="BA88" i="1"/>
  <c r="BB88" i="1" s="1"/>
  <c r="AV88" i="1" s="1"/>
  <c r="BA103" i="1"/>
  <c r="BA114" i="1"/>
  <c r="BB114" i="1" s="1"/>
  <c r="BA126" i="1"/>
  <c r="BB126" i="1" s="1"/>
  <c r="AV126" i="1" s="1"/>
  <c r="BA138" i="1"/>
  <c r="BB138" i="1" s="1"/>
  <c r="AV138" i="1" s="1"/>
  <c r="BA154" i="1"/>
  <c r="BB154" i="1" s="1"/>
  <c r="AV154" i="1" s="1"/>
  <c r="BA170" i="1"/>
  <c r="BB170" i="1" s="1"/>
  <c r="AV170" i="1" s="1"/>
  <c r="BA132" i="1"/>
  <c r="Z130" i="8" s="1"/>
  <c r="AW132" i="17" s="1"/>
  <c r="BA148" i="1"/>
  <c r="BB148" i="1" s="1"/>
  <c r="AV148" i="1" s="1"/>
  <c r="BA201" i="1"/>
  <c r="BB201" i="1" s="1"/>
  <c r="AV201" i="1" s="1"/>
  <c r="BA223" i="1"/>
  <c r="BB223" i="1" s="1"/>
  <c r="AV223" i="1" s="1"/>
  <c r="BA242" i="1"/>
  <c r="Z240" i="8" s="1"/>
  <c r="AW242" i="17" s="1"/>
  <c r="BA255" i="1"/>
  <c r="Z253" i="8" s="1"/>
  <c r="BA106" i="1"/>
  <c r="BB106" i="1" s="1"/>
  <c r="AV106" i="1" s="1"/>
  <c r="BA188" i="1"/>
  <c r="BB188" i="1" s="1"/>
  <c r="AV188" i="1" s="1"/>
  <c r="BA225" i="1"/>
  <c r="BB225" i="1" s="1"/>
  <c r="AV225" i="1" s="1"/>
  <c r="BA125" i="1"/>
  <c r="BB125" i="1" s="1"/>
  <c r="AV125" i="1" s="1"/>
  <c r="U123" i="8" s="1"/>
  <c r="BA168" i="1"/>
  <c r="BB168" i="1" s="1"/>
  <c r="AV168" i="1" s="1"/>
  <c r="BA181" i="1"/>
  <c r="BB181" i="1" s="1"/>
  <c r="AV181" i="1" s="1"/>
  <c r="BA237" i="1"/>
  <c r="BB237" i="1" s="1"/>
  <c r="AV237" i="1" s="1"/>
  <c r="BA91" i="1"/>
  <c r="BA245" i="1"/>
  <c r="BB245" i="1" s="1"/>
  <c r="AV245" i="1" s="1"/>
  <c r="BA180" i="1"/>
  <c r="BB180" i="1" s="1"/>
  <c r="AV180" i="1" s="1"/>
  <c r="BA246" i="1"/>
  <c r="BB246" i="1" s="1"/>
  <c r="AV246" i="1" s="1"/>
  <c r="BA41" i="1"/>
  <c r="BB41" i="1" s="1"/>
  <c r="AV41" i="1" s="1"/>
  <c r="BA78" i="1"/>
  <c r="BB78" i="1" s="1"/>
  <c r="AV78" i="1" s="1"/>
  <c r="BA33" i="1"/>
  <c r="BB33" i="1" s="1"/>
  <c r="AV33" i="1" s="1"/>
  <c r="BA26" i="1"/>
  <c r="BB26" i="1" s="1"/>
  <c r="S127" i="8"/>
  <c r="S143" i="8"/>
  <c r="S189" i="8"/>
  <c r="S197" i="8"/>
  <c r="S252" i="8"/>
  <c r="S71" i="8"/>
  <c r="S103" i="8"/>
  <c r="S183" i="8"/>
  <c r="Y62" i="8"/>
  <c r="AV64" i="17" s="1"/>
  <c r="Y77" i="8"/>
  <c r="AV79" i="17" s="1"/>
  <c r="Y134" i="8"/>
  <c r="AV136" i="17" s="1"/>
  <c r="Y138" i="8"/>
  <c r="AV140" i="17" s="1"/>
  <c r="Y150" i="8"/>
  <c r="AV152" i="17" s="1"/>
  <c r="Y154" i="8"/>
  <c r="AV156" i="17" s="1"/>
  <c r="S66" i="8"/>
  <c r="S241" i="8"/>
  <c r="S139" i="8"/>
  <c r="S135" i="8"/>
  <c r="S151" i="8"/>
  <c r="S167" i="8"/>
  <c r="S244" i="8"/>
  <c r="S217" i="8"/>
  <c r="S205" i="8"/>
  <c r="S159" i="8"/>
  <c r="S175" i="8"/>
  <c r="S201" i="8"/>
  <c r="S236" i="8"/>
  <c r="Y166" i="8"/>
  <c r="AV168" i="17" s="1"/>
  <c r="S67" i="8"/>
  <c r="S248" i="8"/>
  <c r="S225" i="8"/>
  <c r="S260" i="8"/>
  <c r="Z255" i="8"/>
  <c r="AW257" i="17" s="1"/>
  <c r="Y89" i="8"/>
  <c r="AV91" i="17" s="1"/>
  <c r="Y104" i="8"/>
  <c r="AV106" i="17" s="1"/>
  <c r="Y124" i="8"/>
  <c r="AV126" i="17" s="1"/>
  <c r="AO263" i="17"/>
  <c r="S256" i="8"/>
  <c r="S77" i="8"/>
  <c r="S168" i="8"/>
  <c r="AZ72" i="1"/>
  <c r="S87" i="8"/>
  <c r="S63" i="8"/>
  <c r="AZ69" i="1"/>
  <c r="Y67" i="8" s="1"/>
  <c r="AV69" i="17" s="1"/>
  <c r="S79" i="8"/>
  <c r="S209" i="8"/>
  <c r="S111" i="8"/>
  <c r="S119" i="8"/>
  <c r="S95" i="8"/>
  <c r="S193" i="8"/>
  <c r="S229" i="8"/>
  <c r="AS264" i="1"/>
  <c r="Y37" i="8"/>
  <c r="AV37" i="17" s="1"/>
  <c r="S49" i="8"/>
  <c r="S57" i="8"/>
  <c r="Y15" i="8"/>
  <c r="AV15" i="17" s="1"/>
  <c r="Q261" i="8"/>
  <c r="S45" i="8"/>
  <c r="Z31" i="8"/>
  <c r="AW31" i="17" s="1"/>
  <c r="AA88" i="8"/>
  <c r="AX90" i="17" s="1"/>
  <c r="Z88" i="8"/>
  <c r="AW90" i="17" s="1"/>
  <c r="Z106" i="8"/>
  <c r="AW108" i="17" s="1"/>
  <c r="Z182" i="8"/>
  <c r="X19" i="8"/>
  <c r="AU19" i="17" s="1"/>
  <c r="Y25" i="8"/>
  <c r="AV25" i="17" s="1"/>
  <c r="X33" i="8"/>
  <c r="AU33" i="17" s="1"/>
  <c r="Y46" i="8"/>
  <c r="AV46" i="17" s="1"/>
  <c r="X54" i="8"/>
  <c r="AU54" i="17" s="1"/>
  <c r="Y59" i="8"/>
  <c r="AV59" i="17" s="1"/>
  <c r="X66" i="8"/>
  <c r="AU68" i="17" s="1"/>
  <c r="X71" i="8"/>
  <c r="AU73" i="17" s="1"/>
  <c r="X84" i="8"/>
  <c r="AU86" i="17" s="1"/>
  <c r="Y87" i="8"/>
  <c r="AV89" i="17" s="1"/>
  <c r="Y92" i="8"/>
  <c r="AV94" i="17" s="1"/>
  <c r="X95" i="8"/>
  <c r="AU97" i="17" s="1"/>
  <c r="X104" i="8"/>
  <c r="AU106" i="17" s="1"/>
  <c r="X108" i="8"/>
  <c r="AU110" i="17" s="1"/>
  <c r="X112" i="8"/>
  <c r="AU114" i="17" s="1"/>
  <c r="X121" i="8"/>
  <c r="AU123" i="17" s="1"/>
  <c r="Y126" i="8"/>
  <c r="AV128" i="17" s="1"/>
  <c r="Y131" i="8"/>
  <c r="AV133" i="17" s="1"/>
  <c r="Y132" i="8"/>
  <c r="AV134" i="17" s="1"/>
  <c r="X137" i="8"/>
  <c r="AU139" i="17" s="1"/>
  <c r="Y142" i="8"/>
  <c r="AV144" i="17" s="1"/>
  <c r="X145" i="8"/>
  <c r="AU147" i="17" s="1"/>
  <c r="X146" i="8"/>
  <c r="AU148" i="17" s="1"/>
  <c r="Y147" i="8"/>
  <c r="AV149" i="17" s="1"/>
  <c r="Y148" i="8"/>
  <c r="AV150" i="17" s="1"/>
  <c r="Y149" i="8"/>
  <c r="AV151" i="17" s="1"/>
  <c r="X153" i="8"/>
  <c r="AU155" i="17" s="1"/>
  <c r="X157" i="8"/>
  <c r="AU159" i="17" s="1"/>
  <c r="X161" i="8"/>
  <c r="AU163" i="17" s="1"/>
  <c r="X162" i="8"/>
  <c r="AU164" i="17" s="1"/>
  <c r="Y163" i="8"/>
  <c r="AV165" i="17" s="1"/>
  <c r="Y164" i="8"/>
  <c r="AV166" i="17" s="1"/>
  <c r="X169" i="8"/>
  <c r="AU171" i="17" s="1"/>
  <c r="Y170" i="8"/>
  <c r="AV172" i="17" s="1"/>
  <c r="X173" i="8"/>
  <c r="AU175" i="17" s="1"/>
  <c r="Y174" i="8"/>
  <c r="AV176" i="17" s="1"/>
  <c r="X177" i="8"/>
  <c r="AU179" i="17" s="1"/>
  <c r="Y178" i="8"/>
  <c r="AV180" i="17" s="1"/>
  <c r="X181" i="8"/>
  <c r="AU183" i="17" s="1"/>
  <c r="Y182" i="8"/>
  <c r="AV184" i="17" s="1"/>
  <c r="X185" i="8"/>
  <c r="AU187" i="17" s="1"/>
  <c r="Y186" i="8"/>
  <c r="AV188" i="17" s="1"/>
  <c r="X189" i="8"/>
  <c r="AU191" i="17" s="1"/>
  <c r="Y190" i="8"/>
  <c r="AV192" i="17" s="1"/>
  <c r="X193" i="8"/>
  <c r="AU195" i="17" s="1"/>
  <c r="Y194" i="8"/>
  <c r="AV196" i="17" s="1"/>
  <c r="X201" i="8"/>
  <c r="AU203" i="17" s="1"/>
  <c r="X205" i="8"/>
  <c r="AU207" i="17" s="1"/>
  <c r="X209" i="8"/>
  <c r="AU211" i="17" s="1"/>
  <c r="Y210" i="8"/>
  <c r="AV212" i="17" s="1"/>
  <c r="X213" i="8"/>
  <c r="AU215" i="17" s="1"/>
  <c r="Y214" i="8"/>
  <c r="AV216" i="17" s="1"/>
  <c r="X217" i="8"/>
  <c r="AU219" i="17" s="1"/>
  <c r="Y218" i="8"/>
  <c r="AV220" i="17" s="1"/>
  <c r="X221" i="8"/>
  <c r="AU223" i="17" s="1"/>
  <c r="Y222" i="8"/>
  <c r="AV224" i="17" s="1"/>
  <c r="X225" i="8"/>
  <c r="AU227" i="17" s="1"/>
  <c r="Y226" i="8"/>
  <c r="AV228" i="17" s="1"/>
  <c r="X229" i="8"/>
  <c r="AU231" i="17" s="1"/>
  <c r="Y230" i="8"/>
  <c r="AV232" i="17" s="1"/>
  <c r="X233" i="8"/>
  <c r="AU235" i="17" s="1"/>
  <c r="Y234" i="8"/>
  <c r="AV236" i="17" s="1"/>
  <c r="X237" i="8"/>
  <c r="AU239" i="17" s="1"/>
  <c r="Y238" i="8"/>
  <c r="AV240" i="17" s="1"/>
  <c r="X241" i="8"/>
  <c r="AU243" i="17" s="1"/>
  <c r="Y242" i="8"/>
  <c r="AV244" i="17" s="1"/>
  <c r="X245" i="8"/>
  <c r="AU247" i="17" s="1"/>
  <c r="Y246" i="8"/>
  <c r="AV248" i="17" s="1"/>
  <c r="X249" i="8"/>
  <c r="AU251" i="17" s="1"/>
  <c r="Y250" i="8"/>
  <c r="AV252" i="17" s="1"/>
  <c r="Y254" i="8"/>
  <c r="AV256" i="17" s="1"/>
  <c r="X257" i="8"/>
  <c r="AU259" i="17" s="1"/>
  <c r="Y258" i="8"/>
  <c r="AV260" i="17" s="1"/>
  <c r="S19" i="8"/>
  <c r="S27" i="8"/>
  <c r="S35" i="8"/>
  <c r="S43" i="8"/>
  <c r="S58" i="8"/>
  <c r="S18" i="8"/>
  <c r="S26" i="8"/>
  <c r="S34" i="8"/>
  <c r="S42" i="8"/>
  <c r="S56" i="8"/>
  <c r="S82" i="8"/>
  <c r="S114" i="8"/>
  <c r="S146" i="8"/>
  <c r="S178" i="8"/>
  <c r="S210" i="8"/>
  <c r="S102" i="8"/>
  <c r="S134" i="8"/>
  <c r="S166" i="8"/>
  <c r="S198" i="8"/>
  <c r="S230" i="8"/>
  <c r="S92" i="8"/>
  <c r="S100" i="8"/>
  <c r="S108" i="8"/>
  <c r="S116" i="8"/>
  <c r="S124" i="8"/>
  <c r="S140" i="8"/>
  <c r="S196" i="8"/>
  <c r="S220" i="8"/>
  <c r="S239" i="8"/>
  <c r="S131" i="8"/>
  <c r="S147" i="8"/>
  <c r="S163" i="8"/>
  <c r="S179" i="8"/>
  <c r="S195" i="8"/>
  <c r="S227" i="8"/>
  <c r="AA30" i="8"/>
  <c r="AX30" i="17" s="1"/>
  <c r="Z30" i="8"/>
  <c r="AW30" i="17" s="1"/>
  <c r="Z46" i="8"/>
  <c r="AW46" i="17" s="1"/>
  <c r="Z98" i="8"/>
  <c r="Z162" i="8"/>
  <c r="AW164" i="17" s="1"/>
  <c r="Z170" i="8"/>
  <c r="AW172" i="17" s="1"/>
  <c r="Z254" i="8"/>
  <c r="AW256" i="17" s="1"/>
  <c r="Y29" i="8"/>
  <c r="AV29" i="17" s="1"/>
  <c r="X37" i="8"/>
  <c r="AU37" i="17" s="1"/>
  <c r="Y42" i="8"/>
  <c r="AV42" i="17" s="1"/>
  <c r="Y68" i="8"/>
  <c r="AV70" i="17" s="1"/>
  <c r="X75" i="8"/>
  <c r="AU77" i="17" s="1"/>
  <c r="Y79" i="8"/>
  <c r="AV81" i="17" s="1"/>
  <c r="Y88" i="8"/>
  <c r="AV90" i="17" s="1"/>
  <c r="Y96" i="8"/>
  <c r="AV98" i="17" s="1"/>
  <c r="X103" i="8"/>
  <c r="AU105" i="17" s="1"/>
  <c r="Y113" i="8"/>
  <c r="AV115" i="17" s="1"/>
  <c r="AA115" i="8"/>
  <c r="AX117" i="17" s="1"/>
  <c r="AA58" i="8"/>
  <c r="AX58" i="17" s="1"/>
  <c r="Z58" i="8"/>
  <c r="AW58" i="17" s="1"/>
  <c r="Z71" i="8"/>
  <c r="AW73" i="17" s="1"/>
  <c r="Z107" i="8"/>
  <c r="AW109" i="17" s="1"/>
  <c r="Z121" i="8"/>
  <c r="AW123" i="17" s="1"/>
  <c r="Z139" i="8"/>
  <c r="AW141" i="17" s="1"/>
  <c r="Z171" i="8"/>
  <c r="AW173" i="17" s="1"/>
  <c r="Z197" i="8"/>
  <c r="AW199" i="17" s="1"/>
  <c r="Z202" i="8"/>
  <c r="AW204" i="17" s="1"/>
  <c r="Z214" i="8"/>
  <c r="AW216" i="17" s="1"/>
  <c r="Z226" i="8"/>
  <c r="AW228" i="17" s="1"/>
  <c r="Z233" i="8"/>
  <c r="AW235" i="17" s="1"/>
  <c r="Z238" i="8"/>
  <c r="AW240" i="17" s="1"/>
  <c r="AA242" i="8"/>
  <c r="AX244" i="17" s="1"/>
  <c r="Z242" i="8"/>
  <c r="Y12" i="8"/>
  <c r="AV12" i="17" s="1"/>
  <c r="X14" i="8"/>
  <c r="AU14" i="17" s="1"/>
  <c r="X18" i="8"/>
  <c r="AU18" i="17" s="1"/>
  <c r="Y19" i="8"/>
  <c r="AV19" i="17" s="1"/>
  <c r="X24" i="8"/>
  <c r="AU24" i="17" s="1"/>
  <c r="X26" i="8"/>
  <c r="AU26" i="17" s="1"/>
  <c r="X28" i="8"/>
  <c r="AU28" i="17" s="1"/>
  <c r="X30" i="8"/>
  <c r="AU30" i="17" s="1"/>
  <c r="Y33" i="8"/>
  <c r="AV33" i="17" s="1"/>
  <c r="Y35" i="8"/>
  <c r="AV35" i="17" s="1"/>
  <c r="Y39" i="8"/>
  <c r="AV39" i="17" s="1"/>
  <c r="X41" i="8"/>
  <c r="AU41" i="17" s="1"/>
  <c r="X43" i="8"/>
  <c r="AU43" i="17" s="1"/>
  <c r="X47" i="8"/>
  <c r="AU47" i="17" s="1"/>
  <c r="Y48" i="8"/>
  <c r="AV48" i="17" s="1"/>
  <c r="Y50" i="8"/>
  <c r="AV50" i="17" s="1"/>
  <c r="Y52" i="8"/>
  <c r="AV52" i="17" s="1"/>
  <c r="X56" i="8"/>
  <c r="AU56" i="17" s="1"/>
  <c r="X58" i="8"/>
  <c r="AU58" i="17" s="1"/>
  <c r="X62" i="8"/>
  <c r="AU64" i="17" s="1"/>
  <c r="X65" i="8"/>
  <c r="AU67" i="17" s="1"/>
  <c r="Y66" i="8"/>
  <c r="AV68" i="17" s="1"/>
  <c r="X70" i="8"/>
  <c r="AU72" i="17" s="1"/>
  <c r="Y73" i="8"/>
  <c r="AV75" i="17" s="1"/>
  <c r="Y75" i="8"/>
  <c r="AV77" i="17" s="1"/>
  <c r="X77" i="8"/>
  <c r="AU79" i="17" s="1"/>
  <c r="Y78" i="8"/>
  <c r="AV80" i="17" s="1"/>
  <c r="X82" i="8"/>
  <c r="AU84" i="17" s="1"/>
  <c r="Y83" i="8"/>
  <c r="AV85" i="17" s="1"/>
  <c r="Y84" i="8"/>
  <c r="AV86" i="17" s="1"/>
  <c r="Y85" i="8"/>
  <c r="AV87" i="17" s="1"/>
  <c r="Y86" i="8"/>
  <c r="AV88" i="17" s="1"/>
  <c r="X90" i="8"/>
  <c r="AU92" i="17" s="1"/>
  <c r="Y91" i="8"/>
  <c r="AV93" i="17" s="1"/>
  <c r="X94" i="8"/>
  <c r="AU96" i="17" s="1"/>
  <c r="Y95" i="8"/>
  <c r="AV97" i="17" s="1"/>
  <c r="X99" i="8"/>
  <c r="AU101" i="17" s="1"/>
  <c r="X100" i="8"/>
  <c r="AU102" i="17" s="1"/>
  <c r="X101" i="8"/>
  <c r="AU103" i="17" s="1"/>
  <c r="Y103" i="8"/>
  <c r="AV105" i="17" s="1"/>
  <c r="X107" i="8"/>
  <c r="AU109" i="17" s="1"/>
  <c r="Y108" i="8"/>
  <c r="AV110" i="17" s="1"/>
  <c r="X111" i="8"/>
  <c r="AU113" i="17" s="1"/>
  <c r="Y112" i="8"/>
  <c r="AV114" i="17" s="1"/>
  <c r="X120" i="8"/>
  <c r="AU122" i="17" s="1"/>
  <c r="Y121" i="8"/>
  <c r="AV123" i="17" s="1"/>
  <c r="X124" i="8"/>
  <c r="AU126" i="17" s="1"/>
  <c r="Y125" i="8"/>
  <c r="AV127" i="17" s="1"/>
  <c r="X128" i="8"/>
  <c r="AU130" i="17" s="1"/>
  <c r="Y129" i="8"/>
  <c r="AV131" i="17" s="1"/>
  <c r="Y130" i="8"/>
  <c r="AV132" i="17" s="1"/>
  <c r="X136" i="8"/>
  <c r="AU138" i="17" s="1"/>
  <c r="Y137" i="8"/>
  <c r="AV139" i="17" s="1"/>
  <c r="X140" i="8"/>
  <c r="AU142" i="17" s="1"/>
  <c r="X144" i="8"/>
  <c r="AU146" i="17" s="1"/>
  <c r="Y145" i="8"/>
  <c r="AV147" i="17" s="1"/>
  <c r="Y146" i="8"/>
  <c r="AV148" i="17" s="1"/>
  <c r="X152" i="8"/>
  <c r="AU154" i="17" s="1"/>
  <c r="X156" i="8"/>
  <c r="AU158" i="17" s="1"/>
  <c r="Y157" i="8"/>
  <c r="AV159" i="17" s="1"/>
  <c r="X160" i="8"/>
  <c r="AU162" i="17" s="1"/>
  <c r="Y161" i="8"/>
  <c r="AV163" i="17" s="1"/>
  <c r="X168" i="8"/>
  <c r="AU170" i="17" s="1"/>
  <c r="Y169" i="8"/>
  <c r="AV171" i="17" s="1"/>
  <c r="X172" i="8"/>
  <c r="AU174" i="17" s="1"/>
  <c r="Y173" i="8"/>
  <c r="AV175" i="17" s="1"/>
  <c r="X180" i="8"/>
  <c r="AU182" i="17" s="1"/>
  <c r="Y181" i="8"/>
  <c r="AV183" i="17" s="1"/>
  <c r="X184" i="8"/>
  <c r="AU186" i="17" s="1"/>
  <c r="X188" i="8"/>
  <c r="AU190" i="17" s="1"/>
  <c r="Y189" i="8"/>
  <c r="AV191" i="17" s="1"/>
  <c r="X192" i="8"/>
  <c r="AU194" i="17" s="1"/>
  <c r="X196" i="8"/>
  <c r="AU198" i="17" s="1"/>
  <c r="Y197" i="8"/>
  <c r="AV199" i="17" s="1"/>
  <c r="X200" i="8"/>
  <c r="AU202" i="17" s="1"/>
  <c r="Y201" i="8"/>
  <c r="AV203" i="17" s="1"/>
  <c r="X204" i="8"/>
  <c r="AU206" i="17" s="1"/>
  <c r="Y205" i="8"/>
  <c r="AV207" i="17" s="1"/>
  <c r="X208" i="8"/>
  <c r="AU210" i="17" s="1"/>
  <c r="Y213" i="8"/>
  <c r="AV215" i="17" s="1"/>
  <c r="X216" i="8"/>
  <c r="AU218" i="17" s="1"/>
  <c r="Y217" i="8"/>
  <c r="AV219" i="17" s="1"/>
  <c r="X220" i="8"/>
  <c r="AU222" i="17" s="1"/>
  <c r="Y221" i="8"/>
  <c r="AV223" i="17" s="1"/>
  <c r="Y229" i="8"/>
  <c r="AV231" i="17" s="1"/>
  <c r="X232" i="8"/>
  <c r="AU234" i="17" s="1"/>
  <c r="Y233" i="8"/>
  <c r="AV235" i="17" s="1"/>
  <c r="Y237" i="8"/>
  <c r="AV239" i="17" s="1"/>
  <c r="Y245" i="8"/>
  <c r="AV247" i="17" s="1"/>
  <c r="X248" i="8"/>
  <c r="AU250" i="17" s="1"/>
  <c r="Y249" i="8"/>
  <c r="AV251" i="17" s="1"/>
  <c r="X252" i="8"/>
  <c r="AU254" i="17" s="1"/>
  <c r="Y253" i="8"/>
  <c r="AV255" i="17" s="1"/>
  <c r="X256" i="8"/>
  <c r="AU258" i="17" s="1"/>
  <c r="Y257" i="8"/>
  <c r="AV259" i="17" s="1"/>
  <c r="X260" i="8"/>
  <c r="AU262" i="17" s="1"/>
  <c r="S13" i="8"/>
  <c r="S21" i="8"/>
  <c r="S29" i="8"/>
  <c r="S37" i="8"/>
  <c r="S46" i="8"/>
  <c r="S12" i="8"/>
  <c r="S20" i="8"/>
  <c r="S28" i="8"/>
  <c r="S36" i="8"/>
  <c r="S44" i="8"/>
  <c r="S60" i="8"/>
  <c r="S90" i="8"/>
  <c r="S122" i="8"/>
  <c r="S154" i="8"/>
  <c r="S186" i="8"/>
  <c r="S218" i="8"/>
  <c r="S78" i="8"/>
  <c r="S110" i="8"/>
  <c r="S142" i="8"/>
  <c r="S174" i="8"/>
  <c r="S206" i="8"/>
  <c r="S180" i="8"/>
  <c r="S132" i="8"/>
  <c r="S228" i="8"/>
  <c r="S247" i="8"/>
  <c r="S255" i="8"/>
  <c r="S187" i="8"/>
  <c r="AO18" i="17"/>
  <c r="AO61" i="17" s="1"/>
  <c r="Z24" i="8"/>
  <c r="AW24" i="17" s="1"/>
  <c r="AA56" i="8"/>
  <c r="AX56" i="17" s="1"/>
  <c r="Z56" i="8"/>
  <c r="AW56" i="17" s="1"/>
  <c r="AA92" i="8"/>
  <c r="AX94" i="17" s="1"/>
  <c r="Z92" i="8"/>
  <c r="AW94" i="17" s="1"/>
  <c r="Z102" i="8"/>
  <c r="AW104" i="17" s="1"/>
  <c r="U194" i="8"/>
  <c r="Z194" i="8"/>
  <c r="AW196" i="17" s="1"/>
  <c r="Z230" i="8"/>
  <c r="AW232" i="17" s="1"/>
  <c r="X35" i="8"/>
  <c r="AU35" i="17" s="1"/>
  <c r="X39" i="8"/>
  <c r="AU39" i="17" s="1"/>
  <c r="Y44" i="8"/>
  <c r="AV44" i="17" s="1"/>
  <c r="X50" i="8"/>
  <c r="AU50" i="17" s="1"/>
  <c r="Y57" i="8"/>
  <c r="AV57" i="17" s="1"/>
  <c r="X73" i="8"/>
  <c r="AU75" i="17" s="1"/>
  <c r="X78" i="8"/>
  <c r="AU80" i="17" s="1"/>
  <c r="X83" i="8"/>
  <c r="AU85" i="17" s="1"/>
  <c r="X86" i="8"/>
  <c r="AU88" i="17" s="1"/>
  <c r="X91" i="8"/>
  <c r="AU93" i="17" s="1"/>
  <c r="Y114" i="8"/>
  <c r="AV116" i="17" s="1"/>
  <c r="AA117" i="8"/>
  <c r="AX119" i="17" s="1"/>
  <c r="Y122" i="8"/>
  <c r="AV124" i="17" s="1"/>
  <c r="X125" i="8"/>
  <c r="AU127" i="17" s="1"/>
  <c r="X129" i="8"/>
  <c r="AU131" i="17" s="1"/>
  <c r="X141" i="8"/>
  <c r="AU143" i="17" s="1"/>
  <c r="Z15" i="8"/>
  <c r="AW15" i="17" s="1"/>
  <c r="AA22" i="8"/>
  <c r="AX22" i="17" s="1"/>
  <c r="Z22" i="8"/>
  <c r="AW22" i="17" s="1"/>
  <c r="AA38" i="8"/>
  <c r="AX38" i="17" s="1"/>
  <c r="Z38" i="8"/>
  <c r="AW38" i="17" s="1"/>
  <c r="AA48" i="8"/>
  <c r="AX48" i="17" s="1"/>
  <c r="Z48" i="8"/>
  <c r="AW48" i="17" s="1"/>
  <c r="Z54" i="8"/>
  <c r="AW54" i="17" s="1"/>
  <c r="S61" i="8"/>
  <c r="Z82" i="8"/>
  <c r="AW84" i="17" s="1"/>
  <c r="Z86" i="8"/>
  <c r="AW88" i="17" s="1"/>
  <c r="Z94" i="8"/>
  <c r="AW96" i="17" s="1"/>
  <c r="Z104" i="8"/>
  <c r="AW106" i="17" s="1"/>
  <c r="Z118" i="8"/>
  <c r="AW120" i="17" s="1"/>
  <c r="Z126" i="8"/>
  <c r="AW128" i="17" s="1"/>
  <c r="Z136" i="8"/>
  <c r="AW138" i="17" s="1"/>
  <c r="Z140" i="8"/>
  <c r="AW142" i="17" s="1"/>
  <c r="Z146" i="8"/>
  <c r="AW148" i="17" s="1"/>
  <c r="Z190" i="8"/>
  <c r="AW192" i="17" s="1"/>
  <c r="Z210" i="8"/>
  <c r="AW212" i="17" s="1"/>
  <c r="Z215" i="8"/>
  <c r="AW217" i="17" s="1"/>
  <c r="AA234" i="8"/>
  <c r="AX236" i="17" s="1"/>
  <c r="Z234" i="8"/>
  <c r="AW236" i="17" s="1"/>
  <c r="Z245" i="8"/>
  <c r="AW247" i="17" s="1"/>
  <c r="X11" i="8"/>
  <c r="AU11" i="17" s="1"/>
  <c r="Y14" i="8"/>
  <c r="AV14" i="17" s="1"/>
  <c r="X17" i="8"/>
  <c r="AU17" i="17" s="1"/>
  <c r="Y18" i="8"/>
  <c r="AV18" i="17" s="1"/>
  <c r="X21" i="8"/>
  <c r="AU21" i="17" s="1"/>
  <c r="X23" i="8"/>
  <c r="AU23" i="17" s="1"/>
  <c r="Y24" i="8"/>
  <c r="AV24" i="17" s="1"/>
  <c r="Y26" i="8"/>
  <c r="AV26" i="17" s="1"/>
  <c r="Y28" i="8"/>
  <c r="AV28" i="17" s="1"/>
  <c r="Y30" i="8"/>
  <c r="AV30" i="17" s="1"/>
  <c r="X34" i="8"/>
  <c r="AU34" i="17" s="1"/>
  <c r="X36" i="8"/>
  <c r="AU36" i="17" s="1"/>
  <c r="X38" i="8"/>
  <c r="AU38" i="17" s="1"/>
  <c r="Y41" i="8"/>
  <c r="AV41" i="17" s="1"/>
  <c r="Y43" i="8"/>
  <c r="AV43" i="17" s="1"/>
  <c r="Y45" i="8"/>
  <c r="AV45" i="17" s="1"/>
  <c r="Y47" i="8"/>
  <c r="AV47" i="17" s="1"/>
  <c r="X49" i="8"/>
  <c r="AU49" i="17" s="1"/>
  <c r="X51" i="8"/>
  <c r="AU51" i="17" s="1"/>
  <c r="X53" i="8"/>
  <c r="AU53" i="17" s="1"/>
  <c r="X55" i="8"/>
  <c r="AU55" i="17" s="1"/>
  <c r="Y56" i="8"/>
  <c r="AV56" i="17" s="1"/>
  <c r="Y58" i="8"/>
  <c r="AV58" i="17" s="1"/>
  <c r="Y60" i="8"/>
  <c r="AV60" i="17" s="1"/>
  <c r="X64" i="8"/>
  <c r="AU66" i="17" s="1"/>
  <c r="Y65" i="8"/>
  <c r="AV67" i="17" s="1"/>
  <c r="X69" i="8"/>
  <c r="AU71" i="17" s="1"/>
  <c r="X72" i="8"/>
  <c r="AU74" i="17" s="1"/>
  <c r="X74" i="8"/>
  <c r="AU76" i="17" s="1"/>
  <c r="X76" i="8"/>
  <c r="AU78" i="17" s="1"/>
  <c r="X80" i="8"/>
  <c r="AU82" i="17" s="1"/>
  <c r="Y81" i="8"/>
  <c r="AV83" i="17" s="1"/>
  <c r="Y82" i="8"/>
  <c r="AV84" i="17" s="1"/>
  <c r="AA84" i="8"/>
  <c r="AX86" i="17" s="1"/>
  <c r="X89" i="8"/>
  <c r="AU91" i="17" s="1"/>
  <c r="Y90" i="8"/>
  <c r="AV92" i="17" s="1"/>
  <c r="X93" i="8"/>
  <c r="AU95" i="17" s="1"/>
  <c r="Y94" i="8"/>
  <c r="AV96" i="17" s="1"/>
  <c r="X97" i="8"/>
  <c r="AU99" i="17" s="1"/>
  <c r="X98" i="8"/>
  <c r="AU100" i="17" s="1"/>
  <c r="Y99" i="8"/>
  <c r="AV101" i="17" s="1"/>
  <c r="Y100" i="8"/>
  <c r="AV102" i="17" s="1"/>
  <c r="Y102" i="8"/>
  <c r="AV104" i="17" s="1"/>
  <c r="X106" i="8"/>
  <c r="AU108" i="17" s="1"/>
  <c r="Y107" i="8"/>
  <c r="AV109" i="17" s="1"/>
  <c r="X110" i="8"/>
  <c r="AU112" i="17" s="1"/>
  <c r="Y111" i="8"/>
  <c r="AV113" i="17" s="1"/>
  <c r="X115" i="8"/>
  <c r="AU117" i="17" s="1"/>
  <c r="X116" i="8"/>
  <c r="AU118" i="17" s="1"/>
  <c r="X117" i="8"/>
  <c r="AU119" i="17" s="1"/>
  <c r="X118" i="8"/>
  <c r="AU120" i="17" s="1"/>
  <c r="Y119" i="8"/>
  <c r="AV121" i="17" s="1"/>
  <c r="Y120" i="8"/>
  <c r="AV122" i="17" s="1"/>
  <c r="X123" i="8"/>
  <c r="AU125" i="17" s="1"/>
  <c r="X127" i="8"/>
  <c r="AU129" i="17" s="1"/>
  <c r="Y128" i="8"/>
  <c r="AV130" i="17" s="1"/>
  <c r="X135" i="8"/>
  <c r="AU137" i="17" s="1"/>
  <c r="X139" i="8"/>
  <c r="AU141" i="17" s="1"/>
  <c r="Y140" i="8"/>
  <c r="AV142" i="17" s="1"/>
  <c r="X143" i="8"/>
  <c r="AU145" i="17" s="1"/>
  <c r="Y144" i="8"/>
  <c r="AV146" i="17" s="1"/>
  <c r="X151" i="8"/>
  <c r="AU153" i="17" s="1"/>
  <c r="X155" i="8"/>
  <c r="AU157" i="17" s="1"/>
  <c r="Y156" i="8"/>
  <c r="AV158" i="17" s="1"/>
  <c r="Y160" i="8"/>
  <c r="AV162" i="17" s="1"/>
  <c r="X167" i="8"/>
  <c r="AU169" i="17" s="1"/>
  <c r="Y168" i="8"/>
  <c r="AV170" i="17" s="1"/>
  <c r="X171" i="8"/>
  <c r="AU173" i="17" s="1"/>
  <c r="Y172" i="8"/>
  <c r="AV174" i="17" s="1"/>
  <c r="Z176" i="8"/>
  <c r="AW178" i="17" s="1"/>
  <c r="Y176" i="8"/>
  <c r="AV178" i="17" s="1"/>
  <c r="X179" i="8"/>
  <c r="AU181" i="17" s="1"/>
  <c r="Y180" i="8"/>
  <c r="AV182" i="17" s="1"/>
  <c r="X183" i="8"/>
  <c r="AU185" i="17" s="1"/>
  <c r="Y184" i="8"/>
  <c r="AV186" i="17" s="1"/>
  <c r="X187" i="8"/>
  <c r="AU189" i="17" s="1"/>
  <c r="Y188" i="8"/>
  <c r="AV190" i="17" s="1"/>
  <c r="X191" i="8"/>
  <c r="AU193" i="17" s="1"/>
  <c r="Y192" i="8"/>
  <c r="AV194" i="17" s="1"/>
  <c r="X195" i="8"/>
  <c r="AU197" i="17" s="1"/>
  <c r="Z196" i="8"/>
  <c r="AW198" i="17" s="1"/>
  <c r="Y196" i="8"/>
  <c r="AV198" i="17" s="1"/>
  <c r="X199" i="8"/>
  <c r="AU201" i="17" s="1"/>
  <c r="Z200" i="8"/>
  <c r="AW202" i="17" s="1"/>
  <c r="Y200" i="8"/>
  <c r="AV202" i="17" s="1"/>
  <c r="X203" i="8"/>
  <c r="AU205" i="17" s="1"/>
  <c r="Y204" i="8"/>
  <c r="AV206" i="17" s="1"/>
  <c r="X207" i="8"/>
  <c r="AU209" i="17" s="1"/>
  <c r="Y208" i="8"/>
  <c r="AV210" i="17" s="1"/>
  <c r="X211" i="8"/>
  <c r="AU213" i="17" s="1"/>
  <c r="Y212" i="8"/>
  <c r="AV214" i="17" s="1"/>
  <c r="X215" i="8"/>
  <c r="AU217" i="17" s="1"/>
  <c r="Y216" i="8"/>
  <c r="AV218" i="17" s="1"/>
  <c r="X219" i="8"/>
  <c r="AU221" i="17" s="1"/>
  <c r="Z220" i="8"/>
  <c r="AW222" i="17" s="1"/>
  <c r="Y220" i="8"/>
  <c r="AV222" i="17" s="1"/>
  <c r="X223" i="8"/>
  <c r="AU225" i="17" s="1"/>
  <c r="Y224" i="8"/>
  <c r="AV226" i="17" s="1"/>
  <c r="X227" i="8"/>
  <c r="AU229" i="17" s="1"/>
  <c r="Y228" i="8"/>
  <c r="AV230" i="17" s="1"/>
  <c r="X231" i="8"/>
  <c r="AU233" i="17" s="1"/>
  <c r="Y232" i="8"/>
  <c r="AV234" i="17" s="1"/>
  <c r="X235" i="8"/>
  <c r="AU237" i="17" s="1"/>
  <c r="Y236" i="8"/>
  <c r="AV238" i="17" s="1"/>
  <c r="X239" i="8"/>
  <c r="AU241" i="17" s="1"/>
  <c r="Y240" i="8"/>
  <c r="AV242" i="17" s="1"/>
  <c r="X243" i="8"/>
  <c r="AU245" i="17" s="1"/>
  <c r="Y244" i="8"/>
  <c r="AV246" i="17" s="1"/>
  <c r="X247" i="8"/>
  <c r="AU249" i="17" s="1"/>
  <c r="Y248" i="8"/>
  <c r="AV250" i="17" s="1"/>
  <c r="X251" i="8"/>
  <c r="AU253" i="17" s="1"/>
  <c r="Y252" i="8"/>
  <c r="AV254" i="17" s="1"/>
  <c r="X255" i="8"/>
  <c r="AU257" i="17" s="1"/>
  <c r="Y256" i="8"/>
  <c r="AV258" i="17" s="1"/>
  <c r="X259" i="8"/>
  <c r="AU261" i="17" s="1"/>
  <c r="Y260" i="8"/>
  <c r="AV262" i="17" s="1"/>
  <c r="R262" i="8"/>
  <c r="S15" i="8"/>
  <c r="S23" i="8"/>
  <c r="S31" i="8"/>
  <c r="S39" i="8"/>
  <c r="S50" i="8"/>
  <c r="S14" i="8"/>
  <c r="S22" i="8"/>
  <c r="S30" i="8"/>
  <c r="S38" i="8"/>
  <c r="S48" i="8"/>
  <c r="S98" i="8"/>
  <c r="S130" i="8"/>
  <c r="S162" i="8"/>
  <c r="S194" i="8"/>
  <c r="S226" i="8"/>
  <c r="S86" i="8"/>
  <c r="S118" i="8"/>
  <c r="S150" i="8"/>
  <c r="S182" i="8"/>
  <c r="S214" i="8"/>
  <c r="S148" i="8"/>
  <c r="S156" i="8"/>
  <c r="S204" i="8"/>
  <c r="S212" i="8"/>
  <c r="S171" i="8"/>
  <c r="Z35" i="8"/>
  <c r="AW35" i="17" s="1"/>
  <c r="Z138" i="8"/>
  <c r="AW140" i="17" s="1"/>
  <c r="Z152" i="8"/>
  <c r="AW154" i="17" s="1"/>
  <c r="Z174" i="8"/>
  <c r="AW176" i="17" s="1"/>
  <c r="X15" i="8"/>
  <c r="AU15" i="17" s="1"/>
  <c r="X22" i="8"/>
  <c r="AU22" i="17" s="1"/>
  <c r="Y31" i="8"/>
  <c r="AV31" i="17" s="1"/>
  <c r="X52" i="8"/>
  <c r="AU52" i="17" s="1"/>
  <c r="S11" i="8"/>
  <c r="Z34" i="8"/>
  <c r="AW34" i="17" s="1"/>
  <c r="AA45" i="8"/>
  <c r="AX45" i="17" s="1"/>
  <c r="Z45" i="8"/>
  <c r="AW45" i="17" s="1"/>
  <c r="Z50" i="8"/>
  <c r="AW50" i="17" s="1"/>
  <c r="Z91" i="8"/>
  <c r="AW93" i="17" s="1"/>
  <c r="Z115" i="8"/>
  <c r="AW117" i="17" s="1"/>
  <c r="Z123" i="8"/>
  <c r="AW125" i="17" s="1"/>
  <c r="Z141" i="8"/>
  <c r="AW143" i="17" s="1"/>
  <c r="Z155" i="8"/>
  <c r="AW157" i="17" s="1"/>
  <c r="Z173" i="8"/>
  <c r="AW175" i="17" s="1"/>
  <c r="Z193" i="8"/>
  <c r="AW195" i="17" s="1"/>
  <c r="Z199" i="8"/>
  <c r="AW201" i="17" s="1"/>
  <c r="Z206" i="8"/>
  <c r="AW208" i="17" s="1"/>
  <c r="Z222" i="8"/>
  <c r="AW224" i="17" s="1"/>
  <c r="Z229" i="8"/>
  <c r="AW231" i="17" s="1"/>
  <c r="Z236" i="8"/>
  <c r="AW238" i="17" s="1"/>
  <c r="Z246" i="8"/>
  <c r="AW248" i="17" s="1"/>
  <c r="AA258" i="8"/>
  <c r="AX260" i="17" s="1"/>
  <c r="Z258" i="8"/>
  <c r="AW260" i="17" s="1"/>
  <c r="Y13" i="8"/>
  <c r="AV13" i="17" s="1"/>
  <c r="Y17" i="8"/>
  <c r="AV17" i="17" s="1"/>
  <c r="X20" i="8"/>
  <c r="AU20" i="17" s="1"/>
  <c r="Y21" i="8"/>
  <c r="AV21" i="17" s="1"/>
  <c r="Y23" i="8"/>
  <c r="AV23" i="17" s="1"/>
  <c r="X25" i="8"/>
  <c r="AU25" i="17" s="1"/>
  <c r="X27" i="8"/>
  <c r="AU27" i="17" s="1"/>
  <c r="X29" i="8"/>
  <c r="AU29" i="17" s="1"/>
  <c r="X31" i="8"/>
  <c r="AU31" i="17" s="1"/>
  <c r="Y32" i="8"/>
  <c r="AV32" i="17" s="1"/>
  <c r="Y36" i="8"/>
  <c r="AV36" i="17" s="1"/>
  <c r="Y38" i="8"/>
  <c r="AV38" i="17" s="1"/>
  <c r="X40" i="8"/>
  <c r="AU40" i="17" s="1"/>
  <c r="X42" i="8"/>
  <c r="AU42" i="17" s="1"/>
  <c r="X44" i="8"/>
  <c r="AU44" i="17" s="1"/>
  <c r="X46" i="8"/>
  <c r="AU46" i="17" s="1"/>
  <c r="Y49" i="8"/>
  <c r="AV49" i="17" s="1"/>
  <c r="Y51" i="8"/>
  <c r="AV51" i="17" s="1"/>
  <c r="Y53" i="8"/>
  <c r="AV53" i="17" s="1"/>
  <c r="Y55" i="8"/>
  <c r="AV55" i="17" s="1"/>
  <c r="X57" i="8"/>
  <c r="AU57" i="17" s="1"/>
  <c r="X59" i="8"/>
  <c r="AU59" i="17" s="1"/>
  <c r="X63" i="8"/>
  <c r="AU65" i="17" s="1"/>
  <c r="Y64" i="8"/>
  <c r="AV66" i="17" s="1"/>
  <c r="X67" i="8"/>
  <c r="AU69" i="17" s="1"/>
  <c r="X68" i="8"/>
  <c r="AU70" i="17" s="1"/>
  <c r="Y69" i="8"/>
  <c r="AV71" i="17" s="1"/>
  <c r="Y72" i="8"/>
  <c r="AV74" i="17" s="1"/>
  <c r="Y74" i="8"/>
  <c r="AV76" i="17" s="1"/>
  <c r="Y76" i="8"/>
  <c r="AV78" i="17" s="1"/>
  <c r="X79" i="8"/>
  <c r="AU81" i="17" s="1"/>
  <c r="Y80" i="8"/>
  <c r="AV82" i="17" s="1"/>
  <c r="X87" i="8"/>
  <c r="AU89" i="17" s="1"/>
  <c r="X88" i="8"/>
  <c r="AU90" i="17" s="1"/>
  <c r="X92" i="8"/>
  <c r="AU94" i="17" s="1"/>
  <c r="Y93" i="8"/>
  <c r="AV95" i="17" s="1"/>
  <c r="X96" i="8"/>
  <c r="AU98" i="17" s="1"/>
  <c r="Y97" i="8"/>
  <c r="AV99" i="17" s="1"/>
  <c r="Y98" i="8"/>
  <c r="AV100" i="17" s="1"/>
  <c r="AA100" i="8"/>
  <c r="AX102" i="17" s="1"/>
  <c r="Y106" i="8"/>
  <c r="AV108" i="17" s="1"/>
  <c r="X109" i="8"/>
  <c r="AU111" i="17" s="1"/>
  <c r="Y110" i="8"/>
  <c r="AV112" i="17" s="1"/>
  <c r="Y115" i="8"/>
  <c r="AV117" i="17" s="1"/>
  <c r="Y116" i="8"/>
  <c r="AV118" i="17" s="1"/>
  <c r="Y117" i="8"/>
  <c r="AV119" i="17" s="1"/>
  <c r="X122" i="8"/>
  <c r="AU124" i="17" s="1"/>
  <c r="Y123" i="8"/>
  <c r="AV125" i="17" s="1"/>
  <c r="X126" i="8"/>
  <c r="AU128" i="17" s="1"/>
  <c r="Y127" i="8"/>
  <c r="AV129" i="17" s="1"/>
  <c r="X131" i="8"/>
  <c r="AU133" i="17" s="1"/>
  <c r="X134" i="8"/>
  <c r="AU136" i="17" s="1"/>
  <c r="Y135" i="8"/>
  <c r="AV137" i="17" s="1"/>
  <c r="X138" i="8"/>
  <c r="AU140" i="17" s="1"/>
  <c r="Y139" i="8"/>
  <c r="AV141" i="17" s="1"/>
  <c r="X142" i="8"/>
  <c r="AU144" i="17" s="1"/>
  <c r="Y143" i="8"/>
  <c r="AV145" i="17" s="1"/>
  <c r="X148" i="8"/>
  <c r="AU150" i="17" s="1"/>
  <c r="X149" i="8"/>
  <c r="AU151" i="17" s="1"/>
  <c r="X150" i="8"/>
  <c r="AU152" i="17" s="1"/>
  <c r="Y151" i="8"/>
  <c r="AV153" i="17" s="1"/>
  <c r="X154" i="8"/>
  <c r="AU156" i="17" s="1"/>
  <c r="X158" i="8"/>
  <c r="AU160" i="17" s="1"/>
  <c r="Y159" i="8"/>
  <c r="AV161" i="17" s="1"/>
  <c r="X163" i="8"/>
  <c r="AU165" i="17" s="1"/>
  <c r="X164" i="8"/>
  <c r="AU166" i="17" s="1"/>
  <c r="X165" i="8"/>
  <c r="AU167" i="17" s="1"/>
  <c r="X166" i="8"/>
  <c r="AU168" i="17" s="1"/>
  <c r="X170" i="8"/>
  <c r="AU172" i="17" s="1"/>
  <c r="Y171" i="8"/>
  <c r="AV173" i="17" s="1"/>
  <c r="X174" i="8"/>
  <c r="AU176" i="17" s="1"/>
  <c r="Y175" i="8"/>
  <c r="AV177" i="17" s="1"/>
  <c r="X178" i="8"/>
  <c r="AU180" i="17" s="1"/>
  <c r="Y179" i="8"/>
  <c r="AV181" i="17" s="1"/>
  <c r="X182" i="8"/>
  <c r="AU184" i="17" s="1"/>
  <c r="X186" i="8"/>
  <c r="AU188" i="17" s="1"/>
  <c r="Y187" i="8"/>
  <c r="AV189" i="17" s="1"/>
  <c r="X190" i="8"/>
  <c r="AU192" i="17" s="1"/>
  <c r="Y191" i="8"/>
  <c r="AV193" i="17" s="1"/>
  <c r="X194" i="8"/>
  <c r="AU196" i="17" s="1"/>
  <c r="Z195" i="8"/>
  <c r="AW197" i="17" s="1"/>
  <c r="Y195" i="8"/>
  <c r="AV197" i="17" s="1"/>
  <c r="X198" i="8"/>
  <c r="AU200" i="17" s="1"/>
  <c r="Y199" i="8"/>
  <c r="AV201" i="17" s="1"/>
  <c r="X202" i="8"/>
  <c r="AU204" i="17" s="1"/>
  <c r="Y203" i="8"/>
  <c r="AV205" i="17" s="1"/>
  <c r="X206" i="8"/>
  <c r="AU208" i="17" s="1"/>
  <c r="Y207" i="8"/>
  <c r="AV209" i="17" s="1"/>
  <c r="X210" i="8"/>
  <c r="AU212" i="17" s="1"/>
  <c r="Y211" i="8"/>
  <c r="AV213" i="17" s="1"/>
  <c r="X214" i="8"/>
  <c r="AU216" i="17" s="1"/>
  <c r="Y215" i="8"/>
  <c r="AV217" i="17" s="1"/>
  <c r="X218" i="8"/>
  <c r="AU220" i="17" s="1"/>
  <c r="Y219" i="8"/>
  <c r="AV221" i="17" s="1"/>
  <c r="X222" i="8"/>
  <c r="AU224" i="17" s="1"/>
  <c r="Z223" i="8"/>
  <c r="AW225" i="17" s="1"/>
  <c r="Y223" i="8"/>
  <c r="AV225" i="17" s="1"/>
  <c r="X226" i="8"/>
  <c r="AU228" i="17" s="1"/>
  <c r="X230" i="8"/>
  <c r="AU232" i="17" s="1"/>
  <c r="Y231" i="8"/>
  <c r="AV233" i="17" s="1"/>
  <c r="Z235" i="8"/>
  <c r="AW237" i="17" s="1"/>
  <c r="Y235" i="8"/>
  <c r="AV237" i="17" s="1"/>
  <c r="X238" i="8"/>
  <c r="AU240" i="17" s="1"/>
  <c r="Y239" i="8"/>
  <c r="AV241" i="17" s="1"/>
  <c r="X242" i="8"/>
  <c r="AU244" i="17" s="1"/>
  <c r="Z243" i="8"/>
  <c r="AW245" i="17" s="1"/>
  <c r="Y243" i="8"/>
  <c r="AV245" i="17" s="1"/>
  <c r="X246" i="8"/>
  <c r="AU248" i="17" s="1"/>
  <c r="Y247" i="8"/>
  <c r="AV249" i="17" s="1"/>
  <c r="X250" i="8"/>
  <c r="AU252" i="17" s="1"/>
  <c r="Y251" i="8"/>
  <c r="AV253" i="17" s="1"/>
  <c r="X254" i="8"/>
  <c r="AU256" i="17" s="1"/>
  <c r="Y255" i="8"/>
  <c r="AV257" i="17" s="1"/>
  <c r="X258" i="8"/>
  <c r="AU260" i="17" s="1"/>
  <c r="Z259" i="8"/>
  <c r="AW261" i="17" s="1"/>
  <c r="Y259" i="8"/>
  <c r="AV261" i="17" s="1"/>
  <c r="S17" i="8"/>
  <c r="S25" i="8"/>
  <c r="S33" i="8"/>
  <c r="S41" i="8"/>
  <c r="S54" i="8"/>
  <c r="S16" i="8"/>
  <c r="S24" i="8"/>
  <c r="S32" i="8"/>
  <c r="S40" i="8"/>
  <c r="S52" i="8"/>
  <c r="S47" i="8"/>
  <c r="S106" i="8"/>
  <c r="S138" i="8"/>
  <c r="S170" i="8"/>
  <c r="S202" i="8"/>
  <c r="S94" i="8"/>
  <c r="S126" i="8"/>
  <c r="S158" i="8"/>
  <c r="S190" i="8"/>
  <c r="S222" i="8"/>
  <c r="S164" i="8"/>
  <c r="S188" i="8"/>
  <c r="S172" i="8"/>
  <c r="S231" i="8"/>
  <c r="AQ263" i="17"/>
  <c r="AQ264" i="17" s="1"/>
  <c r="S155" i="8"/>
  <c r="S203" i="8"/>
  <c r="S219" i="8"/>
  <c r="Y58" i="1"/>
  <c r="Y57" i="1"/>
  <c r="Y56" i="1"/>
  <c r="Z127" i="8"/>
  <c r="Z175" i="8"/>
  <c r="Z208" i="8"/>
  <c r="AW210" i="17" s="1"/>
  <c r="AW215" i="17"/>
  <c r="AW219" i="17"/>
  <c r="Z232" i="8"/>
  <c r="AW234" i="17" s="1"/>
  <c r="Z260" i="8"/>
  <c r="AW262" i="17" s="1"/>
  <c r="AW211" i="17"/>
  <c r="Z224" i="8"/>
  <c r="AW226" i="17" s="1"/>
  <c r="Z228" i="8"/>
  <c r="AW230" i="17" s="1"/>
  <c r="Z256" i="8"/>
  <c r="AW258" i="17" s="1"/>
  <c r="AW184" i="17"/>
  <c r="AW203" i="17"/>
  <c r="Q262" i="8"/>
  <c r="AW244" i="17"/>
  <c r="AU264" i="1"/>
  <c r="AR264" i="1"/>
  <c r="Z52" i="8"/>
  <c r="AV16" i="17"/>
  <c r="Z25" i="8"/>
  <c r="Z41" i="8"/>
  <c r="Z57" i="8"/>
  <c r="AW255" i="17"/>
  <c r="AW214" i="17"/>
  <c r="AW131" i="17"/>
  <c r="AU63" i="17"/>
  <c r="AW229" i="17"/>
  <c r="AW259" i="17"/>
  <c r="AW251" i="17"/>
  <c r="AW119" i="17"/>
  <c r="AW112" i="17"/>
  <c r="AV73" i="17"/>
  <c r="AW169" i="17"/>
  <c r="AW100" i="17"/>
  <c r="AW249" i="17"/>
  <c r="AW183" i="17"/>
  <c r="AW153" i="17"/>
  <c r="U88" i="8"/>
  <c r="U100" i="8"/>
  <c r="T263" i="8"/>
  <c r="AA24" i="8"/>
  <c r="AA34" i="8"/>
  <c r="AA46" i="8"/>
  <c r="AA50" i="8"/>
  <c r="AA54" i="8"/>
  <c r="AA18" i="8"/>
  <c r="AT61" i="1"/>
  <c r="AT263" i="1"/>
  <c r="AY263" i="1"/>
  <c r="Y60" i="1"/>
  <c r="Y59" i="1"/>
  <c r="Y55" i="1"/>
  <c r="AE37" i="1"/>
  <c r="H27" i="17" s="1"/>
  <c r="AE41" i="1"/>
  <c r="AE40" i="1"/>
  <c r="AE39" i="1"/>
  <c r="N76" i="7"/>
  <c r="AD41" i="1"/>
  <c r="AD40" i="1"/>
  <c r="G30" i="17" s="1"/>
  <c r="AD39" i="1"/>
  <c r="G29" i="17" s="1"/>
  <c r="AD38" i="1"/>
  <c r="AD37" i="1"/>
  <c r="AD36" i="1"/>
  <c r="G26" i="17" s="1"/>
  <c r="AD35" i="1"/>
  <c r="G25" i="17" s="1"/>
  <c r="AB41" i="1"/>
  <c r="AB40" i="1"/>
  <c r="AB39" i="1"/>
  <c r="AB38" i="1"/>
  <c r="L106" i="7" s="1"/>
  <c r="AB37" i="1"/>
  <c r="AB36" i="1"/>
  <c r="L104" i="7" s="1"/>
  <c r="AB35" i="1"/>
  <c r="Z41" i="1"/>
  <c r="Z40" i="1"/>
  <c r="Z39" i="1"/>
  <c r="Z38" i="1"/>
  <c r="L95" i="7" s="1"/>
  <c r="Z37" i="1"/>
  <c r="L94" i="7" s="1"/>
  <c r="Z36" i="1"/>
  <c r="L93" i="7" s="1"/>
  <c r="Z35" i="1"/>
  <c r="X35" i="1"/>
  <c r="X37" i="1"/>
  <c r="L85" i="7" s="1"/>
  <c r="X38" i="1"/>
  <c r="L86" i="7" s="1"/>
  <c r="X39" i="1"/>
  <c r="A29" i="17" s="1"/>
  <c r="X40" i="1"/>
  <c r="X41" i="1"/>
  <c r="X36" i="1"/>
  <c r="L84" i="7" s="1"/>
  <c r="AF41" i="1"/>
  <c r="AF40" i="1"/>
  <c r="AF39" i="1"/>
  <c r="AF38" i="1"/>
  <c r="AF37" i="1"/>
  <c r="I27" i="17" s="1"/>
  <c r="AF36" i="1"/>
  <c r="I26" i="17" s="1"/>
  <c r="AF35" i="1"/>
  <c r="I25" i="17" s="1"/>
  <c r="L105" i="7"/>
  <c r="R109" i="7"/>
  <c r="R108" i="7"/>
  <c r="R107" i="7"/>
  <c r="R106" i="7"/>
  <c r="R105" i="7"/>
  <c r="R104" i="7"/>
  <c r="R89" i="7"/>
  <c r="R88" i="7"/>
  <c r="R87" i="7"/>
  <c r="R86" i="7"/>
  <c r="R85" i="7"/>
  <c r="R84" i="7"/>
  <c r="L74" i="7"/>
  <c r="AH37" i="1" s="1"/>
  <c r="L77" i="7"/>
  <c r="AH40" i="1" s="1"/>
  <c r="AC41" i="1"/>
  <c r="AC40" i="1"/>
  <c r="AC39" i="1"/>
  <c r="AC38" i="1"/>
  <c r="AC37" i="1"/>
  <c r="AC36" i="1"/>
  <c r="AA41" i="1"/>
  <c r="AA40" i="1"/>
  <c r="AA39" i="1"/>
  <c r="AA38" i="1"/>
  <c r="AA37" i="1"/>
  <c r="AA36" i="1"/>
  <c r="Y37" i="1"/>
  <c r="Y38" i="1"/>
  <c r="Y39" i="1"/>
  <c r="Y40" i="1"/>
  <c r="Y41" i="1"/>
  <c r="Y36" i="1"/>
  <c r="AY12" i="1" l="1"/>
  <c r="AY13" i="1"/>
  <c r="X13" i="8" s="1"/>
  <c r="AU13" i="17" s="1"/>
  <c r="Z53" i="1"/>
  <c r="Z52" i="1"/>
  <c r="Y10" i="1"/>
  <c r="B22" i="16"/>
  <c r="B14" i="16"/>
  <c r="B43" i="16"/>
  <c r="B37" i="16"/>
  <c r="B27" i="16"/>
  <c r="B3" i="16"/>
  <c r="AP160" i="17"/>
  <c r="AN160" i="17"/>
  <c r="AP150" i="17"/>
  <c r="AN150" i="17"/>
  <c r="AP164" i="17"/>
  <c r="AN164" i="17"/>
  <c r="AP176" i="17"/>
  <c r="AN176" i="17"/>
  <c r="AP220" i="17"/>
  <c r="AN220" i="17"/>
  <c r="AP126" i="17"/>
  <c r="AN126" i="17"/>
  <c r="AP227" i="17"/>
  <c r="AN227" i="17"/>
  <c r="AP260" i="17"/>
  <c r="AN260" i="17"/>
  <c r="AP127" i="17"/>
  <c r="AN127" i="17"/>
  <c r="AP171" i="17"/>
  <c r="AN171" i="17"/>
  <c r="AP166" i="17"/>
  <c r="AN166" i="17"/>
  <c r="AP128" i="17"/>
  <c r="AN128" i="17"/>
  <c r="AP140" i="17"/>
  <c r="AN140" i="17"/>
  <c r="Z77" i="8"/>
  <c r="AW79" i="17" s="1"/>
  <c r="AP214" i="17"/>
  <c r="AN214" i="17"/>
  <c r="AP216" i="17"/>
  <c r="AN216" i="17"/>
  <c r="AP88" i="17"/>
  <c r="AN88" i="17"/>
  <c r="AP132" i="17"/>
  <c r="AN132" i="17"/>
  <c r="AP189" i="17"/>
  <c r="AN189" i="17"/>
  <c r="AP134" i="17"/>
  <c r="AN134" i="17"/>
  <c r="AP144" i="17"/>
  <c r="AN144" i="17"/>
  <c r="AP188" i="17"/>
  <c r="AN188" i="17"/>
  <c r="Z142" i="8"/>
  <c r="AW144" i="17" s="1"/>
  <c r="AP165" i="17"/>
  <c r="AN165" i="17"/>
  <c r="AP222" i="17"/>
  <c r="AN222" i="17"/>
  <c r="AP118" i="17"/>
  <c r="AN118" i="17"/>
  <c r="AP232" i="17"/>
  <c r="AN232" i="17"/>
  <c r="AP104" i="17"/>
  <c r="AN104" i="17"/>
  <c r="AP116" i="17"/>
  <c r="AN116" i="17"/>
  <c r="AP97" i="17"/>
  <c r="AN97" i="17"/>
  <c r="AP81" i="17"/>
  <c r="AN81" i="17"/>
  <c r="AP250" i="17"/>
  <c r="AN250" i="17"/>
  <c r="AP203" i="17"/>
  <c r="AN203" i="17"/>
  <c r="AP219" i="17"/>
  <c r="AN219" i="17"/>
  <c r="AP137" i="17"/>
  <c r="AN137" i="17"/>
  <c r="AP73" i="17"/>
  <c r="AN73" i="17"/>
  <c r="AP145" i="17"/>
  <c r="AN145" i="17"/>
  <c r="AP67" i="17"/>
  <c r="AN67" i="17"/>
  <c r="AP201" i="17"/>
  <c r="AN201" i="17"/>
  <c r="AP119" i="17"/>
  <c r="AN119" i="17"/>
  <c r="AP143" i="17"/>
  <c r="AN143" i="17"/>
  <c r="AP248" i="17"/>
  <c r="AN248" i="17"/>
  <c r="AP157" i="17"/>
  <c r="AN157" i="17"/>
  <c r="AP172" i="17"/>
  <c r="AN172" i="17"/>
  <c r="AP173" i="17"/>
  <c r="AN173" i="17"/>
  <c r="AP120" i="17"/>
  <c r="AN120" i="17"/>
  <c r="AP230" i="17"/>
  <c r="AN230" i="17"/>
  <c r="AP92" i="17"/>
  <c r="AN92" i="17"/>
  <c r="AP241" i="17"/>
  <c r="AN241" i="17"/>
  <c r="AP94" i="17"/>
  <c r="AN94" i="17"/>
  <c r="AP148" i="17"/>
  <c r="AN148" i="17"/>
  <c r="AP211" i="17"/>
  <c r="AN211" i="17"/>
  <c r="AP238" i="17"/>
  <c r="AN238" i="17"/>
  <c r="AP207" i="17"/>
  <c r="AN207" i="17"/>
  <c r="AP153" i="17"/>
  <c r="AN153" i="17"/>
  <c r="AP68" i="17"/>
  <c r="AN68" i="17"/>
  <c r="AP191" i="17"/>
  <c r="AN191" i="17"/>
  <c r="AP82" i="17"/>
  <c r="AN82" i="17"/>
  <c r="AP221" i="17"/>
  <c r="AN221" i="17"/>
  <c r="AP224" i="17"/>
  <c r="AN224" i="17"/>
  <c r="AP108" i="17"/>
  <c r="AN108" i="17"/>
  <c r="Z124" i="8"/>
  <c r="AW126" i="17" s="1"/>
  <c r="AP206" i="17"/>
  <c r="AN206" i="17"/>
  <c r="AP184" i="17"/>
  <c r="AN184" i="17"/>
  <c r="AP228" i="17"/>
  <c r="AN228" i="17"/>
  <c r="AP100" i="17"/>
  <c r="AN100" i="17"/>
  <c r="AP257" i="17"/>
  <c r="AN257" i="17"/>
  <c r="AP182" i="17"/>
  <c r="AN182" i="17"/>
  <c r="AP112" i="17"/>
  <c r="AN112" i="17"/>
  <c r="AP156" i="17"/>
  <c r="AN156" i="17"/>
  <c r="AP229" i="17"/>
  <c r="AN229" i="17"/>
  <c r="AP149" i="17"/>
  <c r="AN149" i="17"/>
  <c r="AP198" i="17"/>
  <c r="AN198" i="17"/>
  <c r="AP110" i="17"/>
  <c r="AN110" i="17"/>
  <c r="AP200" i="17"/>
  <c r="AN200" i="17"/>
  <c r="AP212" i="17"/>
  <c r="AN212" i="17"/>
  <c r="AP84" i="17"/>
  <c r="AN84" i="17"/>
  <c r="AP121" i="17"/>
  <c r="AN121" i="17"/>
  <c r="AP170" i="17"/>
  <c r="AN170" i="17"/>
  <c r="Z188" i="8"/>
  <c r="AW190" i="17" s="1"/>
  <c r="AP69" i="17"/>
  <c r="AN69" i="17"/>
  <c r="AP177" i="17"/>
  <c r="AN177" i="17"/>
  <c r="AP246" i="17"/>
  <c r="AN246" i="17"/>
  <c r="AP141" i="17"/>
  <c r="AN141" i="17"/>
  <c r="AP254" i="17"/>
  <c r="AN254" i="17"/>
  <c r="AP129" i="17"/>
  <c r="AN129" i="17"/>
  <c r="AP86" i="17"/>
  <c r="AN86" i="17"/>
  <c r="AP64" i="17"/>
  <c r="AN64" i="17"/>
  <c r="AP75" i="17"/>
  <c r="AN75" i="17"/>
  <c r="AP190" i="17"/>
  <c r="AN190" i="17"/>
  <c r="AP181" i="17"/>
  <c r="AN181" i="17"/>
  <c r="AP136" i="17"/>
  <c r="AN136" i="17"/>
  <c r="AP195" i="17"/>
  <c r="AN195" i="17"/>
  <c r="AP89" i="17"/>
  <c r="AN89" i="17"/>
  <c r="AP258" i="17"/>
  <c r="AN258" i="17"/>
  <c r="AP105" i="17"/>
  <c r="AN105" i="17"/>
  <c r="AP255" i="17"/>
  <c r="AN255" i="17"/>
  <c r="AP233" i="17"/>
  <c r="AN233" i="17"/>
  <c r="AP96" i="17"/>
  <c r="AN96" i="17"/>
  <c r="AP205" i="17"/>
  <c r="AN205" i="17"/>
  <c r="AP174" i="17"/>
  <c r="AN174" i="17"/>
  <c r="AP192" i="17"/>
  <c r="AN192" i="17"/>
  <c r="AP204" i="17"/>
  <c r="AN204" i="17"/>
  <c r="AP158" i="17"/>
  <c r="AN158" i="17"/>
  <c r="AP152" i="17"/>
  <c r="AN152" i="17"/>
  <c r="AP196" i="17"/>
  <c r="AN196" i="17"/>
  <c r="Z250" i="8"/>
  <c r="AW252" i="17" s="1"/>
  <c r="Z221" i="8"/>
  <c r="AW223" i="17" s="1"/>
  <c r="Z172" i="8"/>
  <c r="AW174" i="17" s="1"/>
  <c r="Z207" i="8"/>
  <c r="AW209" i="17" s="1"/>
  <c r="AP249" i="17"/>
  <c r="AN249" i="17"/>
  <c r="AP208" i="17"/>
  <c r="AN208" i="17"/>
  <c r="AP80" i="17"/>
  <c r="AN80" i="17"/>
  <c r="AP124" i="17"/>
  <c r="AN124" i="17"/>
  <c r="AP197" i="17"/>
  <c r="AN197" i="17"/>
  <c r="AP133" i="17"/>
  <c r="AN133" i="17"/>
  <c r="AP142" i="17"/>
  <c r="AN142" i="17"/>
  <c r="AP102" i="17"/>
  <c r="AN102" i="17"/>
  <c r="AP168" i="17"/>
  <c r="AN168" i="17"/>
  <c r="AP180" i="17"/>
  <c r="AN180" i="17"/>
  <c r="AP231" i="17"/>
  <c r="AN231" i="17"/>
  <c r="AP113" i="17"/>
  <c r="AN113" i="17"/>
  <c r="AP65" i="17"/>
  <c r="AN65" i="17"/>
  <c r="AP79" i="17"/>
  <c r="AN79" i="17"/>
  <c r="AP262" i="17"/>
  <c r="AN262" i="17"/>
  <c r="AP161" i="17"/>
  <c r="AN161" i="17"/>
  <c r="AP169" i="17"/>
  <c r="AN169" i="17"/>
  <c r="AP243" i="17"/>
  <c r="AN243" i="17"/>
  <c r="AP185" i="17"/>
  <c r="AN185" i="17"/>
  <c r="AP199" i="17"/>
  <c r="AN199" i="17"/>
  <c r="AP93" i="17"/>
  <c r="AN93" i="17"/>
  <c r="AP70" i="17"/>
  <c r="AN70" i="17"/>
  <c r="AP63" i="17"/>
  <c r="AN63" i="17"/>
  <c r="AP32" i="17"/>
  <c r="AN32" i="17"/>
  <c r="AP39" i="17"/>
  <c r="AN39" i="17"/>
  <c r="AP60" i="17"/>
  <c r="AN60" i="17"/>
  <c r="AP20" i="17"/>
  <c r="AN20" i="17"/>
  <c r="AP56" i="17"/>
  <c r="AN56" i="17"/>
  <c r="AP53" i="17"/>
  <c r="AN53" i="17"/>
  <c r="AP47" i="17"/>
  <c r="AN47" i="17"/>
  <c r="AP33" i="17"/>
  <c r="AN33" i="17"/>
  <c r="AP31" i="17"/>
  <c r="AN31" i="17"/>
  <c r="AP44" i="17"/>
  <c r="AN44" i="17"/>
  <c r="AP21" i="17"/>
  <c r="AN21" i="17"/>
  <c r="AP42" i="17"/>
  <c r="AN42" i="17"/>
  <c r="AP19" i="17"/>
  <c r="AN19" i="17"/>
  <c r="AP45" i="17"/>
  <c r="AN45" i="17"/>
  <c r="AP49" i="17"/>
  <c r="AN49" i="17"/>
  <c r="Z49" i="8"/>
  <c r="AP52" i="17"/>
  <c r="AN52" i="17"/>
  <c r="AP16" i="17"/>
  <c r="AN16" i="17"/>
  <c r="AP25" i="17"/>
  <c r="AN25" i="17"/>
  <c r="Z36" i="8"/>
  <c r="AW36" i="17" s="1"/>
  <c r="AP48" i="17"/>
  <c r="AN48" i="17"/>
  <c r="AP14" i="17"/>
  <c r="AN14" i="17"/>
  <c r="AP23" i="17"/>
  <c r="AN23" i="17"/>
  <c r="AP36" i="17"/>
  <c r="AN36" i="17"/>
  <c r="AP46" i="17"/>
  <c r="AN46" i="17"/>
  <c r="AP13" i="17"/>
  <c r="AN13" i="17"/>
  <c r="Z26" i="8"/>
  <c r="AW26" i="17" s="1"/>
  <c r="AP34" i="17"/>
  <c r="AN34" i="17"/>
  <c r="AP43" i="17"/>
  <c r="AN43" i="17"/>
  <c r="AP41" i="17"/>
  <c r="AN41" i="17"/>
  <c r="AP30" i="17"/>
  <c r="AN30" i="17"/>
  <c r="AP29" i="17"/>
  <c r="AN29" i="17"/>
  <c r="AP18" i="17"/>
  <c r="AN18" i="17"/>
  <c r="AP27" i="17"/>
  <c r="AN27" i="17"/>
  <c r="AP57" i="17"/>
  <c r="AN57" i="17"/>
  <c r="AP24" i="17"/>
  <c r="AN24" i="17"/>
  <c r="AP22" i="17"/>
  <c r="AN22" i="17"/>
  <c r="AP12" i="17"/>
  <c r="AN12" i="17"/>
  <c r="AP58" i="17"/>
  <c r="AN58" i="17"/>
  <c r="AP40" i="17"/>
  <c r="AN40" i="17"/>
  <c r="AP54" i="17"/>
  <c r="AN54" i="17"/>
  <c r="AP17" i="17"/>
  <c r="AN17" i="17"/>
  <c r="AP38" i="17"/>
  <c r="AN38" i="17"/>
  <c r="AP50" i="17"/>
  <c r="AN50" i="17"/>
  <c r="AP15" i="17"/>
  <c r="AN15" i="17"/>
  <c r="AP28" i="17"/>
  <c r="AN28" i="17"/>
  <c r="AP37" i="17"/>
  <c r="AN37" i="17"/>
  <c r="Z21" i="8"/>
  <c r="AW21" i="17" s="1"/>
  <c r="AP26" i="17"/>
  <c r="AN26" i="17"/>
  <c r="AP35" i="17"/>
  <c r="AN35" i="17"/>
  <c r="AP11" i="17"/>
  <c r="AN11" i="17"/>
  <c r="H67" i="17"/>
  <c r="N69" i="6"/>
  <c r="W69" i="6" s="1"/>
  <c r="AI82" i="1" s="1"/>
  <c r="C20" i="16"/>
  <c r="C21" i="16"/>
  <c r="C23" i="16" s="1"/>
  <c r="D17" i="16" s="1"/>
  <c r="N70" i="6"/>
  <c r="W70" i="6" s="1"/>
  <c r="AI83" i="1" s="1"/>
  <c r="H68" i="17"/>
  <c r="N68" i="6"/>
  <c r="W68" i="6" s="1"/>
  <c r="AI81" i="1" s="1"/>
  <c r="H66" i="17"/>
  <c r="AE72" i="1"/>
  <c r="AW258" i="1"/>
  <c r="V256" i="8" s="1"/>
  <c r="AS258" i="17" s="1"/>
  <c r="AW77" i="1"/>
  <c r="AX77" i="1" s="1"/>
  <c r="AW88" i="1"/>
  <c r="V86" i="8" s="1"/>
  <c r="AS88" i="17" s="1"/>
  <c r="AW67" i="1"/>
  <c r="V65" i="8" s="1"/>
  <c r="AS67" i="17" s="1"/>
  <c r="AW227" i="1"/>
  <c r="V225" i="8" s="1"/>
  <c r="AS227" i="17" s="1"/>
  <c r="AW256" i="1"/>
  <c r="AX256" i="1" s="1"/>
  <c r="AW207" i="1"/>
  <c r="V205" i="8" s="1"/>
  <c r="AS207" i="17" s="1"/>
  <c r="AW164" i="1"/>
  <c r="V162" i="8" s="1"/>
  <c r="AS164" i="17" s="1"/>
  <c r="AW191" i="1"/>
  <c r="V189" i="8" s="1"/>
  <c r="AS191" i="17" s="1"/>
  <c r="AW110" i="1"/>
  <c r="V108" i="8" s="1"/>
  <c r="AS110" i="17" s="1"/>
  <c r="AW90" i="1"/>
  <c r="V88" i="8" s="1"/>
  <c r="AS90" i="17" s="1"/>
  <c r="AW176" i="1"/>
  <c r="V174" i="8" s="1"/>
  <c r="AS176" i="17" s="1"/>
  <c r="AW223" i="1"/>
  <c r="V221" i="8" s="1"/>
  <c r="AS223" i="17" s="1"/>
  <c r="AW196" i="1"/>
  <c r="AX196" i="1" s="1"/>
  <c r="AW123" i="1"/>
  <c r="AX123" i="1" s="1"/>
  <c r="AW130" i="1"/>
  <c r="V128" i="8" s="1"/>
  <c r="AS130" i="17" s="1"/>
  <c r="AW144" i="1"/>
  <c r="V142" i="8" s="1"/>
  <c r="AS144" i="17" s="1"/>
  <c r="AW104" i="1"/>
  <c r="V102" i="8" s="1"/>
  <c r="AS104" i="17" s="1"/>
  <c r="AW241" i="1"/>
  <c r="V239" i="8" s="1"/>
  <c r="AS241" i="17" s="1"/>
  <c r="AW230" i="1"/>
  <c r="V228" i="8" s="1"/>
  <c r="AS230" i="17" s="1"/>
  <c r="AW186" i="1"/>
  <c r="V184" i="8" s="1"/>
  <c r="AS186" i="17" s="1"/>
  <c r="AW72" i="1"/>
  <c r="V70" i="8" s="1"/>
  <c r="AS72" i="17" s="1"/>
  <c r="AW261" i="1"/>
  <c r="AX261" i="1" s="1"/>
  <c r="AW237" i="1"/>
  <c r="V235" i="8" s="1"/>
  <c r="AS237" i="17" s="1"/>
  <c r="AW200" i="1"/>
  <c r="V198" i="8" s="1"/>
  <c r="AS200" i="17" s="1"/>
  <c r="AW244" i="1"/>
  <c r="V242" i="8" s="1"/>
  <c r="AS244" i="17" s="1"/>
  <c r="AW210" i="1"/>
  <c r="AX210" i="1" s="1"/>
  <c r="AW181" i="1"/>
  <c r="V179" i="8" s="1"/>
  <c r="AS181" i="17" s="1"/>
  <c r="AW137" i="1"/>
  <c r="V135" i="8" s="1"/>
  <c r="AS137" i="17" s="1"/>
  <c r="AW136" i="1"/>
  <c r="V134" i="8" s="1"/>
  <c r="AS136" i="17" s="1"/>
  <c r="AW172" i="1"/>
  <c r="V170" i="8" s="1"/>
  <c r="AS172" i="17" s="1"/>
  <c r="AW174" i="1"/>
  <c r="V172" i="8" s="1"/>
  <c r="AS174" i="17" s="1"/>
  <c r="AW198" i="1"/>
  <c r="V196" i="8" s="1"/>
  <c r="AS198" i="17" s="1"/>
  <c r="AW85" i="1"/>
  <c r="AX85" i="1" s="1"/>
  <c r="AW226" i="1"/>
  <c r="V224" i="8" s="1"/>
  <c r="AS226" i="17" s="1"/>
  <c r="AW84" i="1"/>
  <c r="AX84" i="1" s="1"/>
  <c r="AW217" i="1"/>
  <c r="V215" i="8" s="1"/>
  <c r="AS217" i="17" s="1"/>
  <c r="AW243" i="1"/>
  <c r="AX243" i="1" s="1"/>
  <c r="AW251" i="1"/>
  <c r="V249" i="8" s="1"/>
  <c r="AS251" i="17" s="1"/>
  <c r="AW225" i="1"/>
  <c r="V223" i="8" s="1"/>
  <c r="AS225" i="17" s="1"/>
  <c r="AW209" i="1"/>
  <c r="V207" i="8" s="1"/>
  <c r="AS209" i="17" s="1"/>
  <c r="AW155" i="1"/>
  <c r="V153" i="8" s="1"/>
  <c r="AS155" i="17" s="1"/>
  <c r="AW234" i="1"/>
  <c r="AX234" i="1" s="1"/>
  <c r="AW99" i="1"/>
  <c r="V97" i="8" s="1"/>
  <c r="AS99" i="17" s="1"/>
  <c r="AW87" i="1"/>
  <c r="V85" i="8" s="1"/>
  <c r="AS87" i="17" s="1"/>
  <c r="AW103" i="1"/>
  <c r="V101" i="8" s="1"/>
  <c r="AS103" i="17" s="1"/>
  <c r="AW194" i="1"/>
  <c r="V192" i="8" s="1"/>
  <c r="AS194" i="17" s="1"/>
  <c r="AW156" i="1"/>
  <c r="V154" i="8" s="1"/>
  <c r="AS156" i="17" s="1"/>
  <c r="AW138" i="1"/>
  <c r="V136" i="8" s="1"/>
  <c r="AS138" i="17" s="1"/>
  <c r="AW183" i="1"/>
  <c r="V181" i="8" s="1"/>
  <c r="AS183" i="17" s="1"/>
  <c r="AW184" i="1"/>
  <c r="AX184" i="1" s="1"/>
  <c r="AW248" i="1"/>
  <c r="AX248" i="1" s="1"/>
  <c r="AW66" i="1"/>
  <c r="AX66" i="1" s="1"/>
  <c r="AW157" i="1"/>
  <c r="V155" i="8" s="1"/>
  <c r="AS157" i="17" s="1"/>
  <c r="AW167" i="1"/>
  <c r="V165" i="8" s="1"/>
  <c r="AS167" i="17" s="1"/>
  <c r="AW242" i="1"/>
  <c r="V240" i="8" s="1"/>
  <c r="AS242" i="17" s="1"/>
  <c r="AW121" i="1"/>
  <c r="AX121" i="1" s="1"/>
  <c r="AW254" i="1"/>
  <c r="V252" i="8" s="1"/>
  <c r="AS254" i="17" s="1"/>
  <c r="AW91" i="1"/>
  <c r="V89" i="8" s="1"/>
  <c r="AS91" i="17" s="1"/>
  <c r="AW153" i="1"/>
  <c r="V151" i="8" s="1"/>
  <c r="AS153" i="17" s="1"/>
  <c r="AW168" i="1"/>
  <c r="V166" i="8" s="1"/>
  <c r="AS168" i="17" s="1"/>
  <c r="AW95" i="1"/>
  <c r="V93" i="8" s="1"/>
  <c r="AS95" i="17" s="1"/>
  <c r="AW76" i="1"/>
  <c r="AX76" i="1" s="1"/>
  <c r="AW170" i="1"/>
  <c r="V168" i="8" s="1"/>
  <c r="AS170" i="17" s="1"/>
  <c r="AW92" i="1"/>
  <c r="V90" i="8" s="1"/>
  <c r="AS92" i="17" s="1"/>
  <c r="AW250" i="1"/>
  <c r="AX250" i="1" s="1"/>
  <c r="AW166" i="1"/>
  <c r="V164" i="8" s="1"/>
  <c r="AS166" i="17" s="1"/>
  <c r="AW109" i="1"/>
  <c r="AX109" i="1" s="1"/>
  <c r="AW185" i="1"/>
  <c r="V183" i="8" s="1"/>
  <c r="AS185" i="17" s="1"/>
  <c r="AW139" i="1"/>
  <c r="V137" i="8" s="1"/>
  <c r="AS139" i="17" s="1"/>
  <c r="AW208" i="1"/>
  <c r="AX208" i="1" s="1"/>
  <c r="AW171" i="1"/>
  <c r="V169" i="8" s="1"/>
  <c r="AS171" i="17" s="1"/>
  <c r="AW82" i="1"/>
  <c r="V80" i="8" s="1"/>
  <c r="AS82" i="17" s="1"/>
  <c r="AW71" i="1"/>
  <c r="AX71" i="1" s="1"/>
  <c r="AW233" i="1"/>
  <c r="V231" i="8" s="1"/>
  <c r="AS233" i="17" s="1"/>
  <c r="AW149" i="1"/>
  <c r="V147" i="8" s="1"/>
  <c r="AS149" i="17" s="1"/>
  <c r="AW81" i="1"/>
  <c r="AX81" i="1" s="1"/>
  <c r="AW238" i="1"/>
  <c r="V236" i="8" s="1"/>
  <c r="AS238" i="17" s="1"/>
  <c r="AW107" i="1"/>
  <c r="V105" i="8" s="1"/>
  <c r="AS107" i="17" s="1"/>
  <c r="AW111" i="1"/>
  <c r="V109" i="8" s="1"/>
  <c r="AS111" i="17" s="1"/>
  <c r="AW192" i="1"/>
  <c r="V190" i="8" s="1"/>
  <c r="AS192" i="17" s="1"/>
  <c r="AW236" i="1"/>
  <c r="AX236" i="1" s="1"/>
  <c r="AW147" i="1"/>
  <c r="V145" i="8" s="1"/>
  <c r="AS147" i="17" s="1"/>
  <c r="AW94" i="1"/>
  <c r="AX94" i="1" s="1"/>
  <c r="AW206" i="1"/>
  <c r="AX206" i="1" s="1"/>
  <c r="AW257" i="1"/>
  <c r="V255" i="8" s="1"/>
  <c r="AS257" i="17" s="1"/>
  <c r="AW78" i="1"/>
  <c r="V76" i="8" s="1"/>
  <c r="AS78" i="17" s="1"/>
  <c r="AW235" i="1"/>
  <c r="V233" i="8" s="1"/>
  <c r="AS235" i="17" s="1"/>
  <c r="AW215" i="1"/>
  <c r="V213" i="8" s="1"/>
  <c r="AS215" i="17" s="1"/>
  <c r="AW190" i="1"/>
  <c r="V188" i="8" s="1"/>
  <c r="AS190" i="17" s="1"/>
  <c r="AW162" i="1"/>
  <c r="V160" i="8" s="1"/>
  <c r="AS162" i="17" s="1"/>
  <c r="AW178" i="1"/>
  <c r="V176" i="8" s="1"/>
  <c r="AS178" i="17" s="1"/>
  <c r="AW118" i="1"/>
  <c r="V116" i="8" s="1"/>
  <c r="AS118" i="17" s="1"/>
  <c r="AW160" i="1"/>
  <c r="V158" i="8" s="1"/>
  <c r="AS160" i="17" s="1"/>
  <c r="AW128" i="1"/>
  <c r="V126" i="8" s="1"/>
  <c r="AS128" i="17" s="1"/>
  <c r="AW101" i="1"/>
  <c r="V99" i="8" s="1"/>
  <c r="AS101" i="17" s="1"/>
  <c r="AW262" i="1"/>
  <c r="AX262" i="1" s="1"/>
  <c r="AW154" i="1"/>
  <c r="V152" i="8" s="1"/>
  <c r="AS154" i="17" s="1"/>
  <c r="AW140" i="1"/>
  <c r="V138" i="8" s="1"/>
  <c r="AS140" i="17" s="1"/>
  <c r="AW202" i="1"/>
  <c r="AX202" i="1" s="1"/>
  <c r="AW158" i="1"/>
  <c r="V156" i="8" s="1"/>
  <c r="AS158" i="17" s="1"/>
  <c r="AW218" i="1"/>
  <c r="AX218" i="1" s="1"/>
  <c r="AW150" i="1"/>
  <c r="V148" i="8" s="1"/>
  <c r="AS150" i="17" s="1"/>
  <c r="AW73" i="1"/>
  <c r="AX73" i="1" s="1"/>
  <c r="AW145" i="1"/>
  <c r="V143" i="8" s="1"/>
  <c r="AS145" i="17" s="1"/>
  <c r="AW148" i="1"/>
  <c r="V146" i="8" s="1"/>
  <c r="AS148" i="17" s="1"/>
  <c r="AW79" i="1"/>
  <c r="V77" i="8" s="1"/>
  <c r="AS79" i="17" s="1"/>
  <c r="AW180" i="1"/>
  <c r="V178" i="8" s="1"/>
  <c r="AS180" i="17" s="1"/>
  <c r="AW116" i="1"/>
  <c r="AX116" i="1" s="1"/>
  <c r="AW240" i="1"/>
  <c r="V238" i="8" s="1"/>
  <c r="AS240" i="17" s="1"/>
  <c r="AW232" i="1"/>
  <c r="V230" i="8" s="1"/>
  <c r="AS232" i="17" s="1"/>
  <c r="AW177" i="1"/>
  <c r="AX177" i="1" s="1"/>
  <c r="AW197" i="1"/>
  <c r="V195" i="8" s="1"/>
  <c r="AS197" i="17" s="1"/>
  <c r="AW220" i="1"/>
  <c r="V218" i="8" s="1"/>
  <c r="AS220" i="17" s="1"/>
  <c r="AW201" i="1"/>
  <c r="V199" i="8" s="1"/>
  <c r="AS201" i="17" s="1"/>
  <c r="AW97" i="1"/>
  <c r="V95" i="8" s="1"/>
  <c r="AS97" i="17" s="1"/>
  <c r="AW204" i="1"/>
  <c r="V202" i="8" s="1"/>
  <c r="AS204" i="17" s="1"/>
  <c r="AW205" i="1"/>
  <c r="V203" i="8" s="1"/>
  <c r="AS205" i="17" s="1"/>
  <c r="AW151" i="1"/>
  <c r="V149" i="8" s="1"/>
  <c r="AS151" i="17" s="1"/>
  <c r="AW211" i="1"/>
  <c r="V209" i="8" s="1"/>
  <c r="AS211" i="17" s="1"/>
  <c r="AW141" i="1"/>
  <c r="AX141" i="1" s="1"/>
  <c r="AW120" i="1"/>
  <c r="AX120" i="1" s="1"/>
  <c r="AW65" i="1"/>
  <c r="V63" i="8" s="1"/>
  <c r="AS65" i="17" s="1"/>
  <c r="AW228" i="1"/>
  <c r="AX228" i="1" s="1"/>
  <c r="AW163" i="1"/>
  <c r="V161" i="8" s="1"/>
  <c r="AS163" i="17" s="1"/>
  <c r="AW222" i="1"/>
  <c r="AX222" i="1" s="1"/>
  <c r="AW64" i="1"/>
  <c r="V62" i="8" s="1"/>
  <c r="AW195" i="1"/>
  <c r="V193" i="8" s="1"/>
  <c r="AS195" i="17" s="1"/>
  <c r="AW239" i="1"/>
  <c r="V237" i="8" s="1"/>
  <c r="AS239" i="17" s="1"/>
  <c r="AW106" i="1"/>
  <c r="V104" i="8" s="1"/>
  <c r="AS106" i="17" s="1"/>
  <c r="AW98" i="1"/>
  <c r="V96" i="8" s="1"/>
  <c r="AS98" i="17" s="1"/>
  <c r="AW146" i="1"/>
  <c r="AX146" i="1" s="1"/>
  <c r="AW169" i="1"/>
  <c r="AX169" i="1" s="1"/>
  <c r="AW152" i="1"/>
  <c r="V150" i="8" s="1"/>
  <c r="AS152" i="17" s="1"/>
  <c r="AW117" i="1"/>
  <c r="V115" i="8" s="1"/>
  <c r="AS117" i="17" s="1"/>
  <c r="AW199" i="1"/>
  <c r="AX199" i="1" s="1"/>
  <c r="AW229" i="1"/>
  <c r="V227" i="8" s="1"/>
  <c r="AS229" i="17" s="1"/>
  <c r="AW114" i="1"/>
  <c r="V112" i="8" s="1"/>
  <c r="AS114" i="17" s="1"/>
  <c r="AW213" i="1"/>
  <c r="V211" i="8" s="1"/>
  <c r="AS213" i="17" s="1"/>
  <c r="AW134" i="1"/>
  <c r="V132" i="8" s="1"/>
  <c r="AS134" i="17" s="1"/>
  <c r="AW126" i="1"/>
  <c r="V124" i="8" s="1"/>
  <c r="AS126" i="17" s="1"/>
  <c r="AW247" i="1"/>
  <c r="V245" i="8" s="1"/>
  <c r="AS247" i="17" s="1"/>
  <c r="AW129" i="1"/>
  <c r="V127" i="8" s="1"/>
  <c r="AS129" i="17" s="1"/>
  <c r="AW132" i="1"/>
  <c r="V130" i="8" s="1"/>
  <c r="AS132" i="17" s="1"/>
  <c r="AW214" i="1"/>
  <c r="AX214" i="1" s="1"/>
  <c r="AW193" i="1"/>
  <c r="AX193" i="1" s="1"/>
  <c r="AW115" i="1"/>
  <c r="V113" i="8" s="1"/>
  <c r="AS115" i="17" s="1"/>
  <c r="AW70" i="1"/>
  <c r="V68" i="8" s="1"/>
  <c r="AS70" i="17" s="1"/>
  <c r="AW253" i="1"/>
  <c r="V251" i="8" s="1"/>
  <c r="AS253" i="17" s="1"/>
  <c r="AW189" i="1"/>
  <c r="V187" i="8" s="1"/>
  <c r="AS189" i="17" s="1"/>
  <c r="AW252" i="1"/>
  <c r="V250" i="8" s="1"/>
  <c r="AS252" i="17" s="1"/>
  <c r="AW175" i="1"/>
  <c r="V173" i="8" s="1"/>
  <c r="AS175" i="17" s="1"/>
  <c r="AW102" i="1"/>
  <c r="V100" i="8" s="1"/>
  <c r="AS102" i="17" s="1"/>
  <c r="AW260" i="1"/>
  <c r="AX260" i="1" s="1"/>
  <c r="W258" i="8" s="1"/>
  <c r="AT260" i="17" s="1"/>
  <c r="AW159" i="1"/>
  <c r="V157" i="8" s="1"/>
  <c r="AS159" i="17" s="1"/>
  <c r="AW135" i="1"/>
  <c r="V133" i="8" s="1"/>
  <c r="AS135" i="17" s="1"/>
  <c r="AW255" i="1"/>
  <c r="V253" i="8" s="1"/>
  <c r="AS255" i="17" s="1"/>
  <c r="AW188" i="1"/>
  <c r="V186" i="8" s="1"/>
  <c r="AS188" i="17" s="1"/>
  <c r="AW75" i="1"/>
  <c r="AX75" i="1" s="1"/>
  <c r="AW131" i="1"/>
  <c r="V129" i="8" s="1"/>
  <c r="AS131" i="17" s="1"/>
  <c r="AW173" i="1"/>
  <c r="AX173" i="1" s="1"/>
  <c r="AW96" i="1"/>
  <c r="V94" i="8" s="1"/>
  <c r="AS96" i="17" s="1"/>
  <c r="AW112" i="1"/>
  <c r="AW63" i="1"/>
  <c r="V61" i="8" s="1"/>
  <c r="AW127" i="1"/>
  <c r="V125" i="8" s="1"/>
  <c r="AS127" i="17" s="1"/>
  <c r="AW259" i="1"/>
  <c r="AX259" i="1" s="1"/>
  <c r="AW216" i="1"/>
  <c r="AX216" i="1" s="1"/>
  <c r="AW246" i="1"/>
  <c r="V244" i="8" s="1"/>
  <c r="AS246" i="17" s="1"/>
  <c r="AW68" i="1"/>
  <c r="AX68" i="1" s="1"/>
  <c r="AW122" i="1"/>
  <c r="V120" i="8" s="1"/>
  <c r="AS122" i="17" s="1"/>
  <c r="AW80" i="1"/>
  <c r="V78" i="8" s="1"/>
  <c r="AS80" i="17" s="1"/>
  <c r="AW182" i="1"/>
  <c r="V180" i="8" s="1"/>
  <c r="AS182" i="17" s="1"/>
  <c r="AW100" i="1"/>
  <c r="V98" i="8" s="1"/>
  <c r="AS100" i="17" s="1"/>
  <c r="AW69" i="1"/>
  <c r="V67" i="8" s="1"/>
  <c r="AS69" i="17" s="1"/>
  <c r="AW245" i="1"/>
  <c r="V243" i="8" s="1"/>
  <c r="AS245" i="17" s="1"/>
  <c r="AW142" i="1"/>
  <c r="AX142" i="1" s="1"/>
  <c r="AW125" i="1"/>
  <c r="V123" i="8" s="1"/>
  <c r="AS125" i="17" s="1"/>
  <c r="AW221" i="1"/>
  <c r="V219" i="8" s="1"/>
  <c r="AS221" i="17" s="1"/>
  <c r="AW119" i="1"/>
  <c r="V117" i="8" s="1"/>
  <c r="AS119" i="17" s="1"/>
  <c r="AW74" i="1"/>
  <c r="AX74" i="1" s="1"/>
  <c r="AW224" i="1"/>
  <c r="AW203" i="1"/>
  <c r="AW161" i="1"/>
  <c r="V159" i="8" s="1"/>
  <c r="AS161" i="17" s="1"/>
  <c r="AW83" i="1"/>
  <c r="V81" i="8" s="1"/>
  <c r="AS83" i="17" s="1"/>
  <c r="AW212" i="1"/>
  <c r="AX212" i="1" s="1"/>
  <c r="AW124" i="1"/>
  <c r="AX124" i="1" s="1"/>
  <c r="AW249" i="1"/>
  <c r="V247" i="8" s="1"/>
  <c r="AS249" i="17" s="1"/>
  <c r="AW231" i="1"/>
  <c r="AW93" i="1"/>
  <c r="AW108" i="1"/>
  <c r="V106" i="8" s="1"/>
  <c r="AS108" i="17" s="1"/>
  <c r="AW143" i="1"/>
  <c r="V141" i="8" s="1"/>
  <c r="AS143" i="17" s="1"/>
  <c r="AW179" i="1"/>
  <c r="V177" i="8" s="1"/>
  <c r="AS179" i="17" s="1"/>
  <c r="AW113" i="1"/>
  <c r="V111" i="8" s="1"/>
  <c r="AS113" i="17" s="1"/>
  <c r="AW165" i="1"/>
  <c r="AW133" i="1"/>
  <c r="AX133" i="1" s="1"/>
  <c r="AW187" i="1"/>
  <c r="AX187" i="1" s="1"/>
  <c r="AW105" i="1"/>
  <c r="V103" i="8" s="1"/>
  <c r="AS105" i="17" s="1"/>
  <c r="AW89" i="1"/>
  <c r="V87" i="8" s="1"/>
  <c r="AS89" i="17" s="1"/>
  <c r="AW86" i="1"/>
  <c r="AX86" i="1" s="1"/>
  <c r="AW219" i="1"/>
  <c r="V79" i="8"/>
  <c r="AS81" i="17" s="1"/>
  <c r="V118" i="8"/>
  <c r="AS120" i="17" s="1"/>
  <c r="Z125" i="8"/>
  <c r="AW127" i="17" s="1"/>
  <c r="BB220" i="1"/>
  <c r="AV220" i="1" s="1"/>
  <c r="Z119" i="8"/>
  <c r="AW121" i="17" s="1"/>
  <c r="Z198" i="8"/>
  <c r="AW200" i="17" s="1"/>
  <c r="S262" i="8"/>
  <c r="Y61" i="8"/>
  <c r="AV63" i="17" s="1"/>
  <c r="BA63" i="1"/>
  <c r="Z61" i="8" s="1"/>
  <c r="Y11" i="8"/>
  <c r="AV11" i="17" s="1"/>
  <c r="AV61" i="17" s="1"/>
  <c r="AA15" i="8"/>
  <c r="AX15" i="17" s="1"/>
  <c r="AA51" i="8"/>
  <c r="AX51" i="17" s="1"/>
  <c r="Z231" i="8"/>
  <c r="AW233" i="17" s="1"/>
  <c r="Z11" i="8"/>
  <c r="AW11" i="17" s="1"/>
  <c r="Z156" i="8"/>
  <c r="AW158" i="17" s="1"/>
  <c r="BB242" i="1"/>
  <c r="AV242" i="1" s="1"/>
  <c r="BB241" i="1"/>
  <c r="AV241" i="1" s="1"/>
  <c r="Z23" i="8"/>
  <c r="AW23" i="17" s="1"/>
  <c r="AA19" i="8"/>
  <c r="AX19" i="17" s="1"/>
  <c r="Z144" i="8"/>
  <c r="AW146" i="17" s="1"/>
  <c r="R263" i="8"/>
  <c r="Z168" i="8"/>
  <c r="AW170" i="17" s="1"/>
  <c r="Z32" i="8"/>
  <c r="AW32" i="17" s="1"/>
  <c r="Z99" i="8"/>
  <c r="AW101" i="17" s="1"/>
  <c r="Z237" i="8"/>
  <c r="AW239" i="17" s="1"/>
  <c r="Z186" i="8"/>
  <c r="AW188" i="17" s="1"/>
  <c r="Z39" i="8"/>
  <c r="AW39" i="17" s="1"/>
  <c r="Z40" i="8"/>
  <c r="AW40" i="17" s="1"/>
  <c r="Z153" i="8"/>
  <c r="AW155" i="17" s="1"/>
  <c r="Z96" i="8"/>
  <c r="AW98" i="17" s="1"/>
  <c r="BA65" i="1"/>
  <c r="BB65" i="1" s="1"/>
  <c r="AV65" i="1" s="1"/>
  <c r="BB131" i="1"/>
  <c r="AV131" i="1" s="1"/>
  <c r="Z180" i="8"/>
  <c r="AW182" i="17" s="1"/>
  <c r="Z108" i="8"/>
  <c r="AW110" i="17" s="1"/>
  <c r="Z112" i="8"/>
  <c r="AW114" i="17" s="1"/>
  <c r="AA40" i="8"/>
  <c r="AX40" i="17" s="1"/>
  <c r="Z166" i="8"/>
  <c r="AW168" i="17" s="1"/>
  <c r="Z189" i="8"/>
  <c r="AW191" i="17" s="1"/>
  <c r="Z51" i="8"/>
  <c r="AW51" i="17" s="1"/>
  <c r="AV98" i="1"/>
  <c r="AA96" i="8"/>
  <c r="AX98" i="17" s="1"/>
  <c r="AV23" i="1"/>
  <c r="AA23" i="8"/>
  <c r="AX23" i="17" s="1"/>
  <c r="AV20" i="1"/>
  <c r="AA20" i="8"/>
  <c r="AX20" i="17" s="1"/>
  <c r="AA60" i="8"/>
  <c r="AX60" i="17" s="1"/>
  <c r="Z159" i="8"/>
  <c r="AW161" i="17" s="1"/>
  <c r="AA104" i="8"/>
  <c r="AX106" i="17" s="1"/>
  <c r="BB132" i="1"/>
  <c r="AV132" i="1" s="1"/>
  <c r="BB145" i="1"/>
  <c r="AV145" i="1" s="1"/>
  <c r="Z179" i="8"/>
  <c r="AW181" i="17" s="1"/>
  <c r="Z160" i="8"/>
  <c r="AW162" i="17" s="1"/>
  <c r="AA21" i="8"/>
  <c r="AX21" i="17" s="1"/>
  <c r="Z43" i="8"/>
  <c r="AW43" i="17" s="1"/>
  <c r="Z120" i="8"/>
  <c r="AW122" i="17" s="1"/>
  <c r="Z93" i="8"/>
  <c r="AW95" i="17" s="1"/>
  <c r="Z97" i="8"/>
  <c r="AW99" i="17" s="1"/>
  <c r="Z65" i="8"/>
  <c r="AW67" i="17" s="1"/>
  <c r="Z90" i="8"/>
  <c r="AW92" i="17" s="1"/>
  <c r="U11" i="8"/>
  <c r="AR11" i="17" s="1"/>
  <c r="Z81" i="8"/>
  <c r="AW83" i="17" s="1"/>
  <c r="Z53" i="8"/>
  <c r="AW53" i="17" s="1"/>
  <c r="Z85" i="8"/>
  <c r="AW87" i="17" s="1"/>
  <c r="AV110" i="1"/>
  <c r="U108" i="8" s="1"/>
  <c r="AR110" i="17" s="1"/>
  <c r="AA108" i="8"/>
  <c r="AX110" i="17" s="1"/>
  <c r="BB255" i="1"/>
  <c r="AV255" i="1" s="1"/>
  <c r="BB163" i="1"/>
  <c r="AV163" i="1" s="1"/>
  <c r="X262" i="8"/>
  <c r="BB150" i="1"/>
  <c r="AV150" i="1" s="1"/>
  <c r="U148" i="8" s="1"/>
  <c r="AR150" i="17" s="1"/>
  <c r="BB185" i="1"/>
  <c r="AV185" i="1" s="1"/>
  <c r="BB249" i="1"/>
  <c r="AV249" i="1" s="1"/>
  <c r="BB229" i="1"/>
  <c r="AV229" i="1" s="1"/>
  <c r="U207" i="8"/>
  <c r="AR209" i="17" s="1"/>
  <c r="AA36" i="8"/>
  <c r="AX36" i="17" s="1"/>
  <c r="AA27" i="8"/>
  <c r="AX27" i="17" s="1"/>
  <c r="AA250" i="8"/>
  <c r="AX252" i="17" s="1"/>
  <c r="AA39" i="8"/>
  <c r="AX39" i="17" s="1"/>
  <c r="BB55" i="1"/>
  <c r="Z55" i="8"/>
  <c r="AW55" i="17" s="1"/>
  <c r="Z37" i="8"/>
  <c r="AW37" i="17" s="1"/>
  <c r="BB37" i="1"/>
  <c r="Z157" i="8"/>
  <c r="AW159" i="17" s="1"/>
  <c r="BB159" i="1"/>
  <c r="AV159" i="1" s="1"/>
  <c r="Z17" i="8"/>
  <c r="AW17" i="17" s="1"/>
  <c r="AV26" i="1"/>
  <c r="AA26" i="8"/>
  <c r="AX26" i="17" s="1"/>
  <c r="Z89" i="8"/>
  <c r="AW91" i="17" s="1"/>
  <c r="BB91" i="1"/>
  <c r="AV91" i="1" s="1"/>
  <c r="AV114" i="1"/>
  <c r="AA112" i="8"/>
  <c r="AX114" i="17" s="1"/>
  <c r="AV32" i="1"/>
  <c r="AA32" i="8"/>
  <c r="AX32" i="17" s="1"/>
  <c r="AV99" i="1"/>
  <c r="AA97" i="8"/>
  <c r="AX99" i="17" s="1"/>
  <c r="AA236" i="8"/>
  <c r="AX238" i="17" s="1"/>
  <c r="AA17" i="8"/>
  <c r="AX17" i="17" s="1"/>
  <c r="Z128" i="8"/>
  <c r="AW130" i="17" s="1"/>
  <c r="Z101" i="8"/>
  <c r="AW103" i="17" s="1"/>
  <c r="BB103" i="1"/>
  <c r="AV103" i="1" s="1"/>
  <c r="U101" i="8" s="1"/>
  <c r="AR103" i="17" s="1"/>
  <c r="BB139" i="1"/>
  <c r="AV139" i="1" s="1"/>
  <c r="Z137" i="8"/>
  <c r="AW139" i="17" s="1"/>
  <c r="AV31" i="1"/>
  <c r="U31" i="8" s="1"/>
  <c r="AR31" i="17" s="1"/>
  <c r="AA31" i="8"/>
  <c r="AX31" i="17" s="1"/>
  <c r="BB63" i="1"/>
  <c r="Z78" i="8"/>
  <c r="AW80" i="17" s="1"/>
  <c r="BB80" i="1"/>
  <c r="AV80" i="1" s="1"/>
  <c r="BB194" i="1"/>
  <c r="AV194" i="1" s="1"/>
  <c r="Z192" i="8"/>
  <c r="AW194" i="17" s="1"/>
  <c r="Z205" i="8"/>
  <c r="AW207" i="17" s="1"/>
  <c r="BB207" i="1"/>
  <c r="AV207" i="1" s="1"/>
  <c r="Z145" i="8"/>
  <c r="AW147" i="17" s="1"/>
  <c r="BB147" i="1"/>
  <c r="AV147" i="1" s="1"/>
  <c r="Z251" i="8"/>
  <c r="AW253" i="17" s="1"/>
  <c r="Z169" i="8"/>
  <c r="AW171" i="17" s="1"/>
  <c r="AV53" i="1"/>
  <c r="AA53" i="8"/>
  <c r="AX53" i="17" s="1"/>
  <c r="AV35" i="1"/>
  <c r="AA35" i="8"/>
  <c r="AX35" i="17" s="1"/>
  <c r="Z134" i="8"/>
  <c r="AW136" i="17" s="1"/>
  <c r="BB136" i="1"/>
  <c r="AV136" i="1" s="1"/>
  <c r="U134" i="8" s="1"/>
  <c r="AR136" i="17" s="1"/>
  <c r="AV43" i="1"/>
  <c r="U43" i="8" s="1"/>
  <c r="AR43" i="17" s="1"/>
  <c r="AA43" i="8"/>
  <c r="AX43" i="17" s="1"/>
  <c r="BA69" i="1"/>
  <c r="BA72" i="1"/>
  <c r="BB72" i="1" s="1"/>
  <c r="AV72" i="1" s="1"/>
  <c r="BB47" i="1"/>
  <c r="BB118" i="1"/>
  <c r="AO264" i="17"/>
  <c r="Y70" i="8"/>
  <c r="AV72" i="17" s="1"/>
  <c r="U92" i="8"/>
  <c r="AR94" i="17" s="1"/>
  <c r="U104" i="8"/>
  <c r="AR106" i="17" s="1"/>
  <c r="U234" i="8"/>
  <c r="AR236" i="17" s="1"/>
  <c r="U84" i="8"/>
  <c r="AR86" i="17" s="1"/>
  <c r="Q263" i="8"/>
  <c r="U48" i="8"/>
  <c r="AR48" i="17" s="1"/>
  <c r="U58" i="8"/>
  <c r="AR58" i="17" s="1"/>
  <c r="U38" i="8"/>
  <c r="AR38" i="17" s="1"/>
  <c r="U56" i="8"/>
  <c r="AR56" i="17" s="1"/>
  <c r="S261" i="8"/>
  <c r="U17" i="8"/>
  <c r="AR17" i="17" s="1"/>
  <c r="U45" i="8"/>
  <c r="AR45" i="17" s="1"/>
  <c r="Z76" i="8"/>
  <c r="AW78" i="17" s="1"/>
  <c r="Z68" i="8"/>
  <c r="AW70" i="17" s="1"/>
  <c r="AA245" i="8"/>
  <c r="AX247" i="17" s="1"/>
  <c r="AA188" i="8"/>
  <c r="AX190" i="17" s="1"/>
  <c r="U140" i="8"/>
  <c r="AR142" i="17" s="1"/>
  <c r="U115" i="8"/>
  <c r="AR117" i="17" s="1"/>
  <c r="AA65" i="8"/>
  <c r="AX67" i="17" s="1"/>
  <c r="AA216" i="8"/>
  <c r="AX218" i="17" s="1"/>
  <c r="AA184" i="8"/>
  <c r="AX186" i="17" s="1"/>
  <c r="U159" i="8"/>
  <c r="AR161" i="17" s="1"/>
  <c r="U106" i="8"/>
  <c r="AR108" i="17" s="1"/>
  <c r="AA241" i="8"/>
  <c r="AX243" i="17" s="1"/>
  <c r="AA206" i="8"/>
  <c r="AX208" i="17" s="1"/>
  <c r="AA180" i="8"/>
  <c r="AX182" i="17" s="1"/>
  <c r="U139" i="8"/>
  <c r="AR141" i="17" s="1"/>
  <c r="AA220" i="8"/>
  <c r="AX222" i="17" s="1"/>
  <c r="AA110" i="8"/>
  <c r="AX112" i="17" s="1"/>
  <c r="AA151" i="8"/>
  <c r="AX153" i="17" s="1"/>
  <c r="AA251" i="8"/>
  <c r="AX253" i="17" s="1"/>
  <c r="AA223" i="8"/>
  <c r="AX225" i="17" s="1"/>
  <c r="AA179" i="8"/>
  <c r="AX181" i="17" s="1"/>
  <c r="U190" i="8"/>
  <c r="AR192" i="17" s="1"/>
  <c r="U124" i="8"/>
  <c r="AR126" i="17" s="1"/>
  <c r="U162" i="8"/>
  <c r="AR164" i="17" s="1"/>
  <c r="U119" i="8"/>
  <c r="AR121" i="17" s="1"/>
  <c r="U91" i="8"/>
  <c r="AR93" i="17" s="1"/>
  <c r="U242" i="8"/>
  <c r="AR244" i="17" s="1"/>
  <c r="U250" i="8"/>
  <c r="AR252" i="17" s="1"/>
  <c r="Z20" i="8"/>
  <c r="AW20" i="17" s="1"/>
  <c r="Z28" i="8"/>
  <c r="AW28" i="17" s="1"/>
  <c r="Z248" i="8"/>
  <c r="AW250" i="17" s="1"/>
  <c r="AA109" i="8"/>
  <c r="AX111" i="17" s="1"/>
  <c r="AA162" i="8"/>
  <c r="AX164" i="17" s="1"/>
  <c r="Z184" i="8"/>
  <c r="AW186" i="17" s="1"/>
  <c r="AA150" i="8"/>
  <c r="AX152" i="17" s="1"/>
  <c r="Z219" i="8"/>
  <c r="AW221" i="17" s="1"/>
  <c r="Z211" i="8"/>
  <c r="AW213" i="17" s="1"/>
  <c r="Z203" i="8"/>
  <c r="AW205" i="17" s="1"/>
  <c r="Z187" i="8"/>
  <c r="AW189" i="17" s="1"/>
  <c r="AA246" i="8"/>
  <c r="AX248" i="17" s="1"/>
  <c r="AA222" i="8"/>
  <c r="AX224" i="17" s="1"/>
  <c r="AA199" i="8"/>
  <c r="AX201" i="17" s="1"/>
  <c r="AA186" i="8"/>
  <c r="AX188" i="17" s="1"/>
  <c r="AA141" i="8"/>
  <c r="AX143" i="17" s="1"/>
  <c r="Z109" i="8"/>
  <c r="AW111" i="17" s="1"/>
  <c r="Z87" i="8"/>
  <c r="AW89" i="17" s="1"/>
  <c r="AA83" i="8"/>
  <c r="AX85" i="17" s="1"/>
  <c r="AA215" i="8"/>
  <c r="AX217" i="17" s="1"/>
  <c r="Z164" i="8"/>
  <c r="AW166" i="17" s="1"/>
  <c r="Z122" i="8"/>
  <c r="AW124" i="17" s="1"/>
  <c r="Z33" i="8"/>
  <c r="AW33" i="17" s="1"/>
  <c r="AA238" i="8"/>
  <c r="AX240" i="17" s="1"/>
  <c r="AA226" i="8"/>
  <c r="AX228" i="17" s="1"/>
  <c r="Z149" i="8"/>
  <c r="AW151" i="17" s="1"/>
  <c r="Z113" i="8"/>
  <c r="AW115" i="17" s="1"/>
  <c r="AA71" i="8"/>
  <c r="AX73" i="17" s="1"/>
  <c r="AA182" i="8"/>
  <c r="AX184" i="17" s="1"/>
  <c r="Z74" i="8"/>
  <c r="AW76" i="17" s="1"/>
  <c r="Z66" i="8"/>
  <c r="AW68" i="17" s="1"/>
  <c r="Z14" i="8"/>
  <c r="AW14" i="17" s="1"/>
  <c r="AA237" i="8"/>
  <c r="AX239" i="17" s="1"/>
  <c r="AA210" i="8"/>
  <c r="AX212" i="17" s="1"/>
  <c r="AA181" i="8"/>
  <c r="AX183" i="17" s="1"/>
  <c r="U156" i="8"/>
  <c r="AR158" i="17" s="1"/>
  <c r="U86" i="8"/>
  <c r="AR88" i="17" s="1"/>
  <c r="AA256" i="8"/>
  <c r="AX258" i="17" s="1"/>
  <c r="AA208" i="8"/>
  <c r="AX210" i="17" s="1"/>
  <c r="AA177" i="8"/>
  <c r="AX179" i="17" s="1"/>
  <c r="U152" i="8"/>
  <c r="AR154" i="17" s="1"/>
  <c r="U125" i="8"/>
  <c r="AR127" i="17" s="1"/>
  <c r="U71" i="8"/>
  <c r="AR73" i="17" s="1"/>
  <c r="AA233" i="8"/>
  <c r="AX235" i="17" s="1"/>
  <c r="AA198" i="8"/>
  <c r="AX200" i="17" s="1"/>
  <c r="U173" i="8"/>
  <c r="AR175" i="17" s="1"/>
  <c r="U155" i="8"/>
  <c r="AR157" i="17" s="1"/>
  <c r="U98" i="8"/>
  <c r="AR100" i="17" s="1"/>
  <c r="AA212" i="8"/>
  <c r="AX214" i="17" s="1"/>
  <c r="AA169" i="8"/>
  <c r="AX171" i="17" s="1"/>
  <c r="AA105" i="8"/>
  <c r="AX107" i="17" s="1"/>
  <c r="AA128" i="8"/>
  <c r="AX130" i="17" s="1"/>
  <c r="AA94" i="8"/>
  <c r="AX96" i="17" s="1"/>
  <c r="AA229" i="8"/>
  <c r="AX231" i="17" s="1"/>
  <c r="AA135" i="8"/>
  <c r="AX137" i="17" s="1"/>
  <c r="AA243" i="8"/>
  <c r="AX245" i="17" s="1"/>
  <c r="AA195" i="8"/>
  <c r="AX197" i="17" s="1"/>
  <c r="AA257" i="8"/>
  <c r="AX259" i="17" s="1"/>
  <c r="AA160" i="8"/>
  <c r="AX162" i="17" s="1"/>
  <c r="U246" i="8"/>
  <c r="AR248" i="17" s="1"/>
  <c r="U182" i="8"/>
  <c r="AR184" i="17" s="1"/>
  <c r="U107" i="8"/>
  <c r="AR109" i="17" s="1"/>
  <c r="U150" i="8"/>
  <c r="AR152" i="17" s="1"/>
  <c r="U103" i="8"/>
  <c r="AR105" i="17" s="1"/>
  <c r="U199" i="8"/>
  <c r="AR201" i="17" s="1"/>
  <c r="U230" i="8"/>
  <c r="AR232" i="17" s="1"/>
  <c r="U222" i="8"/>
  <c r="AR224" i="17" s="1"/>
  <c r="AU263" i="17"/>
  <c r="AA44" i="8"/>
  <c r="AX44" i="17" s="1"/>
  <c r="Z44" i="8"/>
  <c r="AW44" i="17" s="1"/>
  <c r="U22" i="8"/>
  <c r="AR22" i="17" s="1"/>
  <c r="AA173" i="8"/>
  <c r="AX175" i="17" s="1"/>
  <c r="AA91" i="8"/>
  <c r="AX93" i="17" s="1"/>
  <c r="AA213" i="8"/>
  <c r="AX215" i="17" s="1"/>
  <c r="Z111" i="8"/>
  <c r="AW113" i="17" s="1"/>
  <c r="AA159" i="8"/>
  <c r="AX161" i="17" s="1"/>
  <c r="AA81" i="8"/>
  <c r="AX83" i="17" s="1"/>
  <c r="AA155" i="8"/>
  <c r="AX157" i="17" s="1"/>
  <c r="Z133" i="8"/>
  <c r="AW135" i="17" s="1"/>
  <c r="Z105" i="8"/>
  <c r="AW107" i="17" s="1"/>
  <c r="AA152" i="8"/>
  <c r="AX154" i="17" s="1"/>
  <c r="AA124" i="8"/>
  <c r="AX126" i="17" s="1"/>
  <c r="Z244" i="8"/>
  <c r="AW246" i="17" s="1"/>
  <c r="AA172" i="8"/>
  <c r="AX174" i="17" s="1"/>
  <c r="Z158" i="8"/>
  <c r="AW160" i="17" s="1"/>
  <c r="AA146" i="8"/>
  <c r="AX148" i="17" s="1"/>
  <c r="AA136" i="8"/>
  <c r="AX138" i="17" s="1"/>
  <c r="AA86" i="8"/>
  <c r="AX88" i="17" s="1"/>
  <c r="Z27" i="8"/>
  <c r="AW27" i="17" s="1"/>
  <c r="AA207" i="8"/>
  <c r="AX209" i="17" s="1"/>
  <c r="AA166" i="8"/>
  <c r="AX168" i="17" s="1"/>
  <c r="AA102" i="8"/>
  <c r="AX104" i="17" s="1"/>
  <c r="Z42" i="8"/>
  <c r="AW42" i="17" s="1"/>
  <c r="AA170" i="8"/>
  <c r="AX172" i="17" s="1"/>
  <c r="AA142" i="8"/>
  <c r="AX144" i="17" s="1"/>
  <c r="AA98" i="8"/>
  <c r="AX100" i="17" s="1"/>
  <c r="Z72" i="8"/>
  <c r="AW74" i="17" s="1"/>
  <c r="Z64" i="8"/>
  <c r="AW66" i="17" s="1"/>
  <c r="Z67" i="8"/>
  <c r="AW69" i="17" s="1"/>
  <c r="Z13" i="8"/>
  <c r="AW13" i="17" s="1"/>
  <c r="AA260" i="8"/>
  <c r="AX262" i="17" s="1"/>
  <c r="AA232" i="8"/>
  <c r="AX234" i="17" s="1"/>
  <c r="AA202" i="8"/>
  <c r="AX204" i="17" s="1"/>
  <c r="U172" i="8"/>
  <c r="AR174" i="17" s="1"/>
  <c r="U102" i="8"/>
  <c r="AR104" i="17" s="1"/>
  <c r="U83" i="8"/>
  <c r="AR85" i="17" s="1"/>
  <c r="AA69" i="8"/>
  <c r="AX71" i="17" s="1"/>
  <c r="AA228" i="8"/>
  <c r="AX230" i="17" s="1"/>
  <c r="AA200" i="8"/>
  <c r="AX202" i="17" s="1"/>
  <c r="U168" i="8"/>
  <c r="AR170" i="17" s="1"/>
  <c r="U93" i="8"/>
  <c r="AR95" i="17" s="1"/>
  <c r="AA224" i="8"/>
  <c r="AX226" i="17" s="1"/>
  <c r="AA196" i="8"/>
  <c r="AX198" i="17" s="1"/>
  <c r="U171" i="8"/>
  <c r="AR173" i="17" s="1"/>
  <c r="U117" i="8"/>
  <c r="AR119" i="17" s="1"/>
  <c r="AA167" i="8"/>
  <c r="AX169" i="17" s="1"/>
  <c r="AA126" i="8"/>
  <c r="AX128" i="17" s="1"/>
  <c r="AA235" i="8"/>
  <c r="AX237" i="17" s="1"/>
  <c r="AA191" i="8"/>
  <c r="AX193" i="17" s="1"/>
  <c r="AA255" i="8"/>
  <c r="AX257" i="17" s="1"/>
  <c r="U120" i="8"/>
  <c r="AR122" i="17" s="1"/>
  <c r="U174" i="8"/>
  <c r="AR176" i="17" s="1"/>
  <c r="U226" i="8"/>
  <c r="AR228" i="17" s="1"/>
  <c r="U186" i="8"/>
  <c r="AR188" i="17" s="1"/>
  <c r="U142" i="8"/>
  <c r="AR144" i="17" s="1"/>
  <c r="U146" i="8"/>
  <c r="AR148" i="17" s="1"/>
  <c r="U258" i="8"/>
  <c r="AR260" i="17" s="1"/>
  <c r="AA201" i="8"/>
  <c r="AX203" i="17" s="1"/>
  <c r="AA125" i="8"/>
  <c r="AX127" i="17" s="1"/>
  <c r="Z95" i="8"/>
  <c r="AW97" i="17" s="1"/>
  <c r="Z191" i="8"/>
  <c r="AW193" i="17" s="1"/>
  <c r="AA99" i="8"/>
  <c r="AX101" i="17" s="1"/>
  <c r="Z147" i="8"/>
  <c r="AW149" i="17" s="1"/>
  <c r="AA77" i="8"/>
  <c r="AX79" i="17" s="1"/>
  <c r="AA85" i="8"/>
  <c r="AX87" i="17" s="1"/>
  <c r="Z60" i="8"/>
  <c r="AW60" i="17" s="1"/>
  <c r="AA190" i="8"/>
  <c r="AX192" i="17" s="1"/>
  <c r="Z154" i="8"/>
  <c r="AW156" i="17" s="1"/>
  <c r="Z132" i="8"/>
  <c r="AW134" i="17" s="1"/>
  <c r="AA118" i="8"/>
  <c r="AX120" i="17" s="1"/>
  <c r="Z59" i="8"/>
  <c r="AW59" i="17" s="1"/>
  <c r="Z19" i="8"/>
  <c r="AW19" i="17" s="1"/>
  <c r="AA171" i="8"/>
  <c r="AX173" i="17" s="1"/>
  <c r="AA139" i="8"/>
  <c r="AX141" i="17" s="1"/>
  <c r="AA107" i="8"/>
  <c r="AX109" i="17" s="1"/>
  <c r="AA93" i="8"/>
  <c r="AX95" i="17" s="1"/>
  <c r="AA156" i="8"/>
  <c r="AX158" i="17" s="1"/>
  <c r="AA106" i="8"/>
  <c r="AX108" i="17" s="1"/>
  <c r="Z75" i="8"/>
  <c r="AW77" i="17" s="1"/>
  <c r="Z62" i="8"/>
  <c r="AW64" i="17" s="1"/>
  <c r="AA225" i="8"/>
  <c r="AX227" i="17" s="1"/>
  <c r="AA197" i="8"/>
  <c r="AX199" i="17" s="1"/>
  <c r="U118" i="8"/>
  <c r="AR120" i="17" s="1"/>
  <c r="U99" i="8"/>
  <c r="AR101" i="17" s="1"/>
  <c r="U81" i="8"/>
  <c r="AR83" i="17" s="1"/>
  <c r="AA221" i="8"/>
  <c r="AX223" i="17" s="1"/>
  <c r="AA193" i="8"/>
  <c r="AX195" i="17" s="1"/>
  <c r="U136" i="8"/>
  <c r="AR138" i="17" s="1"/>
  <c r="U109" i="8"/>
  <c r="AR111" i="17" s="1"/>
  <c r="U90" i="8"/>
  <c r="AR92" i="17" s="1"/>
  <c r="AA249" i="8"/>
  <c r="AX251" i="17" s="1"/>
  <c r="AA214" i="8"/>
  <c r="AX216" i="17" s="1"/>
  <c r="AA189" i="8"/>
  <c r="AX191" i="17" s="1"/>
  <c r="U141" i="8"/>
  <c r="AR143" i="17" s="1"/>
  <c r="U82" i="8"/>
  <c r="AR84" i="17" s="1"/>
  <c r="AA185" i="8"/>
  <c r="AX187" i="17" s="1"/>
  <c r="AA144" i="8"/>
  <c r="AX146" i="17" s="1"/>
  <c r="AA153" i="8"/>
  <c r="AX155" i="17" s="1"/>
  <c r="AA121" i="8"/>
  <c r="AX123" i="17" s="1"/>
  <c r="AA176" i="8"/>
  <c r="AX178" i="17" s="1"/>
  <c r="AA259" i="8"/>
  <c r="AX261" i="17" s="1"/>
  <c r="AA231" i="8"/>
  <c r="AX233" i="17" s="1"/>
  <c r="AA187" i="8"/>
  <c r="AX189" i="17" s="1"/>
  <c r="U254" i="8"/>
  <c r="AR256" i="17" s="1"/>
  <c r="U238" i="8"/>
  <c r="AR240" i="17" s="1"/>
  <c r="U213" i="8"/>
  <c r="AR215" i="17" s="1"/>
  <c r="U166" i="8"/>
  <c r="AR168" i="17" s="1"/>
  <c r="U215" i="8"/>
  <c r="AR217" i="17" s="1"/>
  <c r="U201" i="8"/>
  <c r="AR203" i="17" s="1"/>
  <c r="Z69" i="8"/>
  <c r="AW71" i="17" s="1"/>
  <c r="Z16" i="8"/>
  <c r="AW16" i="17" s="1"/>
  <c r="U39" i="8"/>
  <c r="AR39" i="17" s="1"/>
  <c r="U30" i="8"/>
  <c r="AR30" i="17" s="1"/>
  <c r="Z73" i="8"/>
  <c r="AW75" i="17" s="1"/>
  <c r="AA122" i="8"/>
  <c r="AX124" i="17" s="1"/>
  <c r="Z252" i="8"/>
  <c r="AW254" i="17" s="1"/>
  <c r="AA209" i="8"/>
  <c r="AX211" i="17" s="1"/>
  <c r="AA217" i="8"/>
  <c r="AX219" i="17" s="1"/>
  <c r="Z204" i="8"/>
  <c r="AW206" i="17" s="1"/>
  <c r="Z79" i="8"/>
  <c r="AW81" i="17" s="1"/>
  <c r="AA119" i="8"/>
  <c r="AX121" i="17" s="1"/>
  <c r="Z80" i="8"/>
  <c r="AW82" i="17" s="1"/>
  <c r="Z165" i="8"/>
  <c r="AW167" i="17" s="1"/>
  <c r="AA123" i="8"/>
  <c r="AX125" i="17" s="1"/>
  <c r="Z29" i="8"/>
  <c r="AW29" i="17" s="1"/>
  <c r="AA174" i="8"/>
  <c r="AX176" i="17" s="1"/>
  <c r="AA138" i="8"/>
  <c r="AX140" i="17" s="1"/>
  <c r="AA103" i="8"/>
  <c r="AX105" i="17" s="1"/>
  <c r="Z178" i="8"/>
  <c r="AW180" i="17" s="1"/>
  <c r="AA168" i="8"/>
  <c r="AX170" i="17" s="1"/>
  <c r="Z150" i="8"/>
  <c r="AW152" i="17" s="1"/>
  <c r="AA140" i="8"/>
  <c r="AX142" i="17" s="1"/>
  <c r="Z114" i="8"/>
  <c r="AW116" i="17" s="1"/>
  <c r="AA90" i="8"/>
  <c r="AX92" i="17" s="1"/>
  <c r="AA82" i="8"/>
  <c r="AX84" i="17" s="1"/>
  <c r="AA230" i="8"/>
  <c r="AX232" i="17" s="1"/>
  <c r="AA194" i="8"/>
  <c r="AX196" i="17" s="1"/>
  <c r="AA120" i="8"/>
  <c r="AX122" i="17" s="1"/>
  <c r="AA11" i="8"/>
  <c r="AX11" i="17" s="1"/>
  <c r="Z163" i="8"/>
  <c r="AW165" i="17" s="1"/>
  <c r="Z131" i="8"/>
  <c r="AW133" i="17" s="1"/>
  <c r="AA254" i="8"/>
  <c r="AX256" i="17" s="1"/>
  <c r="AW145" i="17"/>
  <c r="AW129" i="17"/>
  <c r="AA127" i="8"/>
  <c r="AA73" i="8"/>
  <c r="AW177" i="17"/>
  <c r="AA175" i="8"/>
  <c r="U40" i="8"/>
  <c r="AR40" i="17" s="1"/>
  <c r="AW25" i="17"/>
  <c r="AA25" i="8"/>
  <c r="AX18" i="17"/>
  <c r="U18" i="8"/>
  <c r="AR18" i="17" s="1"/>
  <c r="AX54" i="17"/>
  <c r="U54" i="8"/>
  <c r="AR54" i="17" s="1"/>
  <c r="AW57" i="17"/>
  <c r="AA57" i="8"/>
  <c r="AX46" i="17"/>
  <c r="U46" i="8"/>
  <c r="AR46" i="17" s="1"/>
  <c r="AX24" i="17"/>
  <c r="U24" i="8"/>
  <c r="AR24" i="17" s="1"/>
  <c r="U15" i="8"/>
  <c r="AR15" i="17" s="1"/>
  <c r="AW41" i="17"/>
  <c r="AA41" i="8"/>
  <c r="U60" i="8"/>
  <c r="AR60" i="17" s="1"/>
  <c r="AA16" i="8"/>
  <c r="AX34" i="17"/>
  <c r="U34" i="8"/>
  <c r="AR34" i="17" s="1"/>
  <c r="AX50" i="17"/>
  <c r="U50" i="8"/>
  <c r="AR50" i="17" s="1"/>
  <c r="AA28" i="8"/>
  <c r="AW49" i="17"/>
  <c r="AA49" i="8"/>
  <c r="AA52" i="8"/>
  <c r="AW52" i="17"/>
  <c r="AR172" i="17"/>
  <c r="AP71" i="17"/>
  <c r="AR79" i="17"/>
  <c r="AR140" i="17"/>
  <c r="AR87" i="17"/>
  <c r="AR125" i="17"/>
  <c r="AW63" i="17"/>
  <c r="AR102" i="17"/>
  <c r="AR196" i="17"/>
  <c r="AR90" i="17"/>
  <c r="L73" i="7"/>
  <c r="AH36" i="1" s="1"/>
  <c r="U195" i="8"/>
  <c r="L78" i="7"/>
  <c r="AH41" i="1" s="1"/>
  <c r="U257" i="8"/>
  <c r="L92" i="7"/>
  <c r="C25" i="17"/>
  <c r="L97" i="7"/>
  <c r="C30" i="17"/>
  <c r="L109" i="7"/>
  <c r="E31" i="17"/>
  <c r="L76" i="7"/>
  <c r="AH39" i="1" s="1"/>
  <c r="G28" i="17"/>
  <c r="L96" i="7"/>
  <c r="C29" i="17"/>
  <c r="L79" i="7"/>
  <c r="AH42" i="1" s="1"/>
  <c r="G31" i="17"/>
  <c r="L108" i="7"/>
  <c r="E30" i="17"/>
  <c r="L87" i="7"/>
  <c r="L89" i="7"/>
  <c r="A31" i="17"/>
  <c r="L98" i="7"/>
  <c r="C31" i="17"/>
  <c r="L88" i="7"/>
  <c r="A30" i="17"/>
  <c r="L83" i="7"/>
  <c r="A25" i="17"/>
  <c r="L103" i="7"/>
  <c r="E25" i="17"/>
  <c r="L107" i="7"/>
  <c r="E29" i="17"/>
  <c r="AA13" i="8"/>
  <c r="AA14" i="8"/>
  <c r="AT264" i="1"/>
  <c r="AZ61" i="1"/>
  <c r="AZ263" i="1"/>
  <c r="N75" i="7"/>
  <c r="N98" i="7"/>
  <c r="D31" i="17"/>
  <c r="N86" i="7"/>
  <c r="V86" i="7" s="1"/>
  <c r="B28" i="17"/>
  <c r="A28" i="17"/>
  <c r="N104" i="7"/>
  <c r="V104" i="7" s="1"/>
  <c r="E26" i="17"/>
  <c r="F26" i="17"/>
  <c r="N89" i="7"/>
  <c r="V89" i="7" s="1"/>
  <c r="B31" i="17"/>
  <c r="N109" i="7"/>
  <c r="V109" i="7" s="1"/>
  <c r="F31" i="17"/>
  <c r="N78" i="7"/>
  <c r="H30" i="17"/>
  <c r="N87" i="7"/>
  <c r="V87" i="7" s="1"/>
  <c r="B29" i="17"/>
  <c r="N94" i="7"/>
  <c r="D27" i="17"/>
  <c r="C27" i="17"/>
  <c r="N107" i="7"/>
  <c r="V107" i="7" s="1"/>
  <c r="F29" i="17"/>
  <c r="N84" i="7"/>
  <c r="V84" i="7" s="1"/>
  <c r="B26" i="17"/>
  <c r="A26" i="17"/>
  <c r="N95" i="7"/>
  <c r="C28" i="17"/>
  <c r="D28" i="17"/>
  <c r="N108" i="7"/>
  <c r="V108" i="7" s="1"/>
  <c r="F30" i="17"/>
  <c r="N77" i="7"/>
  <c r="H29" i="17"/>
  <c r="N85" i="7"/>
  <c r="V85" i="7" s="1"/>
  <c r="B27" i="17"/>
  <c r="A27" i="17"/>
  <c r="N96" i="7"/>
  <c r="D29" i="17"/>
  <c r="N105" i="7"/>
  <c r="V105" i="7" s="1"/>
  <c r="F27" i="17"/>
  <c r="E27" i="17"/>
  <c r="N88" i="7"/>
  <c r="V88" i="7" s="1"/>
  <c r="B30" i="17"/>
  <c r="N93" i="7"/>
  <c r="C26" i="17"/>
  <c r="D26" i="17"/>
  <c r="N97" i="7"/>
  <c r="D30" i="17"/>
  <c r="N106" i="7"/>
  <c r="V106" i="7" s="1"/>
  <c r="E28" i="17"/>
  <c r="F28" i="17"/>
  <c r="N79" i="7"/>
  <c r="H31" i="17"/>
  <c r="L75" i="7"/>
  <c r="AH38" i="1" s="1"/>
  <c r="G27" i="17"/>
  <c r="R79" i="7"/>
  <c r="O79" i="7" s="1"/>
  <c r="R75" i="7"/>
  <c r="Q75" i="7" s="1"/>
  <c r="R76" i="7"/>
  <c r="V76" i="7" s="1"/>
  <c r="AI39" i="1" s="1"/>
  <c r="R78" i="7"/>
  <c r="R73" i="7"/>
  <c r="R77" i="7"/>
  <c r="R74" i="7"/>
  <c r="Z34" i="1"/>
  <c r="U29" i="1"/>
  <c r="X12" i="8" l="1"/>
  <c r="AY61" i="1"/>
  <c r="AY264" i="1" s="1"/>
  <c r="AA205" i="8"/>
  <c r="AX207" i="17" s="1"/>
  <c r="AA78" i="8"/>
  <c r="AX80" i="17" s="1"/>
  <c r="AP263" i="17"/>
  <c r="AA143" i="8"/>
  <c r="AA183" i="8"/>
  <c r="AX185" i="17" s="1"/>
  <c r="AA218" i="8"/>
  <c r="AX220" i="17" s="1"/>
  <c r="AN263" i="17"/>
  <c r="AA129" i="8"/>
  <c r="AX131" i="17" s="1"/>
  <c r="AA240" i="8"/>
  <c r="AX242" i="17" s="1"/>
  <c r="AN61" i="17"/>
  <c r="AX244" i="1"/>
  <c r="W242" i="8" s="1"/>
  <c r="AT244" i="17" s="1"/>
  <c r="AX72" i="1"/>
  <c r="AX129" i="1"/>
  <c r="V254" i="8"/>
  <c r="AS256" i="17" s="1"/>
  <c r="V69" i="8"/>
  <c r="AS71" i="17" s="1"/>
  <c r="AX104" i="1"/>
  <c r="W102" i="8" s="1"/>
  <c r="AT104" i="17" s="1"/>
  <c r="AX183" i="1"/>
  <c r="AX148" i="1"/>
  <c r="W146" i="8" s="1"/>
  <c r="AT148" i="17" s="1"/>
  <c r="AX154" i="1"/>
  <c r="W152" i="8" s="1"/>
  <c r="AT154" i="17" s="1"/>
  <c r="AX220" i="1"/>
  <c r="V216" i="8"/>
  <c r="AS218" i="17" s="1"/>
  <c r="V75" i="8"/>
  <c r="AS77" i="17" s="1"/>
  <c r="V83" i="8"/>
  <c r="AS85" i="17" s="1"/>
  <c r="AX190" i="1"/>
  <c r="AX160" i="1"/>
  <c r="V234" i="8"/>
  <c r="AS236" i="17" s="1"/>
  <c r="V194" i="8"/>
  <c r="AS196" i="17" s="1"/>
  <c r="AX258" i="1"/>
  <c r="AX153" i="1"/>
  <c r="AX79" i="1"/>
  <c r="W77" i="8" s="1"/>
  <c r="AT79" i="17" s="1"/>
  <c r="V259" i="8"/>
  <c r="AS261" i="17" s="1"/>
  <c r="AX194" i="1"/>
  <c r="AX88" i="1"/>
  <c r="W86" i="8" s="1"/>
  <c r="AT88" i="17" s="1"/>
  <c r="AX162" i="1"/>
  <c r="W160" i="8" s="1"/>
  <c r="AT162" i="17" s="1"/>
  <c r="AX150" i="1"/>
  <c r="W148" i="8" s="1"/>
  <c r="AT150" i="17" s="1"/>
  <c r="AX91" i="1"/>
  <c r="W89" i="8" s="1"/>
  <c r="AT91" i="17" s="1"/>
  <c r="AX225" i="1"/>
  <c r="AX140" i="1"/>
  <c r="W138" i="8" s="1"/>
  <c r="AT140" i="17" s="1"/>
  <c r="AX130" i="1"/>
  <c r="AX67" i="1"/>
  <c r="AX164" i="1"/>
  <c r="W162" i="8" s="1"/>
  <c r="AT164" i="17" s="1"/>
  <c r="V82" i="8"/>
  <c r="AS84" i="17" s="1"/>
  <c r="AX232" i="1"/>
  <c r="W230" i="8" s="1"/>
  <c r="AT232" i="17" s="1"/>
  <c r="AX128" i="1"/>
  <c r="AX207" i="1"/>
  <c r="W205" i="8" s="1"/>
  <c r="AT207" i="17" s="1"/>
  <c r="AX99" i="1"/>
  <c r="W97" i="8" s="1"/>
  <c r="AT99" i="17" s="1"/>
  <c r="AX90" i="1"/>
  <c r="W88" i="8" s="1"/>
  <c r="AT90" i="17" s="1"/>
  <c r="AX201" i="1"/>
  <c r="W199" i="8" s="1"/>
  <c r="AT201" i="17" s="1"/>
  <c r="V119" i="8"/>
  <c r="AS121" i="17" s="1"/>
  <c r="V107" i="8"/>
  <c r="AS109" i="17" s="1"/>
  <c r="AX227" i="1"/>
  <c r="AX217" i="1"/>
  <c r="W215" i="8" s="1"/>
  <c r="AT217" i="17" s="1"/>
  <c r="AX83" i="1"/>
  <c r="W81" i="8" s="1"/>
  <c r="AT83" i="17" s="1"/>
  <c r="AX149" i="1"/>
  <c r="V64" i="8"/>
  <c r="AS66" i="17" s="1"/>
  <c r="AX137" i="1"/>
  <c r="AX178" i="1"/>
  <c r="AX131" i="1"/>
  <c r="W129" i="8" s="1"/>
  <c r="AT131" i="17" s="1"/>
  <c r="AX111" i="1"/>
  <c r="W109" i="8" s="1"/>
  <c r="AT111" i="17" s="1"/>
  <c r="AX186" i="1"/>
  <c r="AX144" i="1"/>
  <c r="W142" i="8" s="1"/>
  <c r="AT144" i="17" s="1"/>
  <c r="AX87" i="1"/>
  <c r="W85" i="8" s="1"/>
  <c r="AT87" i="17" s="1"/>
  <c r="AX209" i="1"/>
  <c r="W207" i="8" s="1"/>
  <c r="AT209" i="17" s="1"/>
  <c r="V71" i="8"/>
  <c r="AS73" i="17" s="1"/>
  <c r="AX156" i="1"/>
  <c r="AX176" i="1"/>
  <c r="W174" i="8" s="1"/>
  <c r="AT176" i="17" s="1"/>
  <c r="AX170" i="1"/>
  <c r="W168" i="8" s="1"/>
  <c r="AT170" i="17" s="1"/>
  <c r="AX138" i="1"/>
  <c r="W136" i="8" s="1"/>
  <c r="AT138" i="17" s="1"/>
  <c r="AX239" i="1"/>
  <c r="AX181" i="1"/>
  <c r="V92" i="8"/>
  <c r="AS94" i="17" s="1"/>
  <c r="AX237" i="1"/>
  <c r="AX171" i="1"/>
  <c r="V226" i="8"/>
  <c r="AS228" i="17" s="1"/>
  <c r="AX200" i="1"/>
  <c r="AX198" i="1"/>
  <c r="AX185" i="1"/>
  <c r="AX168" i="1"/>
  <c r="W166" i="8" s="1"/>
  <c r="AT168" i="17" s="1"/>
  <c r="AX230" i="1"/>
  <c r="AX100" i="1"/>
  <c r="W98" i="8" s="1"/>
  <c r="AT100" i="17" s="1"/>
  <c r="AX174" i="1"/>
  <c r="W172" i="8" s="1"/>
  <c r="AT174" i="17" s="1"/>
  <c r="AX134" i="1"/>
  <c r="AX191" i="1"/>
  <c r="V167" i="8"/>
  <c r="AS169" i="17" s="1"/>
  <c r="AX92" i="1"/>
  <c r="W90" i="8" s="1"/>
  <c r="AT92" i="17" s="1"/>
  <c r="AX223" i="1"/>
  <c r="AX242" i="1"/>
  <c r="W240" i="8" s="1"/>
  <c r="AT242" i="17" s="1"/>
  <c r="V246" i="8"/>
  <c r="AS248" i="17" s="1"/>
  <c r="AX175" i="1"/>
  <c r="W173" i="8" s="1"/>
  <c r="AT175" i="17" s="1"/>
  <c r="AX82" i="1"/>
  <c r="V208" i="8"/>
  <c r="AS210" i="17" s="1"/>
  <c r="AX78" i="1"/>
  <c r="V232" i="8"/>
  <c r="AS234" i="17" s="1"/>
  <c r="AX167" i="1"/>
  <c r="V74" i="8"/>
  <c r="AS76" i="17" s="1"/>
  <c r="AX240" i="1"/>
  <c r="W238" i="8" s="1"/>
  <c r="AT240" i="17" s="1"/>
  <c r="V66" i="8"/>
  <c r="AS68" i="17" s="1"/>
  <c r="AX226" i="1"/>
  <c r="AX106" i="1"/>
  <c r="W104" i="8" s="1"/>
  <c r="AT106" i="17" s="1"/>
  <c r="AX152" i="1"/>
  <c r="W150" i="8" s="1"/>
  <c r="AT152" i="17" s="1"/>
  <c r="AX163" i="1"/>
  <c r="W161" i="8" s="1"/>
  <c r="AT163" i="17" s="1"/>
  <c r="AX205" i="1"/>
  <c r="AX172" i="1"/>
  <c r="W170" i="8" s="1"/>
  <c r="AT172" i="17" s="1"/>
  <c r="AX114" i="1"/>
  <c r="W112" i="8" s="1"/>
  <c r="AT114" i="17" s="1"/>
  <c r="AX241" i="1"/>
  <c r="AX105" i="1"/>
  <c r="W103" i="8" s="1"/>
  <c r="AT105" i="17" s="1"/>
  <c r="V121" i="8"/>
  <c r="AS123" i="17" s="1"/>
  <c r="AX251" i="1"/>
  <c r="V182" i="8"/>
  <c r="AS184" i="17" s="1"/>
  <c r="AX213" i="1"/>
  <c r="AX139" i="1"/>
  <c r="AX254" i="1"/>
  <c r="V84" i="8"/>
  <c r="AS86" i="17" s="1"/>
  <c r="V241" i="8"/>
  <c r="AS243" i="17" s="1"/>
  <c r="V214" i="8"/>
  <c r="AS216" i="17" s="1"/>
  <c r="AX192" i="1"/>
  <c r="W190" i="8" s="1"/>
  <c r="AT192" i="17" s="1"/>
  <c r="V73" i="8"/>
  <c r="AS75" i="17" s="1"/>
  <c r="V200" i="8"/>
  <c r="AS202" i="17" s="1"/>
  <c r="V144" i="8"/>
  <c r="AS146" i="17" s="1"/>
  <c r="AX195" i="1"/>
  <c r="AX101" i="1"/>
  <c r="W99" i="8" s="1"/>
  <c r="AT101" i="17" s="1"/>
  <c r="V197" i="8"/>
  <c r="AS199" i="17" s="1"/>
  <c r="AX238" i="1"/>
  <c r="W236" i="8" s="1"/>
  <c r="AT238" i="17" s="1"/>
  <c r="AX252" i="1"/>
  <c r="W250" i="8" s="1"/>
  <c r="AT252" i="17" s="1"/>
  <c r="V204" i="8"/>
  <c r="AS206" i="17" s="1"/>
  <c r="AX157" i="1"/>
  <c r="W155" i="8" s="1"/>
  <c r="AT157" i="17" s="1"/>
  <c r="AX95" i="1"/>
  <c r="W93" i="8" s="1"/>
  <c r="AT95" i="17" s="1"/>
  <c r="AX147" i="1"/>
  <c r="W145" i="8" s="1"/>
  <c r="AT147" i="17" s="1"/>
  <c r="AX159" i="1"/>
  <c r="W157" i="8" s="1"/>
  <c r="AT159" i="17" s="1"/>
  <c r="AX102" i="1"/>
  <c r="W100" i="8" s="1"/>
  <c r="AT102" i="17" s="1"/>
  <c r="AX115" i="1"/>
  <c r="V171" i="8"/>
  <c r="AS173" i="17" s="1"/>
  <c r="V248" i="8"/>
  <c r="AS250" i="17" s="1"/>
  <c r="AX155" i="1"/>
  <c r="V220" i="8"/>
  <c r="AS222" i="17" s="1"/>
  <c r="AW263" i="1"/>
  <c r="V140" i="8"/>
  <c r="AS142" i="17" s="1"/>
  <c r="AX182" i="1"/>
  <c r="AX229" i="1"/>
  <c r="AX166" i="1"/>
  <c r="AX197" i="1"/>
  <c r="AX221" i="1"/>
  <c r="V139" i="8"/>
  <c r="AS141" i="17" s="1"/>
  <c r="V114" i="8"/>
  <c r="AS116" i="17" s="1"/>
  <c r="V191" i="8"/>
  <c r="AS193" i="17" s="1"/>
  <c r="AX132" i="1"/>
  <c r="W130" i="8" s="1"/>
  <c r="AT132" i="17" s="1"/>
  <c r="AX70" i="1"/>
  <c r="AX179" i="1"/>
  <c r="AX135" i="1"/>
  <c r="V206" i="8"/>
  <c r="AS208" i="17" s="1"/>
  <c r="V72" i="8"/>
  <c r="AS74" i="17" s="1"/>
  <c r="AX246" i="1"/>
  <c r="AX107" i="1"/>
  <c r="V185" i="8"/>
  <c r="AS187" i="17" s="1"/>
  <c r="AX204" i="1"/>
  <c r="AX257" i="1"/>
  <c r="AX233" i="1"/>
  <c r="AX117" i="1"/>
  <c r="W115" i="8" s="1"/>
  <c r="AT117" i="17" s="1"/>
  <c r="AX215" i="1"/>
  <c r="W213" i="8" s="1"/>
  <c r="AT215" i="17" s="1"/>
  <c r="AX64" i="1"/>
  <c r="AX247" i="1"/>
  <c r="V257" i="8"/>
  <c r="AS259" i="17" s="1"/>
  <c r="AX188" i="1"/>
  <c r="W186" i="8" s="1"/>
  <c r="AT188" i="17" s="1"/>
  <c r="V258" i="8"/>
  <c r="AS260" i="17" s="1"/>
  <c r="AX235" i="1"/>
  <c r="AX125" i="1"/>
  <c r="W123" i="8" s="1"/>
  <c r="AT125" i="17" s="1"/>
  <c r="AX158" i="1"/>
  <c r="W156" i="8" s="1"/>
  <c r="AT158" i="17" s="1"/>
  <c r="AX126" i="1"/>
  <c r="W124" i="8" s="1"/>
  <c r="AT126" i="17" s="1"/>
  <c r="AX98" i="1"/>
  <c r="W96" i="8" s="1"/>
  <c r="AT98" i="17" s="1"/>
  <c r="AX113" i="1"/>
  <c r="AX253" i="1"/>
  <c r="V122" i="8"/>
  <c r="AS124" i="17" s="1"/>
  <c r="AX180" i="1"/>
  <c r="V175" i="8"/>
  <c r="AS177" i="17" s="1"/>
  <c r="V212" i="8"/>
  <c r="AS214" i="17" s="1"/>
  <c r="AX97" i="1"/>
  <c r="AX122" i="1"/>
  <c r="W120" i="8" s="1"/>
  <c r="AT122" i="17" s="1"/>
  <c r="AX145" i="1"/>
  <c r="AX108" i="1"/>
  <c r="W106" i="8" s="1"/>
  <c r="AT108" i="17" s="1"/>
  <c r="AX96" i="1"/>
  <c r="AX151" i="1"/>
  <c r="AX255" i="1"/>
  <c r="AX65" i="1"/>
  <c r="AX89" i="1"/>
  <c r="V260" i="8"/>
  <c r="AS262" i="17" s="1"/>
  <c r="V210" i="8"/>
  <c r="AS212" i="17" s="1"/>
  <c r="AX211" i="1"/>
  <c r="AX189" i="1"/>
  <c r="AX127" i="1"/>
  <c r="W125" i="8" s="1"/>
  <c r="AT127" i="17" s="1"/>
  <c r="AX112" i="1"/>
  <c r="V110" i="8"/>
  <c r="AS112" i="17" s="1"/>
  <c r="AX80" i="1"/>
  <c r="W78" i="8" s="1"/>
  <c r="AT80" i="17" s="1"/>
  <c r="AX249" i="1"/>
  <c r="AX165" i="1"/>
  <c r="V163" i="8"/>
  <c r="AS165" i="17" s="1"/>
  <c r="V201" i="8"/>
  <c r="AS203" i="17" s="1"/>
  <c r="AX203" i="1"/>
  <c r="W201" i="8" s="1"/>
  <c r="AT203" i="17" s="1"/>
  <c r="AX143" i="1"/>
  <c r="W141" i="8" s="1"/>
  <c r="AT143" i="17" s="1"/>
  <c r="AX119" i="1"/>
  <c r="W117" i="8" s="1"/>
  <c r="AT119" i="17" s="1"/>
  <c r="AX93" i="1"/>
  <c r="W91" i="8" s="1"/>
  <c r="AT93" i="17" s="1"/>
  <c r="V91" i="8"/>
  <c r="AS93" i="17" s="1"/>
  <c r="AX224" i="1"/>
  <c r="W222" i="8" s="1"/>
  <c r="AT224" i="17" s="1"/>
  <c r="V222" i="8"/>
  <c r="AS224" i="17" s="1"/>
  <c r="AX245" i="1"/>
  <c r="V131" i="8"/>
  <c r="AS133" i="17" s="1"/>
  <c r="AX161" i="1"/>
  <c r="W159" i="8" s="1"/>
  <c r="AT161" i="17" s="1"/>
  <c r="V217" i="8"/>
  <c r="AS219" i="17" s="1"/>
  <c r="AX219" i="1"/>
  <c r="V229" i="8"/>
  <c r="AS231" i="17" s="1"/>
  <c r="AX231" i="1"/>
  <c r="U129" i="8"/>
  <c r="AR131" i="17" s="1"/>
  <c r="U96" i="8"/>
  <c r="AR98" i="17" s="1"/>
  <c r="Q77" i="7"/>
  <c r="O77" i="7"/>
  <c r="AS63" i="17"/>
  <c r="M61" i="8"/>
  <c r="M62" i="8"/>
  <c r="AV263" i="17"/>
  <c r="AV264" i="17" s="1"/>
  <c r="AV63" i="1"/>
  <c r="AX63" i="1" s="1"/>
  <c r="W61" i="8" s="1"/>
  <c r="Z63" i="8"/>
  <c r="AW65" i="17" s="1"/>
  <c r="Y261" i="8"/>
  <c r="U20" i="8"/>
  <c r="AR20" i="17" s="1"/>
  <c r="AA161" i="8"/>
  <c r="AX163" i="17" s="1"/>
  <c r="U161" i="8"/>
  <c r="AR163" i="17" s="1"/>
  <c r="AA239" i="8"/>
  <c r="AX241" i="17" s="1"/>
  <c r="AA130" i="8"/>
  <c r="AX132" i="17" s="1"/>
  <c r="U130" i="8"/>
  <c r="AR132" i="17" s="1"/>
  <c r="AA148" i="8"/>
  <c r="AX150" i="17" s="1"/>
  <c r="U35" i="8"/>
  <c r="AR35" i="17" s="1"/>
  <c r="U240" i="8"/>
  <c r="AR242" i="17" s="1"/>
  <c r="Z70" i="8"/>
  <c r="AW72" i="17" s="1"/>
  <c r="AA247" i="8"/>
  <c r="AX249" i="17" s="1"/>
  <c r="AA253" i="8"/>
  <c r="AX255" i="17" s="1"/>
  <c r="U32" i="8"/>
  <c r="AR32" i="17" s="1"/>
  <c r="AA227" i="8"/>
  <c r="AX229" i="17" s="1"/>
  <c r="AX136" i="1"/>
  <c r="W134" i="8" s="1"/>
  <c r="AT136" i="17" s="1"/>
  <c r="BC63" i="1"/>
  <c r="AX103" i="1"/>
  <c r="W101" i="8" s="1"/>
  <c r="AT103" i="17" s="1"/>
  <c r="U23" i="8"/>
  <c r="AR23" i="17" s="1"/>
  <c r="U89" i="8"/>
  <c r="AR91" i="17" s="1"/>
  <c r="AA89" i="8"/>
  <c r="AX91" i="17" s="1"/>
  <c r="S263" i="8"/>
  <c r="AA134" i="8"/>
  <c r="AX136" i="17" s="1"/>
  <c r="BB69" i="1"/>
  <c r="AV69" i="1" s="1"/>
  <c r="AX69" i="1" s="1"/>
  <c r="AX110" i="1"/>
  <c r="W108" i="8" s="1"/>
  <c r="AT110" i="17" s="1"/>
  <c r="AA192" i="8"/>
  <c r="AX194" i="17" s="1"/>
  <c r="U205" i="8"/>
  <c r="AR207" i="17" s="1"/>
  <c r="U112" i="8"/>
  <c r="AR114" i="17" s="1"/>
  <c r="AA137" i="8"/>
  <c r="AX139" i="17" s="1"/>
  <c r="AV47" i="1"/>
  <c r="AA47" i="8"/>
  <c r="AX47" i="17" s="1"/>
  <c r="AA145" i="8"/>
  <c r="AX147" i="17" s="1"/>
  <c r="U145" i="8"/>
  <c r="AR147" i="17" s="1"/>
  <c r="AA157" i="8"/>
  <c r="AX159" i="17" s="1"/>
  <c r="AA101" i="8"/>
  <c r="AX103" i="17" s="1"/>
  <c r="AA61" i="8"/>
  <c r="AX63" i="17" s="1"/>
  <c r="U53" i="8"/>
  <c r="AR53" i="17" s="1"/>
  <c r="AV55" i="1"/>
  <c r="AA55" i="8"/>
  <c r="AX55" i="17" s="1"/>
  <c r="AV37" i="1"/>
  <c r="AA37" i="8"/>
  <c r="AX37" i="17" s="1"/>
  <c r="U26" i="8"/>
  <c r="AR26" i="17" s="1"/>
  <c r="U157" i="8"/>
  <c r="AR159" i="17" s="1"/>
  <c r="U97" i="8"/>
  <c r="AR99" i="17" s="1"/>
  <c r="AV118" i="1"/>
  <c r="AA116" i="8"/>
  <c r="AX118" i="17" s="1"/>
  <c r="Y262" i="8"/>
  <c r="U236" i="8"/>
  <c r="AR238" i="17" s="1"/>
  <c r="W234" i="8"/>
  <c r="AT236" i="17" s="1"/>
  <c r="Z12" i="8"/>
  <c r="AW12" i="17" s="1"/>
  <c r="AA63" i="8"/>
  <c r="AX65" i="17" s="1"/>
  <c r="AA72" i="8"/>
  <c r="AX74" i="17" s="1"/>
  <c r="U191" i="8"/>
  <c r="AR193" i="17" s="1"/>
  <c r="U167" i="8"/>
  <c r="AR169" i="17" s="1"/>
  <c r="W118" i="8"/>
  <c r="AT120" i="17" s="1"/>
  <c r="U65" i="8"/>
  <c r="AR67" i="17" s="1"/>
  <c r="W254" i="8"/>
  <c r="AT256" i="17" s="1"/>
  <c r="U237" i="8"/>
  <c r="AR239" i="17" s="1"/>
  <c r="U126" i="8"/>
  <c r="AR128" i="17" s="1"/>
  <c r="U206" i="8"/>
  <c r="AR208" i="17" s="1"/>
  <c r="U221" i="8"/>
  <c r="AR223" i="17" s="1"/>
  <c r="U187" i="8"/>
  <c r="AR189" i="17" s="1"/>
  <c r="U169" i="8"/>
  <c r="AR171" i="17" s="1"/>
  <c r="U249" i="8"/>
  <c r="AR251" i="17" s="1"/>
  <c r="U218" i="8"/>
  <c r="AR220" i="17" s="1"/>
  <c r="W119" i="8"/>
  <c r="AT121" i="17" s="1"/>
  <c r="U227" i="8"/>
  <c r="AR229" i="17" s="1"/>
  <c r="U144" i="8"/>
  <c r="AR146" i="17" s="1"/>
  <c r="U177" i="8"/>
  <c r="AR179" i="17" s="1"/>
  <c r="U253" i="8"/>
  <c r="AR255" i="17" s="1"/>
  <c r="U110" i="8"/>
  <c r="AR112" i="17" s="1"/>
  <c r="U183" i="8"/>
  <c r="AR185" i="17" s="1"/>
  <c r="U160" i="8"/>
  <c r="AR162" i="17" s="1"/>
  <c r="U51" i="8"/>
  <c r="AR51" i="17" s="1"/>
  <c r="U122" i="8"/>
  <c r="AR124" i="17" s="1"/>
  <c r="U79" i="8"/>
  <c r="AR81" i="17" s="1"/>
  <c r="AA163" i="8"/>
  <c r="AX165" i="17" s="1"/>
  <c r="AA165" i="8"/>
  <c r="AX167" i="17" s="1"/>
  <c r="AA80" i="8"/>
  <c r="AX82" i="17" s="1"/>
  <c r="AA79" i="8"/>
  <c r="AX81" i="17" s="1"/>
  <c r="AA252" i="8"/>
  <c r="AX254" i="17" s="1"/>
  <c r="AA154" i="8"/>
  <c r="AX156" i="17" s="1"/>
  <c r="AA133" i="8"/>
  <c r="AX135" i="17" s="1"/>
  <c r="AA149" i="8"/>
  <c r="AX151" i="17" s="1"/>
  <c r="AA33" i="8"/>
  <c r="AX33" i="17" s="1"/>
  <c r="AA70" i="8"/>
  <c r="AX72" i="17" s="1"/>
  <c r="AA75" i="8"/>
  <c r="AX77" i="17" s="1"/>
  <c r="AA62" i="8"/>
  <c r="AX64" i="17" s="1"/>
  <c r="U231" i="8"/>
  <c r="AR233" i="17" s="1"/>
  <c r="U121" i="8"/>
  <c r="AR123" i="17" s="1"/>
  <c r="U204" i="8"/>
  <c r="AR206" i="17" s="1"/>
  <c r="U198" i="8"/>
  <c r="AR200" i="17" s="1"/>
  <c r="U202" i="8"/>
  <c r="AR204" i="17" s="1"/>
  <c r="U179" i="8"/>
  <c r="AR181" i="17" s="1"/>
  <c r="U180" i="8"/>
  <c r="AR182" i="17" s="1"/>
  <c r="U193" i="8"/>
  <c r="AR195" i="17" s="1"/>
  <c r="U185" i="8"/>
  <c r="AR187" i="17" s="1"/>
  <c r="W79" i="8"/>
  <c r="AT81" i="17" s="1"/>
  <c r="U235" i="8"/>
  <c r="AR237" i="17" s="1"/>
  <c r="U192" i="8"/>
  <c r="AR194" i="17" s="1"/>
  <c r="U200" i="8"/>
  <c r="AR202" i="17" s="1"/>
  <c r="U245" i="8"/>
  <c r="AR247" i="17" s="1"/>
  <c r="W107" i="8"/>
  <c r="AT109" i="17" s="1"/>
  <c r="U151" i="8"/>
  <c r="AR153" i="17" s="1"/>
  <c r="W171" i="8"/>
  <c r="AT173" i="17" s="1"/>
  <c r="W71" i="8"/>
  <c r="AT73" i="17" s="1"/>
  <c r="U208" i="8"/>
  <c r="AR210" i="17" s="1"/>
  <c r="U243" i="8"/>
  <c r="AR245" i="17" s="1"/>
  <c r="AA131" i="8"/>
  <c r="AX133" i="17" s="1"/>
  <c r="AA29" i="8"/>
  <c r="AX29" i="17" s="1"/>
  <c r="AA132" i="8"/>
  <c r="AX134" i="17" s="1"/>
  <c r="AA95" i="8"/>
  <c r="AX97" i="17" s="1"/>
  <c r="AA158" i="8"/>
  <c r="AX160" i="17" s="1"/>
  <c r="AA244" i="8"/>
  <c r="AX246" i="17" s="1"/>
  <c r="AA164" i="8"/>
  <c r="AX166" i="17" s="1"/>
  <c r="AA87" i="8"/>
  <c r="AX89" i="17" s="1"/>
  <c r="AA203" i="8"/>
  <c r="AX205" i="17" s="1"/>
  <c r="AA219" i="8"/>
  <c r="AX221" i="17" s="1"/>
  <c r="AA64" i="8"/>
  <c r="AX66" i="17" s="1"/>
  <c r="AA68" i="8"/>
  <c r="AX70" i="17" s="1"/>
  <c r="AA74" i="8"/>
  <c r="AX76" i="17" s="1"/>
  <c r="U137" i="8"/>
  <c r="AR139" i="17" s="1"/>
  <c r="U153" i="8"/>
  <c r="AR155" i="17" s="1"/>
  <c r="U233" i="8"/>
  <c r="AR235" i="17" s="1"/>
  <c r="U184" i="8"/>
  <c r="AR186" i="17" s="1"/>
  <c r="U232" i="8"/>
  <c r="AR234" i="17" s="1"/>
  <c r="W140" i="8"/>
  <c r="AT142" i="17" s="1"/>
  <c r="U251" i="8"/>
  <c r="AR253" i="17" s="1"/>
  <c r="U241" i="8"/>
  <c r="AR243" i="17" s="1"/>
  <c r="W122" i="8"/>
  <c r="AT124" i="17" s="1"/>
  <c r="U181" i="8"/>
  <c r="AR183" i="17" s="1"/>
  <c r="W182" i="8"/>
  <c r="AT184" i="17" s="1"/>
  <c r="U259" i="8"/>
  <c r="AR261" i="17" s="1"/>
  <c r="W82" i="8"/>
  <c r="AT84" i="17" s="1"/>
  <c r="U189" i="8"/>
  <c r="AR191" i="17" s="1"/>
  <c r="U228" i="8"/>
  <c r="AR230" i="17" s="1"/>
  <c r="U239" i="8"/>
  <c r="AR241" i="17" s="1"/>
  <c r="U220" i="8"/>
  <c r="AR222" i="17" s="1"/>
  <c r="U196" i="8"/>
  <c r="AR198" i="17" s="1"/>
  <c r="U256" i="8"/>
  <c r="AR258" i="17" s="1"/>
  <c r="U197" i="8"/>
  <c r="AR199" i="17" s="1"/>
  <c r="U176" i="8"/>
  <c r="AR178" i="17" s="1"/>
  <c r="W226" i="8"/>
  <c r="AT228" i="17" s="1"/>
  <c r="W84" i="8"/>
  <c r="AT86" i="17" s="1"/>
  <c r="W194" i="8"/>
  <c r="AT196" i="17" s="1"/>
  <c r="U21" i="8"/>
  <c r="AR21" i="17" s="1"/>
  <c r="U27" i="8"/>
  <c r="AR27" i="17" s="1"/>
  <c r="U36" i="8"/>
  <c r="AR36" i="17" s="1"/>
  <c r="AA204" i="8"/>
  <c r="AX206" i="17" s="1"/>
  <c r="AA59" i="8"/>
  <c r="AX59" i="17" s="1"/>
  <c r="AA111" i="8"/>
  <c r="AX113" i="17" s="1"/>
  <c r="AA113" i="8"/>
  <c r="AX115" i="17" s="1"/>
  <c r="AA66" i="8"/>
  <c r="AX68" i="17" s="1"/>
  <c r="AA76" i="8"/>
  <c r="AX78" i="17" s="1"/>
  <c r="U247" i="8"/>
  <c r="AR249" i="17" s="1"/>
  <c r="U229" i="8"/>
  <c r="AR231" i="17" s="1"/>
  <c r="U105" i="8"/>
  <c r="AR107" i="17" s="1"/>
  <c r="U216" i="8"/>
  <c r="AR218" i="17" s="1"/>
  <c r="U260" i="8"/>
  <c r="AR262" i="17" s="1"/>
  <c r="W246" i="8"/>
  <c r="AT248" i="17" s="1"/>
  <c r="U94" i="8"/>
  <c r="AR96" i="17" s="1"/>
  <c r="U210" i="8"/>
  <c r="AR212" i="17" s="1"/>
  <c r="U255" i="8"/>
  <c r="AR257" i="17" s="1"/>
  <c r="U135" i="8"/>
  <c r="AR137" i="17" s="1"/>
  <c r="U128" i="8"/>
  <c r="AR130" i="17" s="1"/>
  <c r="U214" i="8"/>
  <c r="AR216" i="17" s="1"/>
  <c r="U69" i="8"/>
  <c r="AR71" i="17" s="1"/>
  <c r="U188" i="8"/>
  <c r="AR190" i="17" s="1"/>
  <c r="U223" i="8"/>
  <c r="AR225" i="17" s="1"/>
  <c r="U224" i="8"/>
  <c r="AR226" i="17" s="1"/>
  <c r="W83" i="8"/>
  <c r="AT85" i="17" s="1"/>
  <c r="U225" i="8"/>
  <c r="AR227" i="17" s="1"/>
  <c r="U212" i="8"/>
  <c r="AR214" i="17" s="1"/>
  <c r="U78" i="8"/>
  <c r="AR80" i="17" s="1"/>
  <c r="W139" i="8"/>
  <c r="AT141" i="17" s="1"/>
  <c r="W92" i="8"/>
  <c r="AT94" i="17" s="1"/>
  <c r="U19" i="8"/>
  <c r="AR19" i="17" s="1"/>
  <c r="U209" i="8"/>
  <c r="AR211" i="17" s="1"/>
  <c r="U217" i="8"/>
  <c r="AR219" i="17" s="1"/>
  <c r="AA114" i="8"/>
  <c r="AX116" i="17" s="1"/>
  <c r="AA178" i="8"/>
  <c r="AX180" i="17" s="1"/>
  <c r="AA147" i="8"/>
  <c r="AX149" i="17" s="1"/>
  <c r="AA42" i="8"/>
  <c r="AX42" i="17" s="1"/>
  <c r="AA211" i="8"/>
  <c r="AX213" i="17" s="1"/>
  <c r="AA248" i="8"/>
  <c r="AX250" i="17" s="1"/>
  <c r="AX177" i="17"/>
  <c r="U175" i="8"/>
  <c r="AX129" i="17"/>
  <c r="U127" i="8"/>
  <c r="AX145" i="17"/>
  <c r="U143" i="8"/>
  <c r="AX75" i="17"/>
  <c r="U73" i="8"/>
  <c r="AX49" i="17"/>
  <c r="U49" i="8"/>
  <c r="AX28" i="17"/>
  <c r="AX41" i="17"/>
  <c r="U41" i="8"/>
  <c r="AX57" i="17"/>
  <c r="U57" i="8"/>
  <c r="AX16" i="17"/>
  <c r="AX52" i="17"/>
  <c r="U52" i="8"/>
  <c r="AX14" i="17"/>
  <c r="U14" i="8"/>
  <c r="AR14" i="17" s="1"/>
  <c r="AX13" i="17"/>
  <c r="U13" i="8"/>
  <c r="AR13" i="17" s="1"/>
  <c r="AX25" i="17"/>
  <c r="U25" i="8"/>
  <c r="AS64" i="17"/>
  <c r="AR259" i="17"/>
  <c r="AR197" i="17"/>
  <c r="AA12" i="8"/>
  <c r="V77" i="7"/>
  <c r="AI40" i="1" s="1"/>
  <c r="Q79" i="7"/>
  <c r="V79" i="7"/>
  <c r="AI42" i="1" s="1"/>
  <c r="V78" i="7"/>
  <c r="AI41" i="1" s="1"/>
  <c r="BC11" i="1"/>
  <c r="AZ264" i="1"/>
  <c r="V75" i="7"/>
  <c r="AI38" i="1" s="1"/>
  <c r="E5" i="3"/>
  <c r="AU12" i="17" l="1"/>
  <c r="AU61" i="17" s="1"/>
  <c r="AU264" i="17" s="1"/>
  <c r="X261" i="8"/>
  <c r="X263" i="8" s="1"/>
  <c r="AT63" i="17"/>
  <c r="U61" i="8"/>
  <c r="AR63" i="17" s="1"/>
  <c r="AP61" i="17"/>
  <c r="AP264" i="17" s="1"/>
  <c r="AN264" i="17"/>
  <c r="V262" i="8"/>
  <c r="AS263" i="17"/>
  <c r="Y263" i="8"/>
  <c r="AB11" i="8"/>
  <c r="AB61" i="8"/>
  <c r="AA67" i="8"/>
  <c r="AX69" i="17" s="1"/>
  <c r="U37" i="8"/>
  <c r="AR37" i="17" s="1"/>
  <c r="U116" i="8"/>
  <c r="AR118" i="17" s="1"/>
  <c r="AX118" i="1"/>
  <c r="W116" i="8" s="1"/>
  <c r="AT118" i="17" s="1"/>
  <c r="U55" i="8"/>
  <c r="AR55" i="17" s="1"/>
  <c r="U47" i="8"/>
  <c r="AR47" i="17" s="1"/>
  <c r="U44" i="8"/>
  <c r="AR44" i="17" s="1"/>
  <c r="W184" i="8"/>
  <c r="AT186" i="17" s="1"/>
  <c r="W220" i="8"/>
  <c r="AT222" i="17" s="1"/>
  <c r="W237" i="8"/>
  <c r="AT239" i="17" s="1"/>
  <c r="W153" i="8"/>
  <c r="AT155" i="17" s="1"/>
  <c r="W177" i="8"/>
  <c r="AT179" i="17" s="1"/>
  <c r="W227" i="8"/>
  <c r="AT229" i="17" s="1"/>
  <c r="W181" i="8"/>
  <c r="AT183" i="17" s="1"/>
  <c r="W216" i="8"/>
  <c r="AT218" i="17" s="1"/>
  <c r="U62" i="8"/>
  <c r="AR64" i="17" s="1"/>
  <c r="W255" i="8"/>
  <c r="AT257" i="17" s="1"/>
  <c r="W233" i="8"/>
  <c r="AT235" i="17" s="1"/>
  <c r="U72" i="8"/>
  <c r="AR74" i="17" s="1"/>
  <c r="U28" i="8"/>
  <c r="AR28" i="17" s="1"/>
  <c r="W243" i="8"/>
  <c r="AT245" i="17" s="1"/>
  <c r="U248" i="8"/>
  <c r="AR250" i="17" s="1"/>
  <c r="U147" i="8"/>
  <c r="AR149" i="17" s="1"/>
  <c r="U59" i="8"/>
  <c r="AR59" i="17" s="1"/>
  <c r="U219" i="8"/>
  <c r="AR221" i="17" s="1"/>
  <c r="U244" i="8"/>
  <c r="AR246" i="17" s="1"/>
  <c r="U29" i="8"/>
  <c r="AR29" i="17" s="1"/>
  <c r="U33" i="8"/>
  <c r="AR33" i="17" s="1"/>
  <c r="U154" i="8"/>
  <c r="AR156" i="17" s="1"/>
  <c r="U80" i="8"/>
  <c r="AR82" i="17" s="1"/>
  <c r="W192" i="8"/>
  <c r="AT194" i="17" s="1"/>
  <c r="W218" i="8"/>
  <c r="AT220" i="17" s="1"/>
  <c r="U66" i="8"/>
  <c r="AR68" i="17" s="1"/>
  <c r="U64" i="8"/>
  <c r="AR66" i="17" s="1"/>
  <c r="U67" i="8"/>
  <c r="AR69" i="17" s="1"/>
  <c r="W189" i="8"/>
  <c r="AT191" i="17" s="1"/>
  <c r="W225" i="8"/>
  <c r="AT227" i="17" s="1"/>
  <c r="W235" i="8"/>
  <c r="AT237" i="17" s="1"/>
  <c r="W247" i="8"/>
  <c r="AT249" i="17" s="1"/>
  <c r="W94" i="8"/>
  <c r="AT96" i="17" s="1"/>
  <c r="W223" i="8"/>
  <c r="AT225" i="17" s="1"/>
  <c r="W167" i="8"/>
  <c r="AT169" i="17" s="1"/>
  <c r="W206" i="8"/>
  <c r="AT208" i="17" s="1"/>
  <c r="U63" i="8"/>
  <c r="AR65" i="17" s="1"/>
  <c r="W176" i="8"/>
  <c r="AT178" i="17" s="1"/>
  <c r="W257" i="8"/>
  <c r="AT259" i="17" s="1"/>
  <c r="W209" i="8"/>
  <c r="AT211" i="17" s="1"/>
  <c r="U114" i="8"/>
  <c r="AR116" i="17" s="1"/>
  <c r="U111" i="8"/>
  <c r="AR113" i="17" s="1"/>
  <c r="U164" i="8"/>
  <c r="AR166" i="17" s="1"/>
  <c r="U132" i="8"/>
  <c r="AR134" i="17" s="1"/>
  <c r="U133" i="8"/>
  <c r="AR135" i="17" s="1"/>
  <c r="U163" i="8"/>
  <c r="AR165" i="17" s="1"/>
  <c r="W204" i="8"/>
  <c r="AT206" i="17" s="1"/>
  <c r="W185" i="8"/>
  <c r="AT187" i="17" s="1"/>
  <c r="W241" i="8"/>
  <c r="AT243" i="17" s="1"/>
  <c r="W188" i="8"/>
  <c r="AT190" i="17" s="1"/>
  <c r="W144" i="8"/>
  <c r="AT146" i="17" s="1"/>
  <c r="W228" i="8"/>
  <c r="AT230" i="17" s="1"/>
  <c r="W232" i="8"/>
  <c r="AT234" i="17" s="1"/>
  <c r="W137" i="8"/>
  <c r="AT139" i="17" s="1"/>
  <c r="W180" i="8"/>
  <c r="AT182" i="17" s="1"/>
  <c r="W253" i="8"/>
  <c r="AT255" i="17" s="1"/>
  <c r="W224" i="8"/>
  <c r="AT226" i="17" s="1"/>
  <c r="W69" i="8"/>
  <c r="AT71" i="17" s="1"/>
  <c r="W193" i="8"/>
  <c r="AT195" i="17" s="1"/>
  <c r="U75" i="8"/>
  <c r="AR77" i="17" s="1"/>
  <c r="W208" i="8"/>
  <c r="AT210" i="17" s="1"/>
  <c r="W214" i="8"/>
  <c r="AT216" i="17" s="1"/>
  <c r="W210" i="8"/>
  <c r="AT212" i="17" s="1"/>
  <c r="W65" i="8"/>
  <c r="AT67" i="17" s="1"/>
  <c r="W169" i="8"/>
  <c r="AT171" i="17" s="1"/>
  <c r="U74" i="8"/>
  <c r="AR76" i="17" s="1"/>
  <c r="W251" i="8"/>
  <c r="AT253" i="17" s="1"/>
  <c r="W197" i="8"/>
  <c r="AT199" i="17" s="1"/>
  <c r="W151" i="8"/>
  <c r="AT153" i="17" s="1"/>
  <c r="W239" i="8"/>
  <c r="AT241" i="17" s="1"/>
  <c r="W200" i="8"/>
  <c r="AT202" i="17" s="1"/>
  <c r="W135" i="8"/>
  <c r="AT137" i="17" s="1"/>
  <c r="W260" i="8"/>
  <c r="AT262" i="17" s="1"/>
  <c r="W231" i="8"/>
  <c r="AT233" i="17" s="1"/>
  <c r="U70" i="8"/>
  <c r="AR72" i="17" s="1"/>
  <c r="W126" i="8"/>
  <c r="AT128" i="17" s="1"/>
  <c r="W105" i="8"/>
  <c r="AT107" i="17" s="1"/>
  <c r="W121" i="8"/>
  <c r="AT123" i="17" s="1"/>
  <c r="W212" i="8"/>
  <c r="AT214" i="17" s="1"/>
  <c r="U16" i="8"/>
  <c r="AR16" i="17" s="1"/>
  <c r="W217" i="8"/>
  <c r="AT219" i="17" s="1"/>
  <c r="U42" i="8"/>
  <c r="AR42" i="17" s="1"/>
  <c r="U113" i="8"/>
  <c r="AR115" i="17" s="1"/>
  <c r="U87" i="8"/>
  <c r="AR89" i="17" s="1"/>
  <c r="U95" i="8"/>
  <c r="AR97" i="17" s="1"/>
  <c r="U131" i="8"/>
  <c r="AR133" i="17" s="1"/>
  <c r="U149" i="8"/>
  <c r="AR151" i="17" s="1"/>
  <c r="U165" i="8"/>
  <c r="AR167" i="17" s="1"/>
  <c r="W196" i="8"/>
  <c r="AT198" i="17" s="1"/>
  <c r="W221" i="8"/>
  <c r="AT223" i="17" s="1"/>
  <c r="U76" i="8"/>
  <c r="AR78" i="17" s="1"/>
  <c r="W198" i="8"/>
  <c r="AT200" i="17" s="1"/>
  <c r="U68" i="8"/>
  <c r="AR70" i="17" s="1"/>
  <c r="W259" i="8"/>
  <c r="AT261" i="17" s="1"/>
  <c r="W229" i="8"/>
  <c r="AT231" i="17" s="1"/>
  <c r="W256" i="8"/>
  <c r="AT258" i="17" s="1"/>
  <c r="W245" i="8"/>
  <c r="AT247" i="17" s="1"/>
  <c r="W249" i="8"/>
  <c r="AT251" i="17" s="1"/>
  <c r="W187" i="8"/>
  <c r="AT189" i="17" s="1"/>
  <c r="W202" i="8"/>
  <c r="AT204" i="17" s="1"/>
  <c r="W128" i="8"/>
  <c r="AT130" i="17" s="1"/>
  <c r="W179" i="8"/>
  <c r="AT181" i="17" s="1"/>
  <c r="W191" i="8"/>
  <c r="AT193" i="17" s="1"/>
  <c r="W110" i="8"/>
  <c r="AT112" i="17" s="1"/>
  <c r="W195" i="8"/>
  <c r="AT197" i="17" s="1"/>
  <c r="U211" i="8"/>
  <c r="AR213" i="17" s="1"/>
  <c r="W178" i="8"/>
  <c r="AT180" i="17" s="1"/>
  <c r="U178" i="8"/>
  <c r="AR180" i="17" s="1"/>
  <c r="U203" i="8"/>
  <c r="AR205" i="17" s="1"/>
  <c r="W158" i="8"/>
  <c r="AT160" i="17" s="1"/>
  <c r="U158" i="8"/>
  <c r="AR160" i="17" s="1"/>
  <c r="W183" i="8"/>
  <c r="AT185" i="17" s="1"/>
  <c r="U252" i="8"/>
  <c r="AR254" i="17" s="1"/>
  <c r="AR145" i="17"/>
  <c r="AR75" i="17"/>
  <c r="AR129" i="17"/>
  <c r="AR177" i="17"/>
  <c r="AR52" i="17"/>
  <c r="AR25" i="17"/>
  <c r="AR41" i="17"/>
  <c r="AR49" i="17"/>
  <c r="AR57" i="17"/>
  <c r="AX12" i="17"/>
  <c r="AV263" i="1"/>
  <c r="X85" i="1"/>
  <c r="A75" i="17" s="1"/>
  <c r="X84" i="1"/>
  <c r="A74" i="17" s="1"/>
  <c r="Y83" i="1"/>
  <c r="B73" i="17" s="1"/>
  <c r="X82" i="1"/>
  <c r="A72" i="17" s="1"/>
  <c r="X81" i="1"/>
  <c r="A71" i="17" s="1"/>
  <c r="Y80" i="1"/>
  <c r="B70" i="17" s="1"/>
  <c r="AD85" i="1"/>
  <c r="D75" i="17" s="1"/>
  <c r="AD84" i="1"/>
  <c r="D74" i="17" s="1"/>
  <c r="AB77" i="1"/>
  <c r="E67" i="17" s="1"/>
  <c r="Z77" i="1"/>
  <c r="C67" i="17" s="1"/>
  <c r="X77" i="1"/>
  <c r="A67" i="17" s="1"/>
  <c r="AB76" i="1"/>
  <c r="E66" i="17" s="1"/>
  <c r="Z76" i="1"/>
  <c r="C66" i="17" s="1"/>
  <c r="X76" i="1"/>
  <c r="A66" i="17" s="1"/>
  <c r="AD82" i="1"/>
  <c r="D72" i="17" s="1"/>
  <c r="AB75" i="1"/>
  <c r="E65" i="17" s="1"/>
  <c r="Z75" i="1"/>
  <c r="C65" i="17" s="1"/>
  <c r="X75" i="1"/>
  <c r="A65" i="17" s="1"/>
  <c r="AD81" i="1"/>
  <c r="D71" i="17" s="1"/>
  <c r="AD71" i="1"/>
  <c r="G61" i="17" s="1"/>
  <c r="AB71" i="1"/>
  <c r="E61" i="17" s="1"/>
  <c r="Z71" i="1"/>
  <c r="C61" i="17" s="1"/>
  <c r="X71" i="1"/>
  <c r="A61" i="17" s="1"/>
  <c r="D61" i="17" s="1"/>
  <c r="AD70" i="1"/>
  <c r="G60" i="17" s="1"/>
  <c r="AB70" i="1"/>
  <c r="E60" i="17" s="1"/>
  <c r="Z70" i="1"/>
  <c r="C60" i="17" s="1"/>
  <c r="X70" i="1"/>
  <c r="A60" i="17" s="1"/>
  <c r="D60" i="17" s="1"/>
  <c r="AD69" i="1"/>
  <c r="G59" i="17" s="1"/>
  <c r="AB69" i="1"/>
  <c r="E59" i="17" s="1"/>
  <c r="Z69" i="1"/>
  <c r="C59" i="17" s="1"/>
  <c r="AD68" i="1"/>
  <c r="G58" i="17" s="1"/>
  <c r="AB68" i="1"/>
  <c r="E58" i="17" s="1"/>
  <c r="Z68" i="1"/>
  <c r="C58" i="17" s="1"/>
  <c r="AD67" i="1"/>
  <c r="G57" i="17" s="1"/>
  <c r="AB67" i="1"/>
  <c r="E57" i="17" s="1"/>
  <c r="Z67" i="1"/>
  <c r="C57" i="17" s="1"/>
  <c r="AD66" i="1"/>
  <c r="G56" i="17" s="1"/>
  <c r="AB66" i="1"/>
  <c r="E56" i="17" s="1"/>
  <c r="Z66" i="1"/>
  <c r="C56" i="17" s="1"/>
  <c r="AD65" i="1"/>
  <c r="G55" i="17" s="1"/>
  <c r="AB65" i="1"/>
  <c r="E55" i="17" s="1"/>
  <c r="AD64" i="1"/>
  <c r="G54" i="17" s="1"/>
  <c r="AB64" i="1"/>
  <c r="Z64" i="1"/>
  <c r="C54" i="17" s="1"/>
  <c r="X64" i="1"/>
  <c r="AD63" i="1"/>
  <c r="G53" i="17" s="1"/>
  <c r="AB63" i="1"/>
  <c r="Z63" i="1"/>
  <c r="C53" i="17" s="1"/>
  <c r="X63" i="1"/>
  <c r="AD62" i="1"/>
  <c r="G52" i="17" s="1"/>
  <c r="AB62" i="1"/>
  <c r="E52" i="17" s="1"/>
  <c r="Z62" i="1"/>
  <c r="C52" i="17" s="1"/>
  <c r="X62" i="1"/>
  <c r="A52" i="17" s="1"/>
  <c r="AD60" i="1"/>
  <c r="G50" i="17" s="1"/>
  <c r="I50" i="17" s="1"/>
  <c r="AB60" i="1"/>
  <c r="E50" i="17" s="1"/>
  <c r="C50" i="17"/>
  <c r="A50" i="17"/>
  <c r="D50" i="17" s="1"/>
  <c r="AD59" i="1"/>
  <c r="G49" i="17" s="1"/>
  <c r="I49" i="17" s="1"/>
  <c r="AB59" i="1"/>
  <c r="E49" i="17" s="1"/>
  <c r="C49" i="17"/>
  <c r="AD58" i="1"/>
  <c r="G48" i="17" s="1"/>
  <c r="I48" i="17" s="1"/>
  <c r="AB58" i="1"/>
  <c r="E48" i="17" s="1"/>
  <c r="C48" i="17"/>
  <c r="AD57" i="1"/>
  <c r="G47" i="17" s="1"/>
  <c r="I47" i="17" s="1"/>
  <c r="AB57" i="1"/>
  <c r="E47" i="17" s="1"/>
  <c r="C47" i="17"/>
  <c r="AD56" i="1"/>
  <c r="G46" i="17" s="1"/>
  <c r="I46" i="17" s="1"/>
  <c r="AB56" i="1"/>
  <c r="E46" i="17" s="1"/>
  <c r="AD55" i="1"/>
  <c r="G45" i="17" s="1"/>
  <c r="I45" i="17" s="1"/>
  <c r="AB55" i="1"/>
  <c r="E45" i="17" s="1"/>
  <c r="C45" i="17"/>
  <c r="AD54" i="1"/>
  <c r="G44" i="17" s="1"/>
  <c r="I44" i="17" s="1"/>
  <c r="AB54" i="1"/>
  <c r="E44" i="17" s="1"/>
  <c r="AD53" i="1"/>
  <c r="G43" i="17" s="1"/>
  <c r="AB53" i="1"/>
  <c r="E43" i="17" s="1"/>
  <c r="AD52" i="1"/>
  <c r="G42" i="17" s="1"/>
  <c r="AB52" i="1"/>
  <c r="AD51" i="1"/>
  <c r="G41" i="17" s="1"/>
  <c r="AB51" i="1"/>
  <c r="E41" i="17" s="1"/>
  <c r="Z51" i="1"/>
  <c r="C41" i="17" s="1"/>
  <c r="X51" i="1"/>
  <c r="A41" i="17" s="1"/>
  <c r="AD49" i="1"/>
  <c r="G39" i="17" s="1"/>
  <c r="I39" i="17" s="1"/>
  <c r="AB49" i="1"/>
  <c r="Z49" i="1"/>
  <c r="C39" i="17" s="1"/>
  <c r="X49" i="1"/>
  <c r="A39" i="17" s="1"/>
  <c r="AD48" i="1"/>
  <c r="G38" i="17" s="1"/>
  <c r="I38" i="17" s="1"/>
  <c r="AB48" i="1"/>
  <c r="Z48" i="1"/>
  <c r="C38" i="17" s="1"/>
  <c r="X48" i="1"/>
  <c r="A38" i="17" s="1"/>
  <c r="AD47" i="1"/>
  <c r="G37" i="17" s="1"/>
  <c r="I37" i="17" s="1"/>
  <c r="AB47" i="1"/>
  <c r="Z47" i="1"/>
  <c r="C37" i="17" s="1"/>
  <c r="X47" i="1"/>
  <c r="A37" i="17" s="1"/>
  <c r="AD46" i="1"/>
  <c r="G36" i="17" s="1"/>
  <c r="I36" i="17" s="1"/>
  <c r="AB46" i="1"/>
  <c r="Z46" i="1"/>
  <c r="X46" i="1"/>
  <c r="AD45" i="1"/>
  <c r="G35" i="17" s="1"/>
  <c r="I35" i="17" s="1"/>
  <c r="AB45" i="1"/>
  <c r="Z45" i="1"/>
  <c r="X45" i="1"/>
  <c r="AD44" i="1"/>
  <c r="G34" i="17" s="1"/>
  <c r="AB44" i="1"/>
  <c r="E34" i="17" s="1"/>
  <c r="Z44" i="1"/>
  <c r="C34" i="17" s="1"/>
  <c r="X44" i="1"/>
  <c r="AD43" i="1"/>
  <c r="G33" i="17" s="1"/>
  <c r="X43" i="1"/>
  <c r="A33" i="17" s="1"/>
  <c r="AD31" i="1"/>
  <c r="G21" i="17" s="1"/>
  <c r="I21" i="17" s="1"/>
  <c r="AB31" i="1"/>
  <c r="E21" i="17" s="1"/>
  <c r="Z31" i="1"/>
  <c r="C21" i="17" s="1"/>
  <c r="AD30" i="1"/>
  <c r="G20" i="17" s="1"/>
  <c r="I20" i="17" s="1"/>
  <c r="AB30" i="1"/>
  <c r="E20" i="17" s="1"/>
  <c r="Z30" i="1"/>
  <c r="C20" i="17" s="1"/>
  <c r="AD29" i="1"/>
  <c r="G19" i="17" s="1"/>
  <c r="I19" i="17" s="1"/>
  <c r="AB29" i="1"/>
  <c r="E19" i="17" s="1"/>
  <c r="Z29" i="1"/>
  <c r="C19" i="17" s="1"/>
  <c r="AD28" i="1"/>
  <c r="G18" i="17" s="1"/>
  <c r="I18" i="17" s="1"/>
  <c r="AD27" i="1"/>
  <c r="G17" i="17" s="1"/>
  <c r="AB27" i="1"/>
  <c r="E17" i="17" s="1"/>
  <c r="Z27" i="1"/>
  <c r="C17" i="17" s="1"/>
  <c r="AD26" i="1"/>
  <c r="G16" i="17" s="1"/>
  <c r="AB26" i="1"/>
  <c r="E16" i="17" s="1"/>
  <c r="Z26" i="1"/>
  <c r="C16" i="17" s="1"/>
  <c r="AD25" i="1"/>
  <c r="G15" i="17" s="1"/>
  <c r="AB25" i="1"/>
  <c r="E15" i="17" s="1"/>
  <c r="Z25" i="1"/>
  <c r="C15" i="17" s="1"/>
  <c r="X83" i="1"/>
  <c r="X80" i="1"/>
  <c r="C46" i="17"/>
  <c r="E32" i="17"/>
  <c r="AF85" i="1"/>
  <c r="AF84" i="1"/>
  <c r="F74" i="17" s="1"/>
  <c r="AF82" i="1"/>
  <c r="AF81" i="1"/>
  <c r="F71" i="17" s="1"/>
  <c r="AF71" i="1"/>
  <c r="AA71" i="1"/>
  <c r="AF70" i="1"/>
  <c r="AA70" i="1"/>
  <c r="AF69" i="1"/>
  <c r="AA69" i="1"/>
  <c r="AF68" i="1"/>
  <c r="AA68" i="1"/>
  <c r="AF67" i="1"/>
  <c r="AA67" i="1"/>
  <c r="AF66" i="1"/>
  <c r="AA66" i="1"/>
  <c r="AF65" i="1"/>
  <c r="AF64" i="1"/>
  <c r="AA64" i="1"/>
  <c r="AF63" i="1"/>
  <c r="AA63" i="1"/>
  <c r="AA62" i="1"/>
  <c r="D52" i="17" s="1"/>
  <c r="AF60" i="1"/>
  <c r="AA60" i="1"/>
  <c r="AF59" i="1"/>
  <c r="AA59" i="1"/>
  <c r="AF58" i="1"/>
  <c r="AA58" i="1"/>
  <c r="AF57" i="1"/>
  <c r="AA57" i="1"/>
  <c r="AF56" i="1"/>
  <c r="AA56" i="1"/>
  <c r="AF55" i="1"/>
  <c r="AA55" i="1"/>
  <c r="AF54" i="1"/>
  <c r="AA54" i="1"/>
  <c r="AF53" i="1"/>
  <c r="AF52" i="1"/>
  <c r="I42" i="17" s="1"/>
  <c r="AF51" i="1"/>
  <c r="AA51" i="1"/>
  <c r="D41" i="17" s="1"/>
  <c r="AF49" i="1"/>
  <c r="AF48" i="1"/>
  <c r="AF47" i="1"/>
  <c r="AF46" i="1"/>
  <c r="AF45" i="1"/>
  <c r="AF44" i="1"/>
  <c r="I34" i="17" s="1"/>
  <c r="AF43" i="1"/>
  <c r="AF31" i="1"/>
  <c r="AF30" i="1"/>
  <c r="AF29" i="1"/>
  <c r="AF28" i="1"/>
  <c r="AF27" i="1"/>
  <c r="AF26" i="1"/>
  <c r="I43" i="17" l="1"/>
  <c r="I33" i="17"/>
  <c r="I41" i="17"/>
  <c r="I17" i="17"/>
  <c r="I16" i="17"/>
  <c r="AV61" i="1"/>
  <c r="AV264" i="1" s="1"/>
  <c r="W67" i="8"/>
  <c r="AT69" i="17" s="1"/>
  <c r="W66" i="8"/>
  <c r="AT68" i="17" s="1"/>
  <c r="W64" i="8"/>
  <c r="AT66" i="17" s="1"/>
  <c r="W175" i="8"/>
  <c r="AT177" i="17" s="1"/>
  <c r="W73" i="8"/>
  <c r="AT75" i="17" s="1"/>
  <c r="W203" i="8"/>
  <c r="AT205" i="17" s="1"/>
  <c r="W95" i="8"/>
  <c r="AT97" i="17" s="1"/>
  <c r="W164" i="8"/>
  <c r="AT166" i="17" s="1"/>
  <c r="W244" i="8"/>
  <c r="AT246" i="17" s="1"/>
  <c r="W147" i="8"/>
  <c r="AT149" i="17" s="1"/>
  <c r="W63" i="8"/>
  <c r="AT65" i="17" s="1"/>
  <c r="W76" i="8"/>
  <c r="AT78" i="17" s="1"/>
  <c r="AR263" i="17"/>
  <c r="W252" i="8"/>
  <c r="AT254" i="17" s="1"/>
  <c r="W131" i="8"/>
  <c r="AT133" i="17" s="1"/>
  <c r="W132" i="8"/>
  <c r="AT134" i="17" s="1"/>
  <c r="W154" i="8"/>
  <c r="AT156" i="17" s="1"/>
  <c r="W75" i="8"/>
  <c r="AT77" i="17" s="1"/>
  <c r="W70" i="8"/>
  <c r="AT72" i="17" s="1"/>
  <c r="W62" i="8"/>
  <c r="AT64" i="17" s="1"/>
  <c r="W72" i="8"/>
  <c r="AT74" i="17" s="1"/>
  <c r="W127" i="8"/>
  <c r="AT129" i="17" s="1"/>
  <c r="W143" i="8"/>
  <c r="AT145" i="17" s="1"/>
  <c r="W211" i="8"/>
  <c r="AT213" i="17" s="1"/>
  <c r="W149" i="8"/>
  <c r="AT151" i="17" s="1"/>
  <c r="W113" i="8"/>
  <c r="AT115" i="17" s="1"/>
  <c r="W133" i="8"/>
  <c r="AT135" i="17" s="1"/>
  <c r="W114" i="8"/>
  <c r="AT116" i="17" s="1"/>
  <c r="W74" i="8"/>
  <c r="AT76" i="17" s="1"/>
  <c r="W68" i="8"/>
  <c r="U12" i="8"/>
  <c r="AR12" i="17" s="1"/>
  <c r="AR61" i="17" s="1"/>
  <c r="W165" i="8"/>
  <c r="AT167" i="17" s="1"/>
  <c r="W87" i="8"/>
  <c r="AT89" i="17" s="1"/>
  <c r="W163" i="8"/>
  <c r="AT165" i="17" s="1"/>
  <c r="W111" i="8"/>
  <c r="AT113" i="17" s="1"/>
  <c r="W80" i="8"/>
  <c r="AT82" i="17" s="1"/>
  <c r="W219" i="8"/>
  <c r="AT221" i="17" s="1"/>
  <c r="W248" i="8"/>
  <c r="AT250" i="17" s="1"/>
  <c r="U262" i="8"/>
  <c r="AX263" i="1"/>
  <c r="AT70" i="17" l="1"/>
  <c r="AT263" i="17" s="1"/>
  <c r="AR264" i="17"/>
  <c r="U261" i="8"/>
  <c r="U263" i="8" s="1"/>
  <c r="O24" i="1"/>
  <c r="O23" i="1"/>
  <c r="V21" i="1" l="1"/>
  <c r="V20" i="1"/>
  <c r="V18" i="1"/>
  <c r="V17" i="1"/>
  <c r="V16" i="1"/>
  <c r="V15" i="1"/>
  <c r="V14" i="1"/>
  <c r="V12" i="1"/>
  <c r="V11" i="1"/>
  <c r="V9" i="1"/>
  <c r="V8" i="1"/>
  <c r="B12" i="17" l="1"/>
  <c r="B11" i="17"/>
  <c r="B10" i="17"/>
  <c r="B9" i="17"/>
  <c r="B8" i="17"/>
  <c r="B7" i="17"/>
  <c r="B6" i="17"/>
  <c r="B3" i="17"/>
  <c r="F2" i="17"/>
  <c r="H2" i="17"/>
  <c r="I3" i="17" l="1"/>
  <c r="I4" i="17"/>
  <c r="C42" i="17"/>
  <c r="C43" i="17" l="1"/>
  <c r="B1" i="17"/>
  <c r="Z43" i="15" l="1"/>
  <c r="W43" i="15"/>
  <c r="T43" i="15"/>
  <c r="Q43" i="15"/>
  <c r="N43" i="15"/>
  <c r="K43" i="15"/>
  <c r="H43" i="15"/>
  <c r="E43" i="15"/>
  <c r="B43" i="15"/>
  <c r="R76" i="1"/>
  <c r="R204" i="7"/>
  <c r="R203" i="7"/>
  <c r="N204" i="7"/>
  <c r="N203" i="7"/>
  <c r="L204" i="7"/>
  <c r="L203" i="7"/>
  <c r="R144" i="1" l="1"/>
  <c r="R115" i="1"/>
  <c r="B57" i="1"/>
  <c r="O22" i="1"/>
  <c r="O21" i="1"/>
  <c r="O20" i="1"/>
  <c r="O19" i="1"/>
  <c r="O17" i="1"/>
  <c r="O16" i="1"/>
  <c r="O15" i="1"/>
  <c r="O12" i="1"/>
  <c r="O11" i="1"/>
  <c r="O10" i="1"/>
  <c r="O9" i="1"/>
  <c r="O8" i="1"/>
  <c r="O7" i="1"/>
  <c r="C57" i="1" l="1"/>
  <c r="B96" i="1"/>
  <c r="B125" i="1"/>
  <c r="C122" i="7"/>
  <c r="D122" i="7" s="1"/>
  <c r="Z10" i="1"/>
  <c r="AF7" i="1"/>
  <c r="AC6" i="1"/>
  <c r="C96" i="1" l="1"/>
  <c r="C125" i="1"/>
  <c r="D4" i="18"/>
  <c r="E4" i="18"/>
  <c r="I4" i="18"/>
  <c r="G5" i="18"/>
  <c r="E6" i="18"/>
  <c r="I6" i="18"/>
  <c r="G7" i="18"/>
  <c r="E8" i="18"/>
  <c r="I8" i="18"/>
  <c r="G9" i="18"/>
  <c r="E10" i="18"/>
  <c r="I10" i="18"/>
  <c r="G11" i="18"/>
  <c r="E12" i="18"/>
  <c r="I12" i="18"/>
  <c r="G13" i="18"/>
  <c r="E14" i="18"/>
  <c r="I14" i="18"/>
  <c r="G15" i="18"/>
  <c r="E16" i="18"/>
  <c r="I16" i="18"/>
  <c r="G17" i="18"/>
  <c r="E18" i="18"/>
  <c r="I18" i="18"/>
  <c r="G19" i="18"/>
  <c r="E20" i="18"/>
  <c r="I20" i="18"/>
  <c r="G21" i="18"/>
  <c r="E22" i="18"/>
  <c r="I22" i="18"/>
  <c r="G23" i="18"/>
  <c r="E24" i="18"/>
  <c r="I24" i="18"/>
  <c r="G25" i="18"/>
  <c r="E26" i="18"/>
  <c r="I26" i="18"/>
  <c r="G27" i="18"/>
  <c r="E28" i="18"/>
  <c r="I28" i="18"/>
  <c r="G29" i="18"/>
  <c r="E30" i="18"/>
  <c r="I30" i="18"/>
  <c r="G31" i="18"/>
  <c r="E32" i="18"/>
  <c r="I32" i="18"/>
  <c r="G33" i="18"/>
  <c r="E34" i="18"/>
  <c r="I34" i="18"/>
  <c r="G35" i="18"/>
  <c r="E36" i="18"/>
  <c r="I36" i="18"/>
  <c r="G37" i="18"/>
  <c r="E38" i="18"/>
  <c r="I38" i="18"/>
  <c r="G39" i="18"/>
  <c r="E40" i="18"/>
  <c r="I40" i="18"/>
  <c r="G41" i="18"/>
  <c r="E42" i="18"/>
  <c r="I42" i="18"/>
  <c r="G43" i="18"/>
  <c r="E44" i="18"/>
  <c r="I44" i="18"/>
  <c r="G45" i="18"/>
  <c r="E46" i="18"/>
  <c r="I46" i="18"/>
  <c r="G47" i="18"/>
  <c r="E48" i="18"/>
  <c r="I48" i="18"/>
  <c r="G49" i="18"/>
  <c r="E50" i="18"/>
  <c r="I50" i="18"/>
  <c r="G51" i="18"/>
  <c r="E52" i="18"/>
  <c r="I52" i="18"/>
  <c r="G53" i="18"/>
  <c r="E54" i="18"/>
  <c r="I54" i="18"/>
  <c r="G55" i="18"/>
  <c r="E56" i="18"/>
  <c r="I56" i="18"/>
  <c r="G57" i="18"/>
  <c r="E58" i="18"/>
  <c r="I58" i="18"/>
  <c r="G59" i="18"/>
  <c r="E60" i="18"/>
  <c r="F4" i="18"/>
  <c r="H4" i="18"/>
  <c r="H5" i="18"/>
  <c r="G6" i="18"/>
  <c r="F7" i="18"/>
  <c r="F8" i="18"/>
  <c r="E9" i="18"/>
  <c r="D10" i="18"/>
  <c r="D11" i="18"/>
  <c r="I11" i="18"/>
  <c r="H12" i="18"/>
  <c r="H13" i="18"/>
  <c r="G14" i="18"/>
  <c r="F15" i="18"/>
  <c r="F16" i="18"/>
  <c r="E17" i="18"/>
  <c r="D18" i="18"/>
  <c r="D19" i="18"/>
  <c r="I19" i="18"/>
  <c r="H20" i="18"/>
  <c r="H21" i="18"/>
  <c r="G22" i="18"/>
  <c r="F23" i="18"/>
  <c r="F24" i="18"/>
  <c r="E25" i="18"/>
  <c r="D26" i="18"/>
  <c r="D27" i="18"/>
  <c r="I27" i="18"/>
  <c r="H28" i="18"/>
  <c r="H29" i="18"/>
  <c r="G30" i="18"/>
  <c r="F31" i="18"/>
  <c r="F32" i="18"/>
  <c r="E33" i="18"/>
  <c r="D34" i="18"/>
  <c r="D35" i="18"/>
  <c r="I35" i="18"/>
  <c r="H36" i="18"/>
  <c r="H37" i="18"/>
  <c r="G38" i="18"/>
  <c r="F39" i="18"/>
  <c r="F40" i="18"/>
  <c r="E41" i="18"/>
  <c r="D42" i="18"/>
  <c r="D43" i="18"/>
  <c r="I43" i="18"/>
  <c r="H44" i="18"/>
  <c r="H45" i="18"/>
  <c r="G46" i="18"/>
  <c r="F47" i="18"/>
  <c r="F48" i="18"/>
  <c r="E49" i="18"/>
  <c r="D50" i="18"/>
  <c r="D51" i="18"/>
  <c r="I51" i="18"/>
  <c r="H52" i="18"/>
  <c r="H53" i="18"/>
  <c r="G54" i="18"/>
  <c r="F55" i="18"/>
  <c r="F56" i="18"/>
  <c r="E57" i="18"/>
  <c r="D58" i="18"/>
  <c r="D59" i="18"/>
  <c r="I59" i="18"/>
  <c r="H60" i="18"/>
  <c r="F61" i="18"/>
  <c r="D62" i="18"/>
  <c r="H62" i="18"/>
  <c r="F63" i="18"/>
  <c r="D64" i="18"/>
  <c r="H64" i="18"/>
  <c r="F65" i="18"/>
  <c r="D66" i="18"/>
  <c r="H66" i="18"/>
  <c r="F67" i="18"/>
  <c r="D68" i="18"/>
  <c r="H68" i="18"/>
  <c r="F69" i="18"/>
  <c r="D70" i="18"/>
  <c r="H70" i="18"/>
  <c r="F71" i="18"/>
  <c r="D72" i="18"/>
  <c r="H72" i="18"/>
  <c r="F73" i="18"/>
  <c r="D74" i="18"/>
  <c r="H74" i="18"/>
  <c r="F75" i="18"/>
  <c r="D76" i="18"/>
  <c r="H76" i="18"/>
  <c r="F77" i="18"/>
  <c r="D78" i="18"/>
  <c r="H78" i="18"/>
  <c r="F79" i="18"/>
  <c r="D80" i="18"/>
  <c r="H80" i="18"/>
  <c r="F81" i="18"/>
  <c r="D82" i="18"/>
  <c r="H82" i="18"/>
  <c r="F83" i="18"/>
  <c r="D5" i="18"/>
  <c r="I5" i="18"/>
  <c r="H6" i="18"/>
  <c r="H7" i="18"/>
  <c r="G8" i="18"/>
  <c r="F9" i="18"/>
  <c r="F10" i="18"/>
  <c r="E11" i="18"/>
  <c r="D12" i="18"/>
  <c r="D13" i="18"/>
  <c r="I13" i="18"/>
  <c r="H14" i="18"/>
  <c r="H15" i="18"/>
  <c r="G16" i="18"/>
  <c r="F17" i="18"/>
  <c r="F18" i="18"/>
  <c r="E19" i="18"/>
  <c r="D20" i="18"/>
  <c r="D21" i="18"/>
  <c r="I21" i="18"/>
  <c r="H22" i="18"/>
  <c r="H23" i="18"/>
  <c r="G24" i="18"/>
  <c r="F25" i="18"/>
  <c r="F26" i="18"/>
  <c r="E27" i="18"/>
  <c r="D28" i="18"/>
  <c r="D29" i="18"/>
  <c r="I29" i="18"/>
  <c r="H30" i="18"/>
  <c r="H31" i="18"/>
  <c r="G32" i="18"/>
  <c r="F33" i="18"/>
  <c r="F34" i="18"/>
  <c r="E35" i="18"/>
  <c r="D36" i="18"/>
  <c r="D37" i="18"/>
  <c r="I37" i="18"/>
  <c r="H38" i="18"/>
  <c r="H39" i="18"/>
  <c r="G40" i="18"/>
  <c r="F41" i="18"/>
  <c r="F42" i="18"/>
  <c r="E43" i="18"/>
  <c r="D44" i="18"/>
  <c r="D45" i="18"/>
  <c r="I45" i="18"/>
  <c r="H46" i="18"/>
  <c r="H47" i="18"/>
  <c r="G48" i="18"/>
  <c r="F49" i="18"/>
  <c r="F50" i="18"/>
  <c r="E51" i="18"/>
  <c r="D52" i="18"/>
  <c r="D53" i="18"/>
  <c r="I53" i="18"/>
  <c r="H54" i="18"/>
  <c r="H55" i="18"/>
  <c r="G56" i="18"/>
  <c r="F57" i="18"/>
  <c r="F58" i="18"/>
  <c r="E59" i="18"/>
  <c r="D60" i="18"/>
  <c r="I60" i="18"/>
  <c r="G61" i="18"/>
  <c r="E62" i="18"/>
  <c r="I62" i="18"/>
  <c r="G63" i="18"/>
  <c r="E64" i="18"/>
  <c r="I64" i="18"/>
  <c r="G65" i="18"/>
  <c r="E66" i="18"/>
  <c r="I66" i="18"/>
  <c r="G67" i="18"/>
  <c r="E68" i="18"/>
  <c r="I68" i="18"/>
  <c r="G69" i="18"/>
  <c r="E70" i="18"/>
  <c r="I70" i="18"/>
  <c r="G71" i="18"/>
  <c r="E72" i="18"/>
  <c r="I72" i="18"/>
  <c r="G73" i="18"/>
  <c r="E74" i="18"/>
  <c r="I74" i="18"/>
  <c r="G4" i="18"/>
  <c r="F6" i="18"/>
  <c r="D8" i="18"/>
  <c r="F5" i="18"/>
  <c r="E7" i="18"/>
  <c r="D9" i="18"/>
  <c r="H10" i="18"/>
  <c r="G12" i="18"/>
  <c r="F14" i="18"/>
  <c r="D16" i="18"/>
  <c r="I17" i="18"/>
  <c r="H19" i="18"/>
  <c r="F21" i="18"/>
  <c r="E23" i="18"/>
  <c r="D25" i="18"/>
  <c r="H26" i="18"/>
  <c r="G28" i="18"/>
  <c r="F30" i="18"/>
  <c r="D32" i="18"/>
  <c r="I33" i="18"/>
  <c r="H35" i="18"/>
  <c r="F37" i="18"/>
  <c r="E39" i="18"/>
  <c r="D41" i="18"/>
  <c r="H42" i="18"/>
  <c r="G44" i="18"/>
  <c r="F46" i="18"/>
  <c r="D48" i="18"/>
  <c r="I49" i="18"/>
  <c r="H51" i="18"/>
  <c r="F53" i="18"/>
  <c r="E55" i="18"/>
  <c r="D57" i="18"/>
  <c r="H58" i="18"/>
  <c r="G60" i="18"/>
  <c r="I61" i="18"/>
  <c r="E63" i="18"/>
  <c r="G64" i="18"/>
  <c r="I65" i="18"/>
  <c r="E67" i="18"/>
  <c r="G68" i="18"/>
  <c r="I69" i="18"/>
  <c r="E71" i="18"/>
  <c r="G72" i="18"/>
  <c r="I73" i="18"/>
  <c r="E75" i="18"/>
  <c r="E76" i="18"/>
  <c r="D77" i="18"/>
  <c r="I77" i="18"/>
  <c r="I78" i="18"/>
  <c r="H79" i="18"/>
  <c r="G80" i="18"/>
  <c r="G81" i="18"/>
  <c r="F82" i="18"/>
  <c r="E83" i="18"/>
  <c r="D84" i="18"/>
  <c r="H84" i="18"/>
  <c r="F85" i="18"/>
  <c r="D86" i="18"/>
  <c r="H86" i="18"/>
  <c r="F87" i="18"/>
  <c r="D88" i="18"/>
  <c r="H88" i="18"/>
  <c r="F89" i="18"/>
  <c r="D90" i="18"/>
  <c r="H90" i="18"/>
  <c r="F91" i="18"/>
  <c r="D92" i="18"/>
  <c r="H92" i="18"/>
  <c r="F93" i="18"/>
  <c r="D94" i="18"/>
  <c r="H94" i="18"/>
  <c r="F95" i="18"/>
  <c r="D96" i="18"/>
  <c r="H96" i="18"/>
  <c r="F97" i="18"/>
  <c r="D98" i="18"/>
  <c r="H98" i="18"/>
  <c r="F99" i="18"/>
  <c r="D100" i="18"/>
  <c r="H100" i="18"/>
  <c r="F101" i="18"/>
  <c r="D102" i="18"/>
  <c r="H102" i="18"/>
  <c r="F103" i="18"/>
  <c r="D104" i="18"/>
  <c r="H104" i="18"/>
  <c r="F105" i="18"/>
  <c r="D106" i="18"/>
  <c r="H106" i="18"/>
  <c r="F107" i="18"/>
  <c r="D108" i="18"/>
  <c r="H108" i="18"/>
  <c r="F109" i="18"/>
  <c r="D110" i="18"/>
  <c r="H110" i="18"/>
  <c r="F111" i="18"/>
  <c r="D112" i="18"/>
  <c r="H112" i="18"/>
  <c r="F113" i="18"/>
  <c r="D114" i="18"/>
  <c r="H114" i="18"/>
  <c r="F115" i="18"/>
  <c r="D116" i="18"/>
  <c r="H116" i="18"/>
  <c r="F117" i="18"/>
  <c r="D118" i="18"/>
  <c r="H118" i="18"/>
  <c r="F119" i="18"/>
  <c r="D120" i="18"/>
  <c r="H120" i="18"/>
  <c r="F121" i="18"/>
  <c r="D122" i="18"/>
  <c r="H122" i="18"/>
  <c r="F123" i="18"/>
  <c r="D124" i="18"/>
  <c r="H124" i="18"/>
  <c r="F125" i="18"/>
  <c r="D126" i="18"/>
  <c r="H126" i="18"/>
  <c r="F127" i="18"/>
  <c r="D128" i="18"/>
  <c r="H128" i="18"/>
  <c r="F129" i="18"/>
  <c r="D130" i="18"/>
  <c r="H130" i="18"/>
  <c r="F131" i="18"/>
  <c r="D132" i="18"/>
  <c r="H132" i="18"/>
  <c r="F133" i="18"/>
  <c r="D134" i="18"/>
  <c r="H134" i="18"/>
  <c r="F135" i="18"/>
  <c r="D136" i="18"/>
  <c r="H136" i="18"/>
  <c r="F137" i="18"/>
  <c r="D138" i="18"/>
  <c r="H138" i="18"/>
  <c r="F139" i="18"/>
  <c r="D140" i="18"/>
  <c r="H140" i="18"/>
  <c r="F141" i="18"/>
  <c r="D142" i="18"/>
  <c r="H142" i="18"/>
  <c r="F143" i="18"/>
  <c r="D144" i="18"/>
  <c r="H144" i="18"/>
  <c r="F145" i="18"/>
  <c r="D146" i="18"/>
  <c r="H146" i="18"/>
  <c r="F147" i="18"/>
  <c r="D148" i="18"/>
  <c r="H148" i="18"/>
  <c r="F149" i="18"/>
  <c r="D150" i="18"/>
  <c r="H150" i="18"/>
  <c r="F151" i="18"/>
  <c r="D152" i="18"/>
  <c r="H152" i="18"/>
  <c r="F153" i="18"/>
  <c r="D154" i="18"/>
  <c r="H154" i="18"/>
  <c r="F155" i="18"/>
  <c r="D156" i="18"/>
  <c r="H156" i="18"/>
  <c r="F157" i="18"/>
  <c r="D158" i="18"/>
  <c r="H158" i="18"/>
  <c r="F159" i="18"/>
  <c r="D160" i="18"/>
  <c r="H160" i="18"/>
  <c r="F161" i="18"/>
  <c r="D162" i="18"/>
  <c r="D6" i="18"/>
  <c r="H9" i="18"/>
  <c r="H11" i="18"/>
  <c r="D14" i="18"/>
  <c r="H16" i="18"/>
  <c r="H18" i="18"/>
  <c r="E21" i="18"/>
  <c r="I23" i="18"/>
  <c r="I25" i="18"/>
  <c r="F28" i="18"/>
  <c r="D31" i="18"/>
  <c r="D33" i="18"/>
  <c r="F35" i="18"/>
  <c r="D38" i="18"/>
  <c r="D40" i="18"/>
  <c r="G42" i="18"/>
  <c r="E45" i="18"/>
  <c r="E47" i="18"/>
  <c r="H49" i="18"/>
  <c r="F52" i="18"/>
  <c r="F54" i="18"/>
  <c r="H56" i="18"/>
  <c r="F59" i="18"/>
  <c r="E61" i="18"/>
  <c r="D63" i="18"/>
  <c r="D65" i="18"/>
  <c r="G66" i="18"/>
  <c r="F68" i="18"/>
  <c r="F70" i="18"/>
  <c r="I71" i="18"/>
  <c r="H73" i="18"/>
  <c r="G75" i="18"/>
  <c r="G76" i="18"/>
  <c r="H77" i="18"/>
  <c r="D79" i="18"/>
  <c r="E80" i="18"/>
  <c r="E81" i="18"/>
  <c r="G82" i="18"/>
  <c r="H83" i="18"/>
  <c r="G84" i="18"/>
  <c r="D7" i="18"/>
  <c r="I9" i="18"/>
  <c r="F12" i="18"/>
  <c r="D15" i="18"/>
  <c r="D17" i="18"/>
  <c r="F19" i="18"/>
  <c r="D22" i="18"/>
  <c r="D24" i="18"/>
  <c r="G26" i="18"/>
  <c r="E29" i="18"/>
  <c r="E31" i="18"/>
  <c r="H33" i="18"/>
  <c r="F36" i="18"/>
  <c r="F38" i="18"/>
  <c r="H40" i="18"/>
  <c r="F43" i="18"/>
  <c r="F45" i="18"/>
  <c r="I47" i="18"/>
  <c r="G50" i="18"/>
  <c r="G52" i="18"/>
  <c r="D55" i="18"/>
  <c r="H57" i="18"/>
  <c r="H59" i="18"/>
  <c r="H61" i="18"/>
  <c r="H63" i="18"/>
  <c r="E65" i="18"/>
  <c r="D67" i="18"/>
  <c r="D69" i="18"/>
  <c r="G70" i="18"/>
  <c r="F72" i="18"/>
  <c r="F74" i="18"/>
  <c r="H75" i="18"/>
  <c r="I76" i="18"/>
  <c r="E78" i="18"/>
  <c r="E79" i="18"/>
  <c r="F80" i="18"/>
  <c r="H81" i="18"/>
  <c r="I82" i="18"/>
  <c r="I83" i="18"/>
  <c r="I84" i="18"/>
  <c r="H85" i="18"/>
  <c r="G86" i="18"/>
  <c r="G87" i="18"/>
  <c r="F88" i="18"/>
  <c r="E89" i="18"/>
  <c r="E90" i="18"/>
  <c r="D91" i="18"/>
  <c r="I91" i="18"/>
  <c r="I92" i="18"/>
  <c r="H93" i="18"/>
  <c r="G94" i="18"/>
  <c r="G95" i="18"/>
  <c r="F96" i="18"/>
  <c r="E97" i="18"/>
  <c r="E98" i="18"/>
  <c r="D99" i="18"/>
  <c r="I99" i="18"/>
  <c r="I100" i="18"/>
  <c r="H101" i="18"/>
  <c r="G102" i="18"/>
  <c r="G103" i="18"/>
  <c r="F104" i="18"/>
  <c r="E105" i="18"/>
  <c r="E106" i="18"/>
  <c r="D107" i="18"/>
  <c r="I107" i="18"/>
  <c r="I108" i="18"/>
  <c r="H109" i="18"/>
  <c r="G110" i="18"/>
  <c r="G111" i="18"/>
  <c r="F112" i="18"/>
  <c r="E113" i="18"/>
  <c r="E114" i="18"/>
  <c r="D115" i="18"/>
  <c r="I115" i="18"/>
  <c r="I116" i="18"/>
  <c r="H117" i="18"/>
  <c r="G118" i="18"/>
  <c r="G119" i="18"/>
  <c r="F120" i="18"/>
  <c r="E121" i="18"/>
  <c r="E122" i="18"/>
  <c r="D123" i="18"/>
  <c r="I123" i="18"/>
  <c r="I124" i="18"/>
  <c r="H125" i="18"/>
  <c r="G126" i="18"/>
  <c r="G127" i="18"/>
  <c r="F128" i="18"/>
  <c r="E129" i="18"/>
  <c r="E130" i="18"/>
  <c r="D131" i="18"/>
  <c r="I131" i="18"/>
  <c r="I132" i="18"/>
  <c r="H133" i="18"/>
  <c r="G134" i="18"/>
  <c r="G135" i="18"/>
  <c r="F136" i="18"/>
  <c r="E137" i="18"/>
  <c r="E138" i="18"/>
  <c r="D139" i="18"/>
  <c r="I139" i="18"/>
  <c r="I140" i="18"/>
  <c r="H141" i="18"/>
  <c r="G142" i="18"/>
  <c r="G143" i="18"/>
  <c r="F144" i="18"/>
  <c r="E145" i="18"/>
  <c r="E146" i="18"/>
  <c r="D147" i="18"/>
  <c r="I147" i="18"/>
  <c r="I148" i="18"/>
  <c r="H149" i="18"/>
  <c r="G150" i="18"/>
  <c r="G151" i="18"/>
  <c r="F152" i="18"/>
  <c r="E153" i="18"/>
  <c r="E154" i="18"/>
  <c r="D155" i="18"/>
  <c r="I155" i="18"/>
  <c r="I156" i="18"/>
  <c r="H157" i="18"/>
  <c r="G158" i="18"/>
  <c r="G159" i="18"/>
  <c r="F160" i="18"/>
  <c r="E161" i="18"/>
  <c r="E162" i="18"/>
  <c r="I162" i="18"/>
  <c r="G163" i="18"/>
  <c r="E164" i="18"/>
  <c r="I164" i="18"/>
  <c r="G165" i="18"/>
  <c r="E166" i="18"/>
  <c r="I166" i="18"/>
  <c r="G167" i="18"/>
  <c r="E168" i="18"/>
  <c r="I168" i="18"/>
  <c r="G169" i="18"/>
  <c r="E170" i="18"/>
  <c r="I170" i="18"/>
  <c r="G171" i="18"/>
  <c r="E172" i="18"/>
  <c r="I172" i="18"/>
  <c r="G173" i="18"/>
  <c r="E174" i="18"/>
  <c r="I174" i="18"/>
  <c r="G175" i="18"/>
  <c r="E176" i="18"/>
  <c r="I176" i="18"/>
  <c r="G177" i="18"/>
  <c r="E178" i="18"/>
  <c r="I178" i="18"/>
  <c r="G179" i="18"/>
  <c r="E180" i="18"/>
  <c r="I180" i="18"/>
  <c r="G181" i="18"/>
  <c r="E182" i="18"/>
  <c r="I182" i="18"/>
  <c r="G183" i="18"/>
  <c r="E184" i="18"/>
  <c r="I184" i="18"/>
  <c r="G185" i="18"/>
  <c r="E186" i="18"/>
  <c r="I186" i="18"/>
  <c r="G187" i="18"/>
  <c r="E188" i="18"/>
  <c r="I188" i="18"/>
  <c r="G189" i="18"/>
  <c r="E190" i="18"/>
  <c r="I190" i="18"/>
  <c r="G191" i="18"/>
  <c r="E192" i="18"/>
  <c r="I192" i="18"/>
  <c r="G193" i="18"/>
  <c r="E194" i="18"/>
  <c r="I194" i="18"/>
  <c r="G195" i="18"/>
  <c r="E196" i="18"/>
  <c r="I196" i="18"/>
  <c r="G197" i="18"/>
  <c r="E198" i="18"/>
  <c r="I198" i="18"/>
  <c r="G199" i="18"/>
  <c r="E200" i="18"/>
  <c r="I200" i="18"/>
  <c r="G201" i="18"/>
  <c r="E202" i="18"/>
  <c r="I202" i="18"/>
  <c r="F3" i="18"/>
  <c r="B1" i="10"/>
  <c r="I7" i="18"/>
  <c r="G10" i="18"/>
  <c r="E13" i="18"/>
  <c r="E15" i="18"/>
  <c r="H17" i="18"/>
  <c r="F20" i="18"/>
  <c r="F22" i="18"/>
  <c r="H24" i="18"/>
  <c r="F27" i="18"/>
  <c r="F29" i="18"/>
  <c r="I31" i="18"/>
  <c r="G34" i="18"/>
  <c r="G36" i="18"/>
  <c r="D39" i="18"/>
  <c r="H41" i="18"/>
  <c r="H43" i="18"/>
  <c r="D46" i="18"/>
  <c r="H48" i="18"/>
  <c r="H50" i="18"/>
  <c r="E53" i="18"/>
  <c r="I55" i="18"/>
  <c r="I57" i="18"/>
  <c r="F60" i="18"/>
  <c r="F62" i="18"/>
  <c r="I63" i="18"/>
  <c r="H65" i="18"/>
  <c r="H67" i="18"/>
  <c r="E69" i="18"/>
  <c r="D71" i="18"/>
  <c r="D73" i="18"/>
  <c r="G74" i="18"/>
  <c r="I75" i="18"/>
  <c r="E77" i="18"/>
  <c r="F78" i="18"/>
  <c r="G79" i="18"/>
  <c r="I80" i="18"/>
  <c r="I81" i="18"/>
  <c r="D83" i="18"/>
  <c r="E84" i="18"/>
  <c r="D85" i="18"/>
  <c r="I85" i="18"/>
  <c r="I86" i="18"/>
  <c r="H87" i="18"/>
  <c r="G88" i="18"/>
  <c r="G89" i="18"/>
  <c r="F90" i="18"/>
  <c r="E91" i="18"/>
  <c r="E92" i="18"/>
  <c r="D93" i="18"/>
  <c r="I93" i="18"/>
  <c r="I94" i="18"/>
  <c r="H95" i="18"/>
  <c r="G96" i="18"/>
  <c r="G97" i="18"/>
  <c r="F98" i="18"/>
  <c r="E99" i="18"/>
  <c r="E100" i="18"/>
  <c r="D101" i="18"/>
  <c r="I101" i="18"/>
  <c r="I102" i="18"/>
  <c r="H103" i="18"/>
  <c r="G104" i="18"/>
  <c r="G105" i="18"/>
  <c r="F106" i="18"/>
  <c r="E107" i="18"/>
  <c r="E108" i="18"/>
  <c r="D109" i="18"/>
  <c r="I109" i="18"/>
  <c r="I110" i="18"/>
  <c r="H111" i="18"/>
  <c r="G112" i="18"/>
  <c r="G113" i="18"/>
  <c r="F114" i="18"/>
  <c r="E115" i="18"/>
  <c r="E116" i="18"/>
  <c r="D117" i="18"/>
  <c r="I117" i="18"/>
  <c r="I118" i="18"/>
  <c r="H119" i="18"/>
  <c r="G120" i="18"/>
  <c r="G121" i="18"/>
  <c r="F122" i="18"/>
  <c r="E123" i="18"/>
  <c r="E124" i="18"/>
  <c r="D125" i="18"/>
  <c r="I125" i="18"/>
  <c r="I126" i="18"/>
  <c r="H127" i="18"/>
  <c r="G128" i="18"/>
  <c r="G129" i="18"/>
  <c r="F130" i="18"/>
  <c r="E131" i="18"/>
  <c r="E132" i="18"/>
  <c r="D133" i="18"/>
  <c r="I133" i="18"/>
  <c r="I134" i="18"/>
  <c r="H135" i="18"/>
  <c r="G136" i="18"/>
  <c r="G137" i="18"/>
  <c r="F138" i="18"/>
  <c r="E139" i="18"/>
  <c r="E140" i="18"/>
  <c r="D141" i="18"/>
  <c r="I141" i="18"/>
  <c r="I142" i="18"/>
  <c r="H143" i="18"/>
  <c r="G144" i="18"/>
  <c r="G145" i="18"/>
  <c r="F146" i="18"/>
  <c r="E147" i="18"/>
  <c r="E148" i="18"/>
  <c r="D149" i="18"/>
  <c r="I149" i="18"/>
  <c r="I150" i="18"/>
  <c r="H151" i="18"/>
  <c r="G152" i="18"/>
  <c r="G153" i="18"/>
  <c r="F154" i="18"/>
  <c r="E155" i="18"/>
  <c r="E156" i="18"/>
  <c r="D157" i="18"/>
  <c r="I157" i="18"/>
  <c r="I158" i="18"/>
  <c r="H159" i="18"/>
  <c r="G160" i="18"/>
  <c r="G161" i="18"/>
  <c r="F162" i="18"/>
  <c r="D163" i="18"/>
  <c r="H163" i="18"/>
  <c r="F164" i="18"/>
  <c r="D165" i="18"/>
  <c r="H165" i="18"/>
  <c r="F166" i="18"/>
  <c r="D167" i="18"/>
  <c r="H167" i="18"/>
  <c r="F168" i="18"/>
  <c r="D169" i="18"/>
  <c r="H169" i="18"/>
  <c r="F170" i="18"/>
  <c r="D171" i="18"/>
  <c r="H171" i="18"/>
  <c r="F172" i="18"/>
  <c r="D173" i="18"/>
  <c r="H173" i="18"/>
  <c r="F174" i="18"/>
  <c r="D175" i="18"/>
  <c r="H175" i="18"/>
  <c r="F176" i="18"/>
  <c r="D177" i="18"/>
  <c r="H177" i="18"/>
  <c r="F178" i="18"/>
  <c r="I15" i="18"/>
  <c r="E94" i="18"/>
  <c r="D119" i="18"/>
  <c r="I127" i="18"/>
  <c r="G131" i="18"/>
  <c r="D135" i="18"/>
  <c r="F140" i="18"/>
  <c r="I143" i="18"/>
  <c r="G147" i="18"/>
  <c r="I152" i="18"/>
  <c r="F156" i="18"/>
  <c r="H161" i="18"/>
  <c r="G164" i="18"/>
  <c r="G168" i="18"/>
  <c r="G172" i="18"/>
  <c r="E175" i="18"/>
  <c r="I177" i="18"/>
  <c r="H180" i="18"/>
  <c r="G182" i="18"/>
  <c r="F184" i="18"/>
  <c r="D186" i="18"/>
  <c r="I187" i="18"/>
  <c r="H189" i="18"/>
  <c r="E193" i="18"/>
  <c r="D195" i="18"/>
  <c r="H196" i="18"/>
  <c r="G198" i="18"/>
  <c r="F200" i="18"/>
  <c r="D202" i="18"/>
  <c r="D3" i="18"/>
  <c r="G18" i="18"/>
  <c r="E82" i="18"/>
  <c r="I90" i="18"/>
  <c r="F94" i="18"/>
  <c r="H99" i="18"/>
  <c r="G101" i="18"/>
  <c r="D105" i="18"/>
  <c r="F110" i="18"/>
  <c r="G117" i="18"/>
  <c r="I122" i="18"/>
  <c r="F126" i="18"/>
  <c r="H131" i="18"/>
  <c r="D137" i="18"/>
  <c r="F142" i="18"/>
  <c r="G149" i="18"/>
  <c r="I154" i="18"/>
  <c r="E160" i="18"/>
  <c r="F163" i="18"/>
  <c r="F167" i="18"/>
  <c r="F171" i="18"/>
  <c r="H176" i="18"/>
  <c r="D181" i="18"/>
  <c r="H183" i="18"/>
  <c r="F186" i="18"/>
  <c r="D189" i="18"/>
  <c r="H191" i="18"/>
  <c r="F194" i="18"/>
  <c r="D197" i="18"/>
  <c r="H199" i="18"/>
  <c r="F201" i="18"/>
  <c r="M1" i="10"/>
  <c r="F11" i="18"/>
  <c r="G20" i="18"/>
  <c r="D30" i="18"/>
  <c r="I39" i="18"/>
  <c r="D49" i="18"/>
  <c r="G58" i="18"/>
  <c r="F66" i="18"/>
  <c r="E73" i="18"/>
  <c r="G78" i="18"/>
  <c r="G83" i="18"/>
  <c r="E86" i="18"/>
  <c r="I87" i="18"/>
  <c r="H89" i="18"/>
  <c r="G91" i="18"/>
  <c r="E93" i="18"/>
  <c r="D95" i="18"/>
  <c r="I96" i="18"/>
  <c r="G98" i="18"/>
  <c r="F100" i="18"/>
  <c r="E102" i="18"/>
  <c r="I103" i="18"/>
  <c r="H105" i="18"/>
  <c r="G107" i="18"/>
  <c r="E109" i="18"/>
  <c r="D111" i="18"/>
  <c r="I112" i="18"/>
  <c r="G114" i="18"/>
  <c r="F116" i="18"/>
  <c r="E118" i="18"/>
  <c r="I119" i="18"/>
  <c r="H121" i="18"/>
  <c r="G123" i="18"/>
  <c r="E125" i="18"/>
  <c r="D127" i="18"/>
  <c r="I128" i="18"/>
  <c r="G130" i="18"/>
  <c r="F132" i="18"/>
  <c r="E134" i="18"/>
  <c r="I135" i="18"/>
  <c r="H137" i="18"/>
  <c r="G139" i="18"/>
  <c r="E141" i="18"/>
  <c r="D143" i="18"/>
  <c r="I144" i="18"/>
  <c r="G146" i="18"/>
  <c r="F148" i="18"/>
  <c r="E150" i="18"/>
  <c r="I151" i="18"/>
  <c r="H153" i="18"/>
  <c r="G155" i="18"/>
  <c r="E157" i="18"/>
  <c r="D159" i="18"/>
  <c r="I160" i="18"/>
  <c r="G162" i="18"/>
  <c r="I163" i="18"/>
  <c r="E165" i="18"/>
  <c r="G166" i="18"/>
  <c r="I167" i="18"/>
  <c r="E169" i="18"/>
  <c r="G170" i="18"/>
  <c r="I171" i="18"/>
  <c r="E173" i="18"/>
  <c r="G174" i="18"/>
  <c r="I175" i="18"/>
  <c r="E177" i="18"/>
  <c r="G178" i="18"/>
  <c r="F179" i="18"/>
  <c r="F180" i="18"/>
  <c r="E181" i="18"/>
  <c r="D182" i="18"/>
  <c r="D183" i="18"/>
  <c r="I183" i="18"/>
  <c r="H184" i="18"/>
  <c r="H185" i="18"/>
  <c r="G186" i="18"/>
  <c r="F187" i="18"/>
  <c r="F188" i="18"/>
  <c r="E189" i="18"/>
  <c r="D190" i="18"/>
  <c r="D191" i="18"/>
  <c r="I191" i="18"/>
  <c r="H192" i="18"/>
  <c r="H193" i="18"/>
  <c r="G194" i="18"/>
  <c r="F195" i="18"/>
  <c r="F196" i="18"/>
  <c r="E197" i="18"/>
  <c r="D198" i="18"/>
  <c r="D199" i="18"/>
  <c r="I199" i="18"/>
  <c r="H200" i="18"/>
  <c r="H201" i="18"/>
  <c r="G202" i="18"/>
  <c r="G3" i="18"/>
  <c r="F13" i="18"/>
  <c r="D23" i="18"/>
  <c r="H32" i="18"/>
  <c r="I41" i="18"/>
  <c r="F51" i="18"/>
  <c r="D61" i="18"/>
  <c r="I67" i="18"/>
  <c r="D75" i="18"/>
  <c r="I79" i="18"/>
  <c r="F84" i="18"/>
  <c r="F86" i="18"/>
  <c r="E88" i="18"/>
  <c r="I89" i="18"/>
  <c r="H91" i="18"/>
  <c r="G93" i="18"/>
  <c r="E95" i="18"/>
  <c r="D97" i="18"/>
  <c r="I98" i="18"/>
  <c r="G100" i="18"/>
  <c r="F102" i="18"/>
  <c r="E104" i="18"/>
  <c r="I105" i="18"/>
  <c r="H107" i="18"/>
  <c r="G109" i="18"/>
  <c r="E111" i="18"/>
  <c r="D113" i="18"/>
  <c r="I114" i="18"/>
  <c r="G116" i="18"/>
  <c r="F118" i="18"/>
  <c r="E120" i="18"/>
  <c r="I121" i="18"/>
  <c r="H123" i="18"/>
  <c r="G125" i="18"/>
  <c r="E127" i="18"/>
  <c r="D129" i="18"/>
  <c r="I130" i="18"/>
  <c r="G132" i="18"/>
  <c r="F134" i="18"/>
  <c r="E136" i="18"/>
  <c r="I137" i="18"/>
  <c r="H139" i="18"/>
  <c r="G141" i="18"/>
  <c r="E143" i="18"/>
  <c r="D145" i="18"/>
  <c r="I146" i="18"/>
  <c r="G148" i="18"/>
  <c r="F150" i="18"/>
  <c r="E152" i="18"/>
  <c r="I153" i="18"/>
  <c r="H155" i="18"/>
  <c r="G157" i="18"/>
  <c r="E159" i="18"/>
  <c r="D161" i="18"/>
  <c r="H162" i="18"/>
  <c r="D164" i="18"/>
  <c r="F165" i="18"/>
  <c r="H166" i="18"/>
  <c r="D168" i="18"/>
  <c r="F169" i="18"/>
  <c r="H170" i="18"/>
  <c r="D172" i="18"/>
  <c r="F173" i="18"/>
  <c r="H174" i="18"/>
  <c r="D176" i="18"/>
  <c r="F177" i="18"/>
  <c r="H178" i="18"/>
  <c r="H179" i="18"/>
  <c r="G180" i="18"/>
  <c r="F181" i="18"/>
  <c r="F182" i="18"/>
  <c r="E183" i="18"/>
  <c r="D184" i="18"/>
  <c r="D185" i="18"/>
  <c r="I185" i="18"/>
  <c r="H186" i="18"/>
  <c r="H187" i="18"/>
  <c r="G188" i="18"/>
  <c r="F189" i="18"/>
  <c r="F190" i="18"/>
  <c r="E191" i="18"/>
  <c r="D192" i="18"/>
  <c r="D193" i="18"/>
  <c r="I193" i="18"/>
  <c r="H194" i="18"/>
  <c r="H195" i="18"/>
  <c r="G196" i="18"/>
  <c r="F197" i="18"/>
  <c r="F198" i="18"/>
  <c r="E199" i="18"/>
  <c r="D200" i="18"/>
  <c r="D201" i="18"/>
  <c r="I201" i="18"/>
  <c r="H202" i="18"/>
  <c r="E3" i="18"/>
  <c r="E5" i="18"/>
  <c r="H25" i="18"/>
  <c r="H34" i="18"/>
  <c r="F44" i="18"/>
  <c r="D54" i="18"/>
  <c r="G62" i="18"/>
  <c r="H69" i="18"/>
  <c r="F76" i="18"/>
  <c r="D81" i="18"/>
  <c r="E85" i="18"/>
  <c r="D87" i="18"/>
  <c r="I88" i="18"/>
  <c r="G90" i="18"/>
  <c r="F92" i="18"/>
  <c r="I95" i="18"/>
  <c r="H97" i="18"/>
  <c r="G99" i="18"/>
  <c r="E101" i="18"/>
  <c r="D103" i="18"/>
  <c r="I104" i="18"/>
  <c r="G106" i="18"/>
  <c r="F108" i="18"/>
  <c r="E110" i="18"/>
  <c r="I111" i="18"/>
  <c r="H113" i="18"/>
  <c r="G115" i="18"/>
  <c r="E117" i="18"/>
  <c r="I120" i="18"/>
  <c r="G122" i="18"/>
  <c r="F124" i="18"/>
  <c r="E126" i="18"/>
  <c r="H129" i="18"/>
  <c r="E133" i="18"/>
  <c r="I136" i="18"/>
  <c r="G138" i="18"/>
  <c r="E142" i="18"/>
  <c r="H145" i="18"/>
  <c r="E149" i="18"/>
  <c r="D151" i="18"/>
  <c r="G154" i="18"/>
  <c r="E158" i="18"/>
  <c r="I159" i="18"/>
  <c r="E163" i="18"/>
  <c r="I165" i="18"/>
  <c r="E167" i="18"/>
  <c r="I169" i="18"/>
  <c r="E171" i="18"/>
  <c r="I173" i="18"/>
  <c r="G176" i="18"/>
  <c r="D179" i="18"/>
  <c r="I179" i="18"/>
  <c r="H181" i="18"/>
  <c r="F183" i="18"/>
  <c r="E185" i="18"/>
  <c r="D187" i="18"/>
  <c r="H188" i="18"/>
  <c r="G190" i="18"/>
  <c r="F192" i="18"/>
  <c r="D194" i="18"/>
  <c r="I195" i="18"/>
  <c r="H197" i="18"/>
  <c r="F199" i="18"/>
  <c r="E201" i="18"/>
  <c r="I3" i="18"/>
  <c r="H8" i="18"/>
  <c r="E37" i="18"/>
  <c r="D47" i="18"/>
  <c r="D56" i="18"/>
  <c r="F64" i="18"/>
  <c r="H71" i="18"/>
  <c r="G77" i="18"/>
  <c r="G85" i="18"/>
  <c r="E87" i="18"/>
  <c r="D89" i="18"/>
  <c r="G92" i="18"/>
  <c r="I97" i="18"/>
  <c r="E103" i="18"/>
  <c r="G108" i="18"/>
  <c r="E112" i="18"/>
  <c r="H115" i="18"/>
  <c r="D121" i="18"/>
  <c r="E128" i="18"/>
  <c r="G133" i="18"/>
  <c r="I138" i="18"/>
  <c r="E144" i="18"/>
  <c r="I145" i="18"/>
  <c r="E151" i="18"/>
  <c r="D153" i="18"/>
  <c r="F158" i="18"/>
  <c r="I161" i="18"/>
  <c r="H164" i="18"/>
  <c r="H168" i="18"/>
  <c r="H172" i="18"/>
  <c r="F175" i="18"/>
  <c r="D178" i="18"/>
  <c r="D180" i="18"/>
  <c r="H182" i="18"/>
  <c r="G184" i="18"/>
  <c r="E187" i="18"/>
  <c r="I189" i="18"/>
  <c r="G192" i="18"/>
  <c r="E195" i="18"/>
  <c r="I197" i="18"/>
  <c r="G200" i="18"/>
  <c r="H3" i="18"/>
  <c r="F191" i="18"/>
  <c r="H27" i="18"/>
  <c r="E96" i="18"/>
  <c r="I106" i="18"/>
  <c r="I113" i="18"/>
  <c r="E119" i="18"/>
  <c r="G124" i="18"/>
  <c r="I129" i="18"/>
  <c r="E135" i="18"/>
  <c r="G140" i="18"/>
  <c r="H147" i="18"/>
  <c r="G156" i="18"/>
  <c r="D166" i="18"/>
  <c r="D170" i="18"/>
  <c r="D174" i="18"/>
  <c r="E179" i="18"/>
  <c r="I181" i="18"/>
  <c r="F185" i="18"/>
  <c r="D188" i="18"/>
  <c r="H190" i="18"/>
  <c r="F193" i="18"/>
  <c r="D196" i="18"/>
  <c r="H198" i="18"/>
  <c r="F202" i="18"/>
  <c r="G1" i="1"/>
  <c r="A1" i="7"/>
  <c r="A1" i="8"/>
  <c r="A1" i="5"/>
  <c r="A1" i="6"/>
  <c r="B2" i="3"/>
  <c r="B3" i="4"/>
  <c r="Z9" i="1"/>
  <c r="R41" i="6"/>
  <c r="Z8" i="1"/>
  <c r="O8" i="8" l="1"/>
  <c r="AP8" i="1"/>
  <c r="D10" i="14"/>
  <c r="D10" i="13"/>
  <c r="C10" i="14"/>
  <c r="AC9" i="1"/>
  <c r="I6" i="17"/>
  <c r="G6" i="17"/>
  <c r="AF10" i="1"/>
  <c r="I8" i="17" s="1"/>
  <c r="AQ2" i="1" l="1"/>
  <c r="P2" i="8"/>
  <c r="AQ3" i="1"/>
  <c r="P3" i="8"/>
  <c r="F7" i="17"/>
  <c r="E6" i="17"/>
  <c r="C10" i="13"/>
  <c r="AA6" i="1"/>
  <c r="P4" i="18" l="1"/>
  <c r="P5" i="18"/>
  <c r="P6" i="18"/>
  <c r="P7" i="18"/>
  <c r="P8" i="18"/>
  <c r="P9" i="18"/>
  <c r="P10" i="18"/>
  <c r="P11" i="18"/>
  <c r="P12" i="18"/>
  <c r="P13" i="18"/>
  <c r="P14" i="18"/>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62" i="18"/>
  <c r="P63" i="18"/>
  <c r="P64" i="18"/>
  <c r="P65" i="18"/>
  <c r="P66" i="18"/>
  <c r="P67" i="18"/>
  <c r="P68" i="18"/>
  <c r="P69" i="18"/>
  <c r="P70" i="18"/>
  <c r="P71" i="18"/>
  <c r="P72" i="18"/>
  <c r="P73" i="18"/>
  <c r="P74" i="18"/>
  <c r="P75" i="18"/>
  <c r="P76" i="18"/>
  <c r="P77" i="18"/>
  <c r="P78" i="18"/>
  <c r="P79" i="18"/>
  <c r="P80" i="18"/>
  <c r="P81" i="18"/>
  <c r="P82" i="18"/>
  <c r="P83" i="18"/>
  <c r="P84" i="18"/>
  <c r="P85" i="18"/>
  <c r="P86" i="18"/>
  <c r="P87" i="18"/>
  <c r="P88" i="18"/>
  <c r="P89" i="18"/>
  <c r="P90" i="18"/>
  <c r="P91" i="18"/>
  <c r="P92" i="18"/>
  <c r="P93" i="18"/>
  <c r="P94" i="18"/>
  <c r="P95" i="18"/>
  <c r="P96" i="18"/>
  <c r="P97" i="18"/>
  <c r="P98" i="18"/>
  <c r="P99" i="18"/>
  <c r="P100" i="18"/>
  <c r="P101" i="18"/>
  <c r="P102" i="18"/>
  <c r="P103" i="18"/>
  <c r="P104" i="18"/>
  <c r="P105" i="18"/>
  <c r="P106" i="18"/>
  <c r="P107" i="18"/>
  <c r="P108" i="18"/>
  <c r="P109" i="18"/>
  <c r="P110" i="18"/>
  <c r="P111" i="18"/>
  <c r="P112" i="18"/>
  <c r="P113" i="18"/>
  <c r="P114" i="18"/>
  <c r="P115" i="18"/>
  <c r="P116" i="18"/>
  <c r="P117" i="18"/>
  <c r="P118" i="18"/>
  <c r="P119" i="18"/>
  <c r="P120" i="18"/>
  <c r="P121" i="18"/>
  <c r="P122" i="18"/>
  <c r="P123" i="18"/>
  <c r="P124" i="18"/>
  <c r="P125" i="18"/>
  <c r="P126" i="18"/>
  <c r="P127" i="18"/>
  <c r="P128" i="18"/>
  <c r="P129" i="18"/>
  <c r="P130" i="18"/>
  <c r="P131" i="18"/>
  <c r="P132" i="18"/>
  <c r="P133" i="18"/>
  <c r="P134" i="18"/>
  <c r="P135" i="18"/>
  <c r="P136" i="18"/>
  <c r="P137" i="18"/>
  <c r="P138" i="18"/>
  <c r="P139" i="18"/>
  <c r="P140" i="18"/>
  <c r="P141" i="18"/>
  <c r="P142" i="18"/>
  <c r="P143" i="18"/>
  <c r="P144" i="18"/>
  <c r="P145" i="18"/>
  <c r="P146" i="18"/>
  <c r="P147" i="18"/>
  <c r="P148" i="18"/>
  <c r="P149" i="18"/>
  <c r="P150" i="18"/>
  <c r="P151" i="18"/>
  <c r="P152" i="18"/>
  <c r="P153" i="18"/>
  <c r="P154" i="18"/>
  <c r="P155" i="18"/>
  <c r="P156" i="18"/>
  <c r="P157" i="18"/>
  <c r="P158" i="18"/>
  <c r="P159" i="18"/>
  <c r="P160" i="18"/>
  <c r="P161" i="18"/>
  <c r="P162" i="18"/>
  <c r="P163" i="18"/>
  <c r="P164" i="18"/>
  <c r="P165" i="18"/>
  <c r="P166" i="18"/>
  <c r="P167" i="18"/>
  <c r="P168" i="18"/>
  <c r="P169" i="18"/>
  <c r="P170" i="18"/>
  <c r="P171" i="18"/>
  <c r="P172" i="18"/>
  <c r="P173" i="18"/>
  <c r="P174" i="18"/>
  <c r="P175" i="18"/>
  <c r="P176" i="18"/>
  <c r="P177" i="18"/>
  <c r="P178" i="18"/>
  <c r="P179" i="18"/>
  <c r="P180" i="18"/>
  <c r="P181" i="18"/>
  <c r="P182" i="18"/>
  <c r="P183" i="18"/>
  <c r="P184" i="18"/>
  <c r="P185" i="18"/>
  <c r="P186" i="18"/>
  <c r="P187" i="18"/>
  <c r="P188" i="18"/>
  <c r="P189" i="18"/>
  <c r="P190" i="18"/>
  <c r="P191" i="18"/>
  <c r="P192" i="18"/>
  <c r="P193" i="18"/>
  <c r="P194" i="18"/>
  <c r="P195" i="18"/>
  <c r="P196" i="18"/>
  <c r="P197" i="18"/>
  <c r="P198" i="18"/>
  <c r="P199" i="18"/>
  <c r="P200" i="18"/>
  <c r="P201" i="18"/>
  <c r="P202" i="18"/>
  <c r="P3"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AA202" i="18"/>
  <c r="Z202" i="18"/>
  <c r="AA201" i="18"/>
  <c r="AA200" i="18"/>
  <c r="Z200" i="18"/>
  <c r="AA199" i="18"/>
  <c r="Z199" i="18"/>
  <c r="AA198" i="18"/>
  <c r="Z198" i="18"/>
  <c r="AA197" i="18"/>
  <c r="Z197" i="18"/>
  <c r="AA196" i="18"/>
  <c r="Z196" i="18"/>
  <c r="AA195" i="18"/>
  <c r="Z195" i="18"/>
  <c r="AA194" i="18"/>
  <c r="Z194" i="18"/>
  <c r="AA193" i="18"/>
  <c r="Z193" i="18"/>
  <c r="AA192" i="18"/>
  <c r="Z192" i="18"/>
  <c r="AA191" i="18"/>
  <c r="Z191" i="18"/>
  <c r="AA190" i="18"/>
  <c r="Z190" i="18"/>
  <c r="AA189" i="18"/>
  <c r="Z189" i="18"/>
  <c r="AA188" i="18"/>
  <c r="Z188" i="18"/>
  <c r="AA187" i="18"/>
  <c r="Z187" i="18"/>
  <c r="AA186" i="18"/>
  <c r="Z186" i="18"/>
  <c r="AA185" i="18"/>
  <c r="Z185" i="18"/>
  <c r="AA184" i="18"/>
  <c r="Z184" i="18"/>
  <c r="AA183" i="18"/>
  <c r="Z183" i="18"/>
  <c r="AA182" i="18"/>
  <c r="Z182" i="18"/>
  <c r="AA181" i="18"/>
  <c r="Z181" i="18"/>
  <c r="AA180" i="18"/>
  <c r="Z180" i="18"/>
  <c r="AA179" i="18"/>
  <c r="Z179" i="18"/>
  <c r="AA178" i="18"/>
  <c r="Z178" i="18"/>
  <c r="AA177" i="18"/>
  <c r="Z177" i="18"/>
  <c r="AA176" i="18"/>
  <c r="Z176" i="18"/>
  <c r="AA175" i="18"/>
  <c r="Z175" i="18"/>
  <c r="AA174" i="18"/>
  <c r="Z174" i="18"/>
  <c r="AA173" i="18"/>
  <c r="Z173" i="18"/>
  <c r="AA172" i="18"/>
  <c r="Z172" i="18"/>
  <c r="AA171" i="18"/>
  <c r="Z171" i="18"/>
  <c r="AA170" i="18"/>
  <c r="Z170" i="18"/>
  <c r="AA169" i="18"/>
  <c r="Z169" i="18"/>
  <c r="AA168" i="18"/>
  <c r="Z168" i="18"/>
  <c r="AA167" i="18"/>
  <c r="Z167" i="18"/>
  <c r="AA166" i="18"/>
  <c r="Z166" i="18"/>
  <c r="AA165" i="18"/>
  <c r="Z165" i="18"/>
  <c r="AA164" i="18"/>
  <c r="Z164" i="18"/>
  <c r="C164" i="18"/>
  <c r="AA163" i="18"/>
  <c r="Z163" i="18"/>
  <c r="C163" i="18"/>
  <c r="AA162" i="18"/>
  <c r="Z162" i="18"/>
  <c r="C162" i="18"/>
  <c r="AA161" i="18"/>
  <c r="Z161" i="18"/>
  <c r="C161" i="18"/>
  <c r="AA160" i="18"/>
  <c r="Z160" i="18"/>
  <c r="C160" i="18"/>
  <c r="AA159" i="18"/>
  <c r="Z159" i="18"/>
  <c r="C159" i="18"/>
  <c r="AA158" i="18"/>
  <c r="Z158" i="18"/>
  <c r="C158" i="18"/>
  <c r="AA157" i="18"/>
  <c r="Z157" i="18"/>
  <c r="C157" i="18"/>
  <c r="AA156" i="18"/>
  <c r="Z156" i="18"/>
  <c r="C156" i="18"/>
  <c r="AA155" i="18"/>
  <c r="Z155" i="18"/>
  <c r="C155" i="18"/>
  <c r="AA154" i="18"/>
  <c r="Z154" i="18"/>
  <c r="C154" i="18"/>
  <c r="AA153" i="18"/>
  <c r="Z153" i="18"/>
  <c r="C153" i="18"/>
  <c r="AA152" i="18"/>
  <c r="Z152" i="18"/>
  <c r="C152" i="18"/>
  <c r="AA151" i="18"/>
  <c r="Z151" i="18"/>
  <c r="C151" i="18"/>
  <c r="AA150" i="18"/>
  <c r="Z150" i="18"/>
  <c r="C150" i="18"/>
  <c r="AA149" i="18"/>
  <c r="Z149" i="18"/>
  <c r="C149" i="18"/>
  <c r="AA148" i="18"/>
  <c r="Z148" i="18"/>
  <c r="C148" i="18"/>
  <c r="AA147" i="18"/>
  <c r="Z147" i="18"/>
  <c r="C147" i="18"/>
  <c r="AA146" i="18"/>
  <c r="Z146" i="18"/>
  <c r="C146" i="18"/>
  <c r="AA145" i="18"/>
  <c r="Z145" i="18"/>
  <c r="C145" i="18"/>
  <c r="AA144" i="18"/>
  <c r="Z144" i="18"/>
  <c r="C144" i="18"/>
  <c r="AA143" i="18"/>
  <c r="Z143" i="18"/>
  <c r="C143" i="18"/>
  <c r="AA142" i="18"/>
  <c r="Z142" i="18"/>
  <c r="C142" i="18"/>
  <c r="AA141" i="18"/>
  <c r="Z141" i="18"/>
  <c r="C141" i="18"/>
  <c r="AA140" i="18"/>
  <c r="Z140" i="18"/>
  <c r="C140" i="18"/>
  <c r="AA139" i="18"/>
  <c r="Z139" i="18"/>
  <c r="C139" i="18"/>
  <c r="AA138" i="18"/>
  <c r="Z138" i="18"/>
  <c r="C138" i="18"/>
  <c r="AA137" i="18"/>
  <c r="Z137" i="18"/>
  <c r="C137" i="18"/>
  <c r="AA136" i="18"/>
  <c r="Z136" i="18"/>
  <c r="C136" i="18"/>
  <c r="AA135" i="18"/>
  <c r="Z135" i="18"/>
  <c r="C135" i="18"/>
  <c r="AA134" i="18"/>
  <c r="Z134" i="18"/>
  <c r="C134" i="18"/>
  <c r="AA133" i="18"/>
  <c r="Z133" i="18"/>
  <c r="C133" i="18"/>
  <c r="AA132" i="18"/>
  <c r="Z132" i="18"/>
  <c r="C132" i="18"/>
  <c r="AA131" i="18"/>
  <c r="Z131" i="18"/>
  <c r="C131" i="18"/>
  <c r="AA130" i="18"/>
  <c r="Z130" i="18"/>
  <c r="C130" i="18"/>
  <c r="AA129" i="18"/>
  <c r="Z129" i="18"/>
  <c r="C129" i="18"/>
  <c r="AA128" i="18"/>
  <c r="Z128" i="18"/>
  <c r="C128" i="18"/>
  <c r="AA127" i="18"/>
  <c r="Z127" i="18"/>
  <c r="C127" i="18"/>
  <c r="AA126" i="18"/>
  <c r="Z126" i="18"/>
  <c r="C126" i="18"/>
  <c r="AA125" i="18"/>
  <c r="Z125" i="18"/>
  <c r="C125" i="18"/>
  <c r="AA124" i="18"/>
  <c r="Z124" i="18"/>
  <c r="C124" i="18"/>
  <c r="AA123" i="18"/>
  <c r="Z123" i="18"/>
  <c r="C123" i="18"/>
  <c r="AA122" i="18"/>
  <c r="Z122" i="18"/>
  <c r="C122" i="18"/>
  <c r="AA121" i="18"/>
  <c r="Z121" i="18"/>
  <c r="C121" i="18"/>
  <c r="AA120" i="18"/>
  <c r="Z120" i="18"/>
  <c r="C120" i="18"/>
  <c r="AA119" i="18"/>
  <c r="Z119" i="18"/>
  <c r="C119" i="18"/>
  <c r="AA118" i="18"/>
  <c r="Z118" i="18"/>
  <c r="C118" i="18"/>
  <c r="AA117" i="18"/>
  <c r="Z117" i="18"/>
  <c r="C117" i="18"/>
  <c r="AA116" i="18"/>
  <c r="Z116" i="18"/>
  <c r="C116" i="18"/>
  <c r="AA115" i="18"/>
  <c r="Z115" i="18"/>
  <c r="C115" i="18"/>
  <c r="AA114" i="18"/>
  <c r="Z114" i="18"/>
  <c r="C114" i="18"/>
  <c r="AA113" i="18"/>
  <c r="Z113" i="18"/>
  <c r="C113" i="18"/>
  <c r="AA112" i="18"/>
  <c r="Z112" i="18"/>
  <c r="C112" i="18"/>
  <c r="AA111" i="18"/>
  <c r="Z111" i="18"/>
  <c r="C111" i="18"/>
  <c r="AA110" i="18"/>
  <c r="Z110" i="18"/>
  <c r="C110" i="18"/>
  <c r="AA109" i="18"/>
  <c r="Z109" i="18"/>
  <c r="C109" i="18"/>
  <c r="AA108" i="18"/>
  <c r="Z108" i="18"/>
  <c r="C108" i="18"/>
  <c r="AA107" i="18"/>
  <c r="Z107" i="18"/>
  <c r="C107" i="18"/>
  <c r="AA106" i="18"/>
  <c r="Z106" i="18"/>
  <c r="C106" i="18"/>
  <c r="AA105" i="18"/>
  <c r="Z105" i="18"/>
  <c r="C105" i="18"/>
  <c r="AA104" i="18"/>
  <c r="Z104" i="18"/>
  <c r="C104" i="18"/>
  <c r="AA103" i="18"/>
  <c r="Z103" i="18"/>
  <c r="C103" i="18"/>
  <c r="AA102" i="18"/>
  <c r="Z102" i="18"/>
  <c r="C102" i="18"/>
  <c r="AA101" i="18"/>
  <c r="Z101" i="18"/>
  <c r="C101" i="18"/>
  <c r="AA100" i="18"/>
  <c r="Z100" i="18"/>
  <c r="C100" i="18"/>
  <c r="AA99" i="18"/>
  <c r="Z99" i="18"/>
  <c r="C99" i="18"/>
  <c r="AA98" i="18"/>
  <c r="Z98" i="18"/>
  <c r="C98" i="18"/>
  <c r="AA97" i="18"/>
  <c r="Z97" i="18"/>
  <c r="C97" i="18"/>
  <c r="AA96" i="18"/>
  <c r="Z96" i="18"/>
  <c r="C96" i="18"/>
  <c r="AA95" i="18"/>
  <c r="Z95" i="18"/>
  <c r="C95" i="18"/>
  <c r="AA94" i="18"/>
  <c r="Z94" i="18"/>
  <c r="C94" i="18"/>
  <c r="AA93" i="18"/>
  <c r="Z93" i="18"/>
  <c r="C93" i="18"/>
  <c r="AA92" i="18"/>
  <c r="Z92" i="18"/>
  <c r="C92" i="18"/>
  <c r="AA91" i="18"/>
  <c r="Z91" i="18"/>
  <c r="C91" i="18"/>
  <c r="AA90" i="18"/>
  <c r="Z90" i="18"/>
  <c r="C90" i="18"/>
  <c r="AA89" i="18"/>
  <c r="Z89" i="18"/>
  <c r="C89" i="18"/>
  <c r="AA88" i="18"/>
  <c r="Z88" i="18"/>
  <c r="C88" i="18"/>
  <c r="AA87" i="18"/>
  <c r="Z87" i="18"/>
  <c r="C87" i="18"/>
  <c r="AA86" i="18"/>
  <c r="Z86" i="18"/>
  <c r="C86" i="18"/>
  <c r="AA85" i="18"/>
  <c r="Z85" i="18"/>
  <c r="C85" i="18"/>
  <c r="AA84" i="18"/>
  <c r="Z84" i="18"/>
  <c r="C84" i="18"/>
  <c r="AA83" i="18"/>
  <c r="Z83" i="18"/>
  <c r="C83" i="18"/>
  <c r="AA82" i="18"/>
  <c r="Z82" i="18"/>
  <c r="C82" i="18"/>
  <c r="AA81" i="18"/>
  <c r="Z81" i="18"/>
  <c r="C81" i="18"/>
  <c r="AA80" i="18"/>
  <c r="Z80" i="18"/>
  <c r="C80" i="18"/>
  <c r="AA79" i="18"/>
  <c r="Z79" i="18"/>
  <c r="C79" i="18"/>
  <c r="AA78" i="18"/>
  <c r="Z78" i="18"/>
  <c r="C78" i="18"/>
  <c r="AA77" i="18"/>
  <c r="Z77" i="18"/>
  <c r="C77" i="18"/>
  <c r="AA76" i="18"/>
  <c r="Z76" i="18"/>
  <c r="C76" i="18"/>
  <c r="AA75" i="18"/>
  <c r="Z75" i="18"/>
  <c r="C75" i="18"/>
  <c r="AA74" i="18"/>
  <c r="Z74" i="18"/>
  <c r="C74" i="18"/>
  <c r="AA73" i="18"/>
  <c r="Z73" i="18"/>
  <c r="C73" i="18"/>
  <c r="AA72" i="18"/>
  <c r="Z72" i="18"/>
  <c r="C72" i="18"/>
  <c r="AA71" i="18"/>
  <c r="Z71" i="18"/>
  <c r="C71" i="18"/>
  <c r="AA70" i="18"/>
  <c r="Z70" i="18"/>
  <c r="C70" i="18"/>
  <c r="AA69" i="18"/>
  <c r="Z69" i="18"/>
  <c r="C69" i="18"/>
  <c r="AA68" i="18"/>
  <c r="Z68" i="18"/>
  <c r="C68" i="18"/>
  <c r="AA67" i="18"/>
  <c r="Z67" i="18"/>
  <c r="C67" i="18"/>
  <c r="AA66" i="18"/>
  <c r="Z66" i="18"/>
  <c r="C66" i="18"/>
  <c r="AA65" i="18"/>
  <c r="Z65" i="18"/>
  <c r="C65" i="18"/>
  <c r="AA64" i="18"/>
  <c r="Z64" i="18"/>
  <c r="C64" i="18"/>
  <c r="AA63" i="18"/>
  <c r="Z63" i="18"/>
  <c r="C63" i="18"/>
  <c r="AA62" i="18"/>
  <c r="Z62" i="18"/>
  <c r="C62" i="18"/>
  <c r="AA61" i="18"/>
  <c r="Z61" i="18"/>
  <c r="C61" i="18"/>
  <c r="AA60" i="18"/>
  <c r="Z60" i="18"/>
  <c r="C60" i="18"/>
  <c r="AA59" i="18"/>
  <c r="Z59" i="18"/>
  <c r="C59" i="18"/>
  <c r="AA58" i="18"/>
  <c r="Z58" i="18"/>
  <c r="C58" i="18"/>
  <c r="AA57" i="18"/>
  <c r="Z57" i="18"/>
  <c r="C57" i="18"/>
  <c r="AA56" i="18"/>
  <c r="Z56" i="18"/>
  <c r="C56" i="18"/>
  <c r="AA55" i="18"/>
  <c r="Z55" i="18"/>
  <c r="C55" i="18"/>
  <c r="AA54" i="18"/>
  <c r="Z54" i="18"/>
  <c r="C54" i="18"/>
  <c r="AA53" i="18"/>
  <c r="Z53" i="18"/>
  <c r="C53" i="18"/>
  <c r="AA52" i="18"/>
  <c r="Z52" i="18"/>
  <c r="C52" i="18"/>
  <c r="AA51" i="18"/>
  <c r="Z51" i="18"/>
  <c r="C51" i="18"/>
  <c r="AA50" i="18"/>
  <c r="Z50" i="18"/>
  <c r="C50" i="18"/>
  <c r="AA49" i="18"/>
  <c r="Z49" i="18"/>
  <c r="C49" i="18"/>
  <c r="AA48" i="18"/>
  <c r="Z48" i="18"/>
  <c r="C48" i="18"/>
  <c r="AA47" i="18"/>
  <c r="Z47" i="18"/>
  <c r="C47" i="18"/>
  <c r="AA46" i="18"/>
  <c r="Z46" i="18"/>
  <c r="C46" i="18"/>
  <c r="AA45" i="18"/>
  <c r="Z45" i="18"/>
  <c r="C45" i="18"/>
  <c r="AA44" i="18"/>
  <c r="Z44" i="18"/>
  <c r="C44" i="18"/>
  <c r="AA43" i="18"/>
  <c r="Z43" i="18"/>
  <c r="C43" i="18"/>
  <c r="AA42" i="18"/>
  <c r="Z42" i="18"/>
  <c r="C42" i="18"/>
  <c r="AA41" i="18"/>
  <c r="Z41" i="18"/>
  <c r="C41" i="18"/>
  <c r="AA40" i="18"/>
  <c r="Z40" i="18"/>
  <c r="C40" i="18"/>
  <c r="AA39" i="18"/>
  <c r="Z39" i="18"/>
  <c r="C39" i="18"/>
  <c r="AA38" i="18"/>
  <c r="Z38" i="18"/>
  <c r="C38" i="18"/>
  <c r="AA37" i="18"/>
  <c r="Z37" i="18"/>
  <c r="C37" i="18"/>
  <c r="AA36" i="18"/>
  <c r="Z36" i="18"/>
  <c r="C36" i="18"/>
  <c r="AA35" i="18"/>
  <c r="Z35" i="18"/>
  <c r="C35" i="18"/>
  <c r="AA34" i="18"/>
  <c r="Z34" i="18"/>
  <c r="C34" i="18"/>
  <c r="AA33" i="18"/>
  <c r="Z33" i="18"/>
  <c r="C33" i="18"/>
  <c r="AA32" i="18"/>
  <c r="Z32" i="18"/>
  <c r="C32" i="18"/>
  <c r="AA31" i="18"/>
  <c r="Z31" i="18"/>
  <c r="C31" i="18"/>
  <c r="AA30" i="18"/>
  <c r="Z30" i="18"/>
  <c r="C30" i="18"/>
  <c r="AA29" i="18"/>
  <c r="Z29" i="18"/>
  <c r="C29" i="18"/>
  <c r="AA28" i="18"/>
  <c r="Z28" i="18"/>
  <c r="C28" i="18"/>
  <c r="AA27" i="18"/>
  <c r="Z27" i="18"/>
  <c r="C27" i="18"/>
  <c r="AA26" i="18"/>
  <c r="Z26" i="18"/>
  <c r="C26" i="18"/>
  <c r="AA25" i="18"/>
  <c r="Z25" i="18"/>
  <c r="C25" i="18"/>
  <c r="AA24" i="18"/>
  <c r="Z24" i="18"/>
  <c r="C24" i="18"/>
  <c r="AA23" i="18"/>
  <c r="Z23" i="18"/>
  <c r="C23" i="18"/>
  <c r="AA22" i="18"/>
  <c r="Z22" i="18"/>
  <c r="C22" i="18"/>
  <c r="AA21" i="18"/>
  <c r="Z21" i="18"/>
  <c r="C21" i="18"/>
  <c r="AA20" i="18"/>
  <c r="Z20" i="18"/>
  <c r="C20" i="18"/>
  <c r="AA19" i="18"/>
  <c r="Z19" i="18"/>
  <c r="C19" i="18"/>
  <c r="AA18" i="18"/>
  <c r="Z18" i="18"/>
  <c r="C18" i="18"/>
  <c r="AA17" i="18"/>
  <c r="Z17" i="18"/>
  <c r="C17" i="18"/>
  <c r="AA16" i="18"/>
  <c r="Z16" i="18"/>
  <c r="C16" i="18"/>
  <c r="AA15" i="18"/>
  <c r="Z15" i="18"/>
  <c r="C15" i="18"/>
  <c r="AA14" i="18"/>
  <c r="Z14" i="18"/>
  <c r="C14" i="18"/>
  <c r="AA13" i="18"/>
  <c r="Z13" i="18"/>
  <c r="C13" i="18"/>
  <c r="AA12" i="18"/>
  <c r="Z12" i="18"/>
  <c r="C12" i="18"/>
  <c r="AA11" i="18"/>
  <c r="Z11" i="18"/>
  <c r="C11" i="18"/>
  <c r="AA10" i="18"/>
  <c r="Z10" i="18"/>
  <c r="C10" i="18"/>
  <c r="AA9" i="18"/>
  <c r="Z9" i="18"/>
  <c r="C9" i="18"/>
  <c r="AA8" i="18"/>
  <c r="Z8" i="18"/>
  <c r="C8" i="18"/>
  <c r="AA7" i="18"/>
  <c r="Z7" i="18"/>
  <c r="C7" i="18"/>
  <c r="AA6" i="18"/>
  <c r="Z6" i="18"/>
  <c r="C6" i="18"/>
  <c r="AA5" i="18"/>
  <c r="Z5" i="18"/>
  <c r="C5" i="18"/>
  <c r="AA4" i="18"/>
  <c r="Z4" i="18"/>
  <c r="C4" i="18"/>
  <c r="AA3" i="18"/>
  <c r="Z3" i="18"/>
  <c r="C3" i="18"/>
  <c r="Z201" i="18" l="1"/>
  <c r="G34" i="1" l="1"/>
  <c r="G40" i="1"/>
  <c r="R196" i="7" l="1"/>
  <c r="W194" i="7" l="1"/>
  <c r="H3" i="7" l="1"/>
  <c r="I3" i="7" l="1"/>
  <c r="M3" i="5"/>
  <c r="G8" i="4"/>
  <c r="E3" i="5"/>
  <c r="H3" i="6"/>
  <c r="L3" i="5"/>
  <c r="I3" i="6"/>
  <c r="F3" i="5"/>
  <c r="C1" i="15" l="1"/>
  <c r="U72" i="1" l="1"/>
  <c r="N4" i="10" l="1"/>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3" i="10"/>
  <c r="T68" i="1"/>
  <c r="T67" i="1"/>
  <c r="R175" i="7"/>
  <c r="Z83" i="1" l="1"/>
  <c r="Z80" i="1"/>
  <c r="Y85" i="1"/>
  <c r="B75" i="17" s="1"/>
  <c r="Y82" i="1"/>
  <c r="B72" i="17" s="1"/>
  <c r="AE85" i="1"/>
  <c r="E75" i="17" s="1"/>
  <c r="AC77" i="1"/>
  <c r="F67" i="17" s="1"/>
  <c r="Y77" i="1"/>
  <c r="B67" i="17" s="1"/>
  <c r="AA76" i="1"/>
  <c r="D66" i="17" s="1"/>
  <c r="AC70" i="1"/>
  <c r="F60" i="17" s="1"/>
  <c r="I60" i="17" s="1"/>
  <c r="Y70" i="1"/>
  <c r="B60" i="17" s="1"/>
  <c r="AE68" i="1"/>
  <c r="H58" i="17" s="1"/>
  <c r="AC66" i="1"/>
  <c r="F56" i="17" s="1"/>
  <c r="I56" i="17" s="1"/>
  <c r="Y66" i="1"/>
  <c r="H54" i="17"/>
  <c r="AE59" i="1"/>
  <c r="H49" i="17" s="1"/>
  <c r="AC57" i="1"/>
  <c r="F47" i="17" s="1"/>
  <c r="AE55" i="1"/>
  <c r="H45" i="17" s="1"/>
  <c r="AC53" i="1"/>
  <c r="F43" i="17" s="1"/>
  <c r="Y53" i="1"/>
  <c r="Y52" i="1"/>
  <c r="AC48" i="1"/>
  <c r="Y48" i="1"/>
  <c r="B38" i="17" s="1"/>
  <c r="AE46" i="1"/>
  <c r="H36" i="17" s="1"/>
  <c r="AE31" i="1"/>
  <c r="H21" i="17" s="1"/>
  <c r="AA31" i="1"/>
  <c r="D21" i="17" s="1"/>
  <c r="AE30" i="1"/>
  <c r="H20" i="17" s="1"/>
  <c r="AA30" i="1"/>
  <c r="D20" i="17" s="1"/>
  <c r="AE28" i="1"/>
  <c r="H18" i="17" s="1"/>
  <c r="AE27" i="1"/>
  <c r="H17" i="17" s="1"/>
  <c r="AA27" i="1"/>
  <c r="D17" i="17" s="1"/>
  <c r="AE26" i="1"/>
  <c r="H16" i="17" s="1"/>
  <c r="AA26" i="1"/>
  <c r="D16" i="17" s="1"/>
  <c r="Y76" i="1"/>
  <c r="B66" i="17" s="1"/>
  <c r="AE57" i="1"/>
  <c r="H47" i="17" s="1"/>
  <c r="AA48" i="1"/>
  <c r="D38" i="17" s="1"/>
  <c r="AC31" i="1"/>
  <c r="F21" i="17" s="1"/>
  <c r="AC27" i="1"/>
  <c r="F17" i="17" s="1"/>
  <c r="AC26" i="1"/>
  <c r="F16" i="17" s="1"/>
  <c r="AC71" i="1"/>
  <c r="F61" i="17" s="1"/>
  <c r="I61" i="17" s="1"/>
  <c r="AE69" i="1"/>
  <c r="H59" i="17" s="1"/>
  <c r="Y67" i="1"/>
  <c r="AE60" i="1"/>
  <c r="H50" i="17" s="1"/>
  <c r="Y54" i="1"/>
  <c r="AE82" i="1"/>
  <c r="E72" i="17" s="1"/>
  <c r="AE71" i="1"/>
  <c r="H61" i="17" s="1"/>
  <c r="AC69" i="1"/>
  <c r="F59" i="17" s="1"/>
  <c r="I59" i="17" s="1"/>
  <c r="Y69" i="1"/>
  <c r="AE67" i="1"/>
  <c r="H57" i="17" s="1"/>
  <c r="AC65" i="1"/>
  <c r="F55" i="17" s="1"/>
  <c r="I55" i="17" s="1"/>
  <c r="Y65" i="1"/>
  <c r="H53" i="17"/>
  <c r="AC60" i="1"/>
  <c r="F50" i="17" s="1"/>
  <c r="B50" i="17"/>
  <c r="AE58" i="1"/>
  <c r="H48" i="17" s="1"/>
  <c r="AC56" i="1"/>
  <c r="F46" i="17" s="1"/>
  <c r="AE54" i="1"/>
  <c r="H44" i="17" s="1"/>
  <c r="AC52" i="1"/>
  <c r="AE49" i="1"/>
  <c r="H39" i="17" s="1"/>
  <c r="AA49" i="1"/>
  <c r="D39" i="17" s="1"/>
  <c r="AC47" i="1"/>
  <c r="Y47" i="1"/>
  <c r="B37" i="17" s="1"/>
  <c r="AE45" i="1"/>
  <c r="H35" i="17" s="1"/>
  <c r="AC55" i="1"/>
  <c r="F45" i="17" s="1"/>
  <c r="AC30" i="1"/>
  <c r="F20" i="17" s="1"/>
  <c r="AC54" i="1"/>
  <c r="F44" i="17" s="1"/>
  <c r="AC49" i="1"/>
  <c r="AE47" i="1"/>
  <c r="H37" i="17" s="1"/>
  <c r="AE29" i="1"/>
  <c r="H19" i="17" s="1"/>
  <c r="AA77" i="1"/>
  <c r="D67" i="17" s="1"/>
  <c r="AC76" i="1"/>
  <c r="F66" i="17" s="1"/>
  <c r="AE70" i="1"/>
  <c r="H60" i="17" s="1"/>
  <c r="AC68" i="1"/>
  <c r="F58" i="17" s="1"/>
  <c r="I58" i="17" s="1"/>
  <c r="Y68" i="1"/>
  <c r="AE66" i="1"/>
  <c r="H56" i="17" s="1"/>
  <c r="AC59" i="1"/>
  <c r="F49" i="17" s="1"/>
  <c r="AE48" i="1"/>
  <c r="H38" i="17" s="1"/>
  <c r="Y71" i="1"/>
  <c r="B61" i="17" s="1"/>
  <c r="AC67" i="1"/>
  <c r="F57" i="17" s="1"/>
  <c r="I57" i="17" s="1"/>
  <c r="AE65" i="1"/>
  <c r="H55" i="17" s="1"/>
  <c r="AC58" i="1"/>
  <c r="F48" i="17" s="1"/>
  <c r="AE56" i="1"/>
  <c r="H46" i="17" s="1"/>
  <c r="Y49" i="1"/>
  <c r="B39" i="17" s="1"/>
  <c r="AA47" i="1"/>
  <c r="D37" i="17" s="1"/>
  <c r="E2" i="17"/>
  <c r="P26" i="1"/>
  <c r="P22" i="1"/>
  <c r="P27" i="1"/>
  <c r="P25" i="1"/>
  <c r="L114" i="1"/>
  <c r="P133" i="1" s="1"/>
  <c r="L118" i="1"/>
  <c r="P137" i="1" s="1"/>
  <c r="L122" i="1"/>
  <c r="L126" i="1"/>
  <c r="L130" i="1"/>
  <c r="L134" i="1"/>
  <c r="L111" i="1"/>
  <c r="P130" i="1" s="1"/>
  <c r="L85" i="1"/>
  <c r="P104" i="1" s="1"/>
  <c r="L89" i="1"/>
  <c r="P108" i="1" s="1"/>
  <c r="L93" i="1"/>
  <c r="P112" i="1" s="1"/>
  <c r="L97" i="1"/>
  <c r="P116" i="1" s="1"/>
  <c r="L101" i="1"/>
  <c r="L105" i="1"/>
  <c r="P124" i="1" s="1"/>
  <c r="L109" i="1"/>
  <c r="P128" i="1" s="1"/>
  <c r="P68" i="1"/>
  <c r="L53" i="1"/>
  <c r="L57" i="1"/>
  <c r="L61" i="1"/>
  <c r="L65" i="1"/>
  <c r="L69" i="1"/>
  <c r="L73" i="1"/>
  <c r="L70" i="1"/>
  <c r="L115" i="1"/>
  <c r="P134" i="1" s="1"/>
  <c r="L119" i="1"/>
  <c r="P138" i="1" s="1"/>
  <c r="L123" i="1"/>
  <c r="L127" i="1"/>
  <c r="L131" i="1"/>
  <c r="L135" i="1"/>
  <c r="L82" i="1"/>
  <c r="P101" i="1" s="1"/>
  <c r="L86" i="1"/>
  <c r="P105" i="1" s="1"/>
  <c r="L90" i="1"/>
  <c r="P109" i="1" s="1"/>
  <c r="L94" i="1"/>
  <c r="P113" i="1" s="1"/>
  <c r="L98" i="1"/>
  <c r="P117" i="1" s="1"/>
  <c r="L102" i="1"/>
  <c r="P121" i="1" s="1"/>
  <c r="L106" i="1"/>
  <c r="P125" i="1" s="1"/>
  <c r="L54" i="1"/>
  <c r="L58" i="1"/>
  <c r="L66" i="1"/>
  <c r="L112" i="1"/>
  <c r="P131" i="1" s="1"/>
  <c r="L116" i="1"/>
  <c r="P135" i="1" s="1"/>
  <c r="L120" i="1"/>
  <c r="P139" i="1" s="1"/>
  <c r="L124" i="1"/>
  <c r="L128" i="1"/>
  <c r="L132" i="1"/>
  <c r="L136" i="1"/>
  <c r="L83" i="1"/>
  <c r="P102" i="1" s="1"/>
  <c r="L87" i="1"/>
  <c r="P106" i="1" s="1"/>
  <c r="L91" i="1"/>
  <c r="P110" i="1" s="1"/>
  <c r="L95" i="1"/>
  <c r="P114" i="1" s="1"/>
  <c r="L99" i="1"/>
  <c r="P118" i="1" s="1"/>
  <c r="L107" i="1"/>
  <c r="P126" i="1" s="1"/>
  <c r="L81" i="1"/>
  <c r="P100" i="1" s="1"/>
  <c r="P70" i="1"/>
  <c r="L55" i="1"/>
  <c r="L59" i="1"/>
  <c r="L63" i="1"/>
  <c r="L67" i="1"/>
  <c r="L62" i="1"/>
  <c r="L113" i="1"/>
  <c r="P132" i="1" s="1"/>
  <c r="L117" i="1"/>
  <c r="P136" i="1" s="1"/>
  <c r="L121" i="1"/>
  <c r="L125" i="1"/>
  <c r="L129" i="1"/>
  <c r="L133" i="1"/>
  <c r="L137" i="1"/>
  <c r="L84" i="1"/>
  <c r="P103" i="1" s="1"/>
  <c r="L88" i="1"/>
  <c r="P107" i="1" s="1"/>
  <c r="L92" i="1"/>
  <c r="P111" i="1" s="1"/>
  <c r="L96" i="1"/>
  <c r="P115" i="1" s="1"/>
  <c r="L100" i="1"/>
  <c r="P119" i="1" s="1"/>
  <c r="L104" i="1"/>
  <c r="P123" i="1" s="1"/>
  <c r="L108" i="1"/>
  <c r="P127" i="1" s="1"/>
  <c r="P67" i="1"/>
  <c r="L52" i="1"/>
  <c r="L56" i="1"/>
  <c r="L60" i="1"/>
  <c r="L68" i="1"/>
  <c r="P69" i="1"/>
  <c r="L30" i="1"/>
  <c r="P55" i="1" s="1"/>
  <c r="L29" i="1"/>
  <c r="P54" i="1" s="1"/>
  <c r="L32" i="1"/>
  <c r="P57" i="1" s="1"/>
  <c r="L31" i="1"/>
  <c r="P56" i="1" s="1"/>
  <c r="L37" i="1"/>
  <c r="P62" i="1" s="1"/>
  <c r="L25" i="1"/>
  <c r="L24" i="1"/>
  <c r="L7" i="1"/>
  <c r="L35" i="1"/>
  <c r="P60" i="1" s="1"/>
  <c r="L5" i="1"/>
  <c r="L6" i="1"/>
  <c r="L38" i="1"/>
  <c r="P63" i="1" s="1"/>
  <c r="L8" i="1"/>
  <c r="L9" i="1"/>
  <c r="L80" i="1"/>
  <c r="L36" i="1"/>
  <c r="P61" i="1" s="1"/>
  <c r="P21" i="1"/>
  <c r="B1" i="15"/>
  <c r="AD6" i="1"/>
  <c r="B59" i="17" l="1"/>
  <c r="A59" i="17"/>
  <c r="D59" i="17" s="1"/>
  <c r="B55" i="17"/>
  <c r="A55" i="17"/>
  <c r="D55" i="17" s="1"/>
  <c r="B58" i="17"/>
  <c r="A58" i="17"/>
  <c r="D58" i="17" s="1"/>
  <c r="B57" i="17"/>
  <c r="A57" i="17"/>
  <c r="D57" i="17" s="1"/>
  <c r="B56" i="17"/>
  <c r="A56" i="17"/>
  <c r="D56" i="17" s="1"/>
  <c r="BE71" i="1"/>
  <c r="AB8" i="8"/>
  <c r="BE19" i="1"/>
  <c r="BE15" i="1"/>
  <c r="BE67" i="1"/>
  <c r="AB4" i="8"/>
  <c r="BE66" i="1"/>
  <c r="AB3" i="8"/>
  <c r="BE14" i="1"/>
  <c r="BE18" i="1"/>
  <c r="AB7" i="8"/>
  <c r="BE70" i="1"/>
  <c r="BE20" i="1"/>
  <c r="AB9" i="8"/>
  <c r="BE72" i="1"/>
  <c r="AB6" i="8"/>
  <c r="BE69" i="1"/>
  <c r="BE17" i="1"/>
  <c r="AB5" i="8"/>
  <c r="BE68" i="1"/>
  <c r="BE16" i="1"/>
  <c r="B43" i="17"/>
  <c r="A43" i="17"/>
  <c r="D43" i="17" s="1"/>
  <c r="F39" i="17"/>
  <c r="E39" i="17"/>
  <c r="F42" i="17"/>
  <c r="E42" i="17"/>
  <c r="A44" i="17"/>
  <c r="D44" i="17" s="1"/>
  <c r="B44" i="17"/>
  <c r="E38" i="17"/>
  <c r="F38" i="17"/>
  <c r="Y81" i="1"/>
  <c r="A46" i="17"/>
  <c r="D46" i="17" s="1"/>
  <c r="B46" i="17"/>
  <c r="A49" i="17"/>
  <c r="D49" i="17" s="1"/>
  <c r="B49" i="17"/>
  <c r="F37" i="17"/>
  <c r="E37" i="17"/>
  <c r="A48" i="17"/>
  <c r="D48" i="17" s="1"/>
  <c r="B48" i="17"/>
  <c r="B45" i="17"/>
  <c r="A45" i="17"/>
  <c r="D45" i="17" s="1"/>
  <c r="A42" i="17"/>
  <c r="D42" i="17" s="1"/>
  <c r="B42" i="17"/>
  <c r="A47" i="17"/>
  <c r="D47" i="17" s="1"/>
  <c r="B47" i="17"/>
  <c r="Y84" i="1"/>
  <c r="AF27" i="6"/>
  <c r="AA27" i="6" s="1"/>
  <c r="Z27" i="6" s="1"/>
  <c r="AD7" i="1"/>
  <c r="M4" i="10" l="1"/>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3" i="10"/>
  <c r="K62" i="8" l="1"/>
  <c r="K61" i="8"/>
  <c r="J62" i="8"/>
  <c r="J61" i="8"/>
  <c r="K12" i="8"/>
  <c r="K11" i="8"/>
  <c r="J12" i="8"/>
  <c r="J11" i="8"/>
  <c r="L175" i="7" l="1"/>
  <c r="L176" i="7"/>
  <c r="L177" i="7"/>
  <c r="L178" i="7"/>
  <c r="L179" i="7"/>
  <c r="L180" i="7"/>
  <c r="L181" i="7"/>
  <c r="L182" i="7"/>
  <c r="L183" i="7"/>
  <c r="L174" i="7"/>
  <c r="L66" i="6"/>
  <c r="AH79" i="1" s="1"/>
  <c r="L67" i="6"/>
  <c r="AH80" i="1" s="1"/>
  <c r="L65" i="6"/>
  <c r="AH78" i="1" s="1"/>
  <c r="W295" i="7"/>
  <c r="W254" i="7" l="1"/>
  <c r="X254" i="7"/>
  <c r="W251" i="7"/>
  <c r="X251" i="7"/>
  <c r="L221" i="7"/>
  <c r="L222" i="7"/>
  <c r="L223" i="7"/>
  <c r="L224" i="7"/>
  <c r="L225" i="7"/>
  <c r="L226" i="7"/>
  <c r="L227" i="7"/>
  <c r="L228" i="7"/>
  <c r="L229" i="7"/>
  <c r="L220" i="7"/>
  <c r="N67" i="6"/>
  <c r="N66" i="6"/>
  <c r="U123" i="1"/>
  <c r="X293" i="7"/>
  <c r="H110" i="1"/>
  <c r="J110" i="1"/>
  <c r="G112" i="1"/>
  <c r="G113" i="1"/>
  <c r="G114" i="1"/>
  <c r="G115" i="1"/>
  <c r="G116" i="1"/>
  <c r="G117" i="1"/>
  <c r="G118" i="1"/>
  <c r="G119" i="1"/>
  <c r="G120" i="1"/>
  <c r="G121" i="1"/>
  <c r="P140" i="1" s="1"/>
  <c r="G122" i="1"/>
  <c r="P141" i="1" s="1"/>
  <c r="G123" i="1"/>
  <c r="P142" i="1" s="1"/>
  <c r="G124" i="1"/>
  <c r="P143" i="1" s="1"/>
  <c r="G125" i="1"/>
  <c r="G126" i="1"/>
  <c r="P145" i="1" s="1"/>
  <c r="G127" i="1"/>
  <c r="P146" i="1" s="1"/>
  <c r="G128" i="1"/>
  <c r="G129" i="1"/>
  <c r="P148" i="1" s="1"/>
  <c r="G130" i="1"/>
  <c r="P149" i="1" s="1"/>
  <c r="G131" i="1"/>
  <c r="P150" i="1" s="1"/>
  <c r="G132" i="1"/>
  <c r="G133" i="1"/>
  <c r="G134" i="1"/>
  <c r="P153" i="1" s="1"/>
  <c r="G135" i="1"/>
  <c r="P154" i="1" s="1"/>
  <c r="G136" i="1"/>
  <c r="P155" i="1" s="1"/>
  <c r="G137" i="1"/>
  <c r="H111" i="1"/>
  <c r="I11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81" i="1"/>
  <c r="H81" i="1"/>
  <c r="J81" i="1"/>
  <c r="H82" i="1"/>
  <c r="J82" i="1"/>
  <c r="H83" i="1"/>
  <c r="J83" i="1"/>
  <c r="H84" i="1"/>
  <c r="J84" i="1"/>
  <c r="H85" i="1"/>
  <c r="J85" i="1"/>
  <c r="H86" i="1"/>
  <c r="J86" i="1"/>
  <c r="H87" i="1"/>
  <c r="J87" i="1"/>
  <c r="H88" i="1"/>
  <c r="J88" i="1"/>
  <c r="H89" i="1"/>
  <c r="J89" i="1"/>
  <c r="H90" i="1"/>
  <c r="J90" i="1"/>
  <c r="H91" i="1"/>
  <c r="J91" i="1"/>
  <c r="H92" i="1"/>
  <c r="J92" i="1"/>
  <c r="H93" i="1"/>
  <c r="J93" i="1"/>
  <c r="H94" i="1"/>
  <c r="J94" i="1"/>
  <c r="H95" i="1"/>
  <c r="J95" i="1"/>
  <c r="H96" i="1"/>
  <c r="J96" i="1"/>
  <c r="H97" i="1"/>
  <c r="J97" i="1"/>
  <c r="H98" i="1"/>
  <c r="J98" i="1"/>
  <c r="H99" i="1"/>
  <c r="J99" i="1"/>
  <c r="H100" i="1"/>
  <c r="J100" i="1"/>
  <c r="H101" i="1"/>
  <c r="J101" i="1"/>
  <c r="H102" i="1"/>
  <c r="J102" i="1"/>
  <c r="H103" i="1"/>
  <c r="J103" i="1"/>
  <c r="H104" i="1"/>
  <c r="J104" i="1"/>
  <c r="H105" i="1"/>
  <c r="J105" i="1"/>
  <c r="H106" i="1"/>
  <c r="J106" i="1"/>
  <c r="H107" i="1"/>
  <c r="J107" i="1"/>
  <c r="H108" i="1"/>
  <c r="J108" i="1"/>
  <c r="H109" i="1"/>
  <c r="J109" i="1"/>
  <c r="G111"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P90" i="1" s="1"/>
  <c r="G72" i="1"/>
  <c r="G73" i="1"/>
  <c r="P92" i="1" s="1"/>
  <c r="G74" i="1"/>
  <c r="G75" i="1"/>
  <c r="P94" i="1" s="1"/>
  <c r="G76" i="1"/>
  <c r="G77" i="1"/>
  <c r="G78" i="1"/>
  <c r="P97" i="1" s="1"/>
  <c r="G79" i="1"/>
  <c r="G80" i="1"/>
  <c r="G42" i="1"/>
  <c r="G36" i="1"/>
  <c r="G37" i="1"/>
  <c r="G38" i="1"/>
  <c r="G39" i="1"/>
  <c r="G35" i="1"/>
  <c r="G30" i="1"/>
  <c r="G31" i="1"/>
  <c r="G32" i="1"/>
  <c r="G33" i="1"/>
  <c r="G29" i="1"/>
  <c r="G4" i="1"/>
  <c r="G5" i="1"/>
  <c r="G6" i="1"/>
  <c r="G7" i="1"/>
  <c r="G8" i="1"/>
  <c r="G9" i="1"/>
  <c r="G14" i="1"/>
  <c r="G15" i="1"/>
  <c r="G16" i="1"/>
  <c r="G17" i="1"/>
  <c r="G18" i="1"/>
  <c r="G19" i="1"/>
  <c r="G20" i="1"/>
  <c r="G21" i="1"/>
  <c r="G22" i="1"/>
  <c r="G23" i="1"/>
  <c r="G24" i="1"/>
  <c r="G25" i="1"/>
  <c r="G26" i="1"/>
  <c r="P51" i="1" s="1"/>
  <c r="G27" i="1"/>
  <c r="P52" i="1" s="1"/>
  <c r="G28" i="1"/>
  <c r="G3" i="1"/>
  <c r="P159" i="7"/>
  <c r="O159" i="7" s="1"/>
  <c r="P160" i="7"/>
  <c r="O160" i="7" s="1"/>
  <c r="P155" i="7"/>
  <c r="O155" i="7" s="1"/>
  <c r="P240" i="7"/>
  <c r="O240" i="7" s="1"/>
  <c r="P241" i="7"/>
  <c r="O241" i="7" s="1"/>
  <c r="P239" i="7"/>
  <c r="O239" i="7" s="1"/>
  <c r="L208" i="7"/>
  <c r="L209" i="7"/>
  <c r="L210" i="7"/>
  <c r="L211" i="7"/>
  <c r="L212" i="7"/>
  <c r="L213" i="7"/>
  <c r="L214" i="7"/>
  <c r="L215" i="7"/>
  <c r="L216" i="7"/>
  <c r="L207" i="7"/>
  <c r="R146" i="7"/>
  <c r="R145" i="7"/>
  <c r="R144" i="7"/>
  <c r="R143" i="7"/>
  <c r="R142" i="7"/>
  <c r="R141" i="7"/>
  <c r="R140" i="7"/>
  <c r="R207" i="7"/>
  <c r="R208" i="7"/>
  <c r="R209" i="7"/>
  <c r="R210" i="7"/>
  <c r="R211" i="7"/>
  <c r="R212" i="7"/>
  <c r="R216" i="7"/>
  <c r="R215" i="7"/>
  <c r="R214" i="7"/>
  <c r="R213" i="7"/>
  <c r="R280" i="7"/>
  <c r="R281" i="7"/>
  <c r="R282" i="7"/>
  <c r="R283" i="7"/>
  <c r="R284" i="7"/>
  <c r="R285" i="7"/>
  <c r="R279" i="7"/>
  <c r="R287" i="7"/>
  <c r="R286" i="7"/>
  <c r="N279" i="7"/>
  <c r="N280" i="7"/>
  <c r="N282" i="7"/>
  <c r="N283" i="7"/>
  <c r="N284" i="7"/>
  <c r="N285" i="7"/>
  <c r="N286" i="7"/>
  <c r="N287" i="7"/>
  <c r="L279" i="7"/>
  <c r="AH67" i="1" s="1"/>
  <c r="L280" i="7"/>
  <c r="AH68" i="1" s="1"/>
  <c r="L281" i="7"/>
  <c r="AH69" i="1" s="1"/>
  <c r="L282" i="7"/>
  <c r="AH70" i="1" s="1"/>
  <c r="L283" i="7"/>
  <c r="AH71" i="1" s="1"/>
  <c r="L284" i="7"/>
  <c r="AH72" i="1" s="1"/>
  <c r="L285" i="7"/>
  <c r="AH73" i="1" s="1"/>
  <c r="L286" i="7"/>
  <c r="AH74" i="1" s="1"/>
  <c r="L287" i="7"/>
  <c r="AH75" i="1" s="1"/>
  <c r="L278" i="7"/>
  <c r="AH66" i="1" s="1"/>
  <c r="Y101" i="1" l="1"/>
  <c r="Y102" i="1"/>
  <c r="H194" i="7"/>
  <c r="G138" i="1"/>
  <c r="V284" i="7"/>
  <c r="V280" i="7"/>
  <c r="V285" i="7"/>
  <c r="V287" i="7"/>
  <c r="V283" i="7"/>
  <c r="V279" i="7"/>
  <c r="V286" i="7"/>
  <c r="V282" i="7"/>
  <c r="R248" i="7" l="1"/>
  <c r="R247" i="7"/>
  <c r="R246" i="7"/>
  <c r="R245" i="7"/>
  <c r="R244" i="7"/>
  <c r="R243" i="7"/>
  <c r="R242" i="7"/>
  <c r="L240" i="7"/>
  <c r="AH56" i="1" s="1"/>
  <c r="L241" i="7"/>
  <c r="AH57" i="1" s="1"/>
  <c r="L242" i="7"/>
  <c r="AH58" i="1" s="1"/>
  <c r="L243" i="7"/>
  <c r="AH59" i="1" s="1"/>
  <c r="L244" i="7"/>
  <c r="AH60" i="1" s="1"/>
  <c r="L245" i="7"/>
  <c r="L246" i="7"/>
  <c r="L247" i="7"/>
  <c r="L248" i="7"/>
  <c r="L239" i="7"/>
  <c r="AH55" i="1" s="1"/>
  <c r="N164" i="7"/>
  <c r="R164" i="7"/>
  <c r="L156" i="7"/>
  <c r="AH45" i="1" s="1"/>
  <c r="L157" i="7"/>
  <c r="AH46" i="1" s="1"/>
  <c r="L158" i="7"/>
  <c r="AH47" i="1" s="1"/>
  <c r="L159" i="7"/>
  <c r="AH48" i="1" s="1"/>
  <c r="L160" i="7"/>
  <c r="AH49" i="1" s="1"/>
  <c r="L161" i="7"/>
  <c r="AH50" i="1" s="1"/>
  <c r="L163" i="7"/>
  <c r="AH52" i="1" s="1"/>
  <c r="L164" i="7"/>
  <c r="AH53" i="1" s="1"/>
  <c r="U129" i="1"/>
  <c r="R156" i="7"/>
  <c r="R155" i="7"/>
  <c r="N156" i="7"/>
  <c r="N157" i="7"/>
  <c r="N158" i="7"/>
  <c r="N159" i="7"/>
  <c r="N160" i="7"/>
  <c r="N161" i="7"/>
  <c r="N162" i="7"/>
  <c r="N163" i="7"/>
  <c r="L155" i="7"/>
  <c r="AH44" i="1" s="1"/>
  <c r="N142" i="7"/>
  <c r="N143" i="7"/>
  <c r="N144" i="7"/>
  <c r="N145" i="7"/>
  <c r="N146" i="7"/>
  <c r="L141" i="7"/>
  <c r="L142" i="7"/>
  <c r="L143" i="7"/>
  <c r="L144" i="7"/>
  <c r="L145" i="7"/>
  <c r="L146" i="7"/>
  <c r="L140" i="7"/>
  <c r="R241" i="7" l="1"/>
  <c r="R239" i="7"/>
  <c r="R157" i="7"/>
  <c r="R240" i="7"/>
  <c r="O26" i="1"/>
  <c r="O25" i="1"/>
  <c r="L22" i="1" l="1"/>
  <c r="P47" i="1" s="1"/>
  <c r="P4" i="1"/>
  <c r="AE20" i="1"/>
  <c r="L23" i="1"/>
  <c r="P48" i="1" s="1"/>
  <c r="AE21" i="1"/>
  <c r="L39" i="1"/>
  <c r="P64" i="1" s="1"/>
  <c r="L33" i="1"/>
  <c r="P58" i="1" s="1"/>
  <c r="P29" i="1"/>
  <c r="P147" i="1" l="1"/>
  <c r="P151" i="1"/>
  <c r="P12" i="1"/>
  <c r="AE22" i="1"/>
  <c r="L132" i="7"/>
  <c r="L133" i="7"/>
  <c r="L134" i="7"/>
  <c r="L135" i="7"/>
  <c r="L136" i="7"/>
  <c r="L131" i="7"/>
  <c r="L125" i="7"/>
  <c r="L126" i="7"/>
  <c r="L127" i="7"/>
  <c r="L128" i="7"/>
  <c r="L129" i="7"/>
  <c r="L124" i="7"/>
  <c r="L119" i="7"/>
  <c r="R119" i="7"/>
  <c r="L114" i="7"/>
  <c r="L115" i="7"/>
  <c r="L116" i="7"/>
  <c r="L117" i="7"/>
  <c r="L118" i="7"/>
  <c r="L113" i="7"/>
  <c r="L194" i="7"/>
  <c r="L11" i="7"/>
  <c r="K11" i="7" s="1"/>
  <c r="H11" i="7" s="1"/>
  <c r="P68" i="7"/>
  <c r="O68" i="7" s="1"/>
  <c r="P67" i="7"/>
  <c r="O67" i="7" s="1"/>
  <c r="P66" i="7"/>
  <c r="O66" i="7" s="1"/>
  <c r="P65" i="7"/>
  <c r="O65" i="7" s="1"/>
  <c r="P64" i="7"/>
  <c r="O64" i="7" s="1"/>
  <c r="P60" i="7"/>
  <c r="O60" i="7" s="1"/>
  <c r="P59" i="7"/>
  <c r="O59" i="7" s="1"/>
  <c r="H112" i="1"/>
  <c r="I112" i="1"/>
  <c r="H113" i="1"/>
  <c r="I113" i="1"/>
  <c r="H114" i="1"/>
  <c r="I114" i="1"/>
  <c r="H115" i="1"/>
  <c r="I115" i="1"/>
  <c r="H116" i="1"/>
  <c r="I116" i="1"/>
  <c r="H117" i="1"/>
  <c r="I117" i="1"/>
  <c r="H118" i="1"/>
  <c r="I118" i="1"/>
  <c r="H119" i="1"/>
  <c r="I119" i="1"/>
  <c r="H120" i="1"/>
  <c r="I120" i="1"/>
  <c r="H121" i="1"/>
  <c r="I121" i="1"/>
  <c r="H122" i="1"/>
  <c r="I122" i="1"/>
  <c r="H123" i="1"/>
  <c r="I123" i="1"/>
  <c r="H124" i="1"/>
  <c r="I124" i="1"/>
  <c r="H125" i="1"/>
  <c r="I125" i="1"/>
  <c r="H126" i="1"/>
  <c r="I126" i="1"/>
  <c r="H127" i="1"/>
  <c r="I127" i="1"/>
  <c r="H128" i="1"/>
  <c r="I128" i="1"/>
  <c r="H129" i="1"/>
  <c r="I129" i="1"/>
  <c r="H130" i="1"/>
  <c r="I130" i="1"/>
  <c r="H131" i="1"/>
  <c r="I131" i="1"/>
  <c r="H132" i="1"/>
  <c r="I132" i="1"/>
  <c r="H133" i="1"/>
  <c r="I133" i="1"/>
  <c r="H134" i="1"/>
  <c r="I134" i="1"/>
  <c r="H135" i="1"/>
  <c r="I135" i="1"/>
  <c r="H136" i="1"/>
  <c r="I136" i="1"/>
  <c r="H137" i="1"/>
  <c r="I137"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K5" i="6"/>
  <c r="H5" i="6" s="1"/>
  <c r="K27" i="6"/>
  <c r="H27" i="6" s="1"/>
  <c r="K30" i="6"/>
  <c r="H30" i="6" s="1"/>
  <c r="K33" i="6"/>
  <c r="H33" i="6" s="1"/>
  <c r="K36" i="6"/>
  <c r="H36" i="6" s="1"/>
  <c r="K40" i="6"/>
  <c r="H40" i="6" s="1"/>
  <c r="K44" i="6"/>
  <c r="H44" i="6" s="1"/>
  <c r="K48" i="6"/>
  <c r="H48" i="6" s="1"/>
  <c r="K52" i="6"/>
  <c r="K56" i="6"/>
  <c r="H56" i="6" s="1"/>
  <c r="K60" i="6"/>
  <c r="K64" i="6"/>
  <c r="H64" i="6" s="1"/>
  <c r="K72" i="6"/>
  <c r="K76" i="6"/>
  <c r="H76" i="6" s="1"/>
  <c r="K80" i="6"/>
  <c r="K85" i="6"/>
  <c r="H85" i="6" s="1"/>
  <c r="K88" i="6"/>
  <c r="H88" i="6" s="1"/>
  <c r="K92" i="6"/>
  <c r="H92" i="6" s="1"/>
  <c r="K114" i="6"/>
  <c r="H114" i="6" s="1"/>
  <c r="K117" i="6"/>
  <c r="H117" i="6" s="1"/>
  <c r="K120" i="6"/>
  <c r="H120" i="6" s="1"/>
  <c r="K124" i="6"/>
  <c r="H124" i="6" s="1"/>
  <c r="K127" i="6"/>
  <c r="H127" i="6" s="1"/>
  <c r="K131" i="6"/>
  <c r="H131" i="6" s="1"/>
  <c r="K134" i="6"/>
  <c r="H134" i="6" s="1"/>
  <c r="K137" i="6"/>
  <c r="H137" i="6" s="1"/>
  <c r="K140" i="6"/>
  <c r="H140" i="6" s="1"/>
  <c r="K144" i="6"/>
  <c r="H144" i="6" s="1"/>
  <c r="K147" i="6"/>
  <c r="H147" i="6" s="1"/>
  <c r="K150" i="6"/>
  <c r="H150" i="6" s="1"/>
  <c r="K153" i="6"/>
  <c r="H153" i="6" s="1"/>
  <c r="K156" i="6"/>
  <c r="H156" i="6" s="1"/>
  <c r="K160" i="6"/>
  <c r="H160" i="6" s="1"/>
  <c r="K163" i="6"/>
  <c r="H163" i="6" s="1"/>
  <c r="K166" i="6"/>
  <c r="H166" i="6" s="1"/>
  <c r="K169" i="6"/>
  <c r="H169" i="6" s="1"/>
  <c r="K172" i="6"/>
  <c r="H172" i="6" s="1"/>
  <c r="K175" i="6"/>
  <c r="H175" i="6" s="1"/>
  <c r="I3" i="1"/>
  <c r="J3" i="1"/>
  <c r="J42" i="1"/>
  <c r="I42" i="1"/>
  <c r="P152" i="1" l="1"/>
  <c r="L200" i="7"/>
  <c r="L196" i="7"/>
  <c r="L12" i="7"/>
  <c r="L195" i="7"/>
  <c r="L14" i="7"/>
  <c r="L15" i="7"/>
  <c r="X265" i="7"/>
  <c r="R162" i="6" l="1"/>
  <c r="R149" i="6"/>
  <c r="W149" i="6" s="1"/>
  <c r="I4" i="1"/>
  <c r="J4" i="1"/>
  <c r="I5" i="1"/>
  <c r="J5" i="1"/>
  <c r="I6" i="1"/>
  <c r="J6" i="1"/>
  <c r="I7" i="1"/>
  <c r="J7" i="1"/>
  <c r="I8" i="1"/>
  <c r="J8" i="1"/>
  <c r="I9" i="1"/>
  <c r="J9" i="1"/>
  <c r="I10" i="1"/>
  <c r="J10" i="1"/>
  <c r="I11" i="1"/>
  <c r="J11" i="1"/>
  <c r="I12" i="1"/>
  <c r="J12" i="1"/>
  <c r="I13" i="1"/>
  <c r="J13" i="1"/>
  <c r="I14" i="1"/>
  <c r="J14" i="1"/>
  <c r="I15" i="1"/>
  <c r="J15" i="1"/>
  <c r="I16" i="1"/>
  <c r="J16" i="1"/>
  <c r="I17" i="1"/>
  <c r="J17" i="1"/>
  <c r="I18" i="1"/>
  <c r="J18" i="1"/>
  <c r="I19" i="1"/>
  <c r="J19" i="1"/>
  <c r="I20" i="1"/>
  <c r="J20" i="1"/>
  <c r="I21" i="1"/>
  <c r="J21" i="1"/>
  <c r="I22" i="1"/>
  <c r="J22" i="1"/>
  <c r="I23" i="1"/>
  <c r="J23" i="1"/>
  <c r="I24" i="1"/>
  <c r="J24" i="1"/>
  <c r="I25" i="1"/>
  <c r="J25" i="1"/>
  <c r="I26" i="1"/>
  <c r="J26" i="1"/>
  <c r="I27" i="1"/>
  <c r="J27" i="1"/>
  <c r="I28" i="1"/>
  <c r="J28" i="1"/>
  <c r="J29" i="1"/>
  <c r="J30" i="1"/>
  <c r="J31" i="1"/>
  <c r="J32" i="1"/>
  <c r="J33" i="1"/>
  <c r="J34" i="1"/>
  <c r="I35" i="1"/>
  <c r="I36" i="1"/>
  <c r="I37" i="1"/>
  <c r="I38" i="1"/>
  <c r="I39" i="1"/>
  <c r="I40" i="1"/>
  <c r="H29" i="1"/>
  <c r="H30" i="1"/>
  <c r="H31" i="1"/>
  <c r="H32" i="1"/>
  <c r="H33" i="1"/>
  <c r="H34" i="1"/>
  <c r="H35" i="1"/>
  <c r="H36" i="1"/>
  <c r="H37" i="1"/>
  <c r="H38" i="1"/>
  <c r="H39" i="1"/>
  <c r="H40" i="1"/>
  <c r="L10" i="1"/>
  <c r="L11" i="1"/>
  <c r="L12" i="1"/>
  <c r="L13" i="1"/>
  <c r="R12" i="7"/>
  <c r="L16" i="7"/>
  <c r="K16" i="7" s="1"/>
  <c r="H16" i="7" s="1"/>
  <c r="R17" i="7"/>
  <c r="L22" i="7"/>
  <c r="K22" i="7" s="1"/>
  <c r="H22" i="7" s="1"/>
  <c r="R23" i="7"/>
  <c r="L27" i="7"/>
  <c r="K27" i="7" s="1"/>
  <c r="H27" i="7" s="1"/>
  <c r="R28" i="7"/>
  <c r="L33" i="7"/>
  <c r="K33" i="7" s="1"/>
  <c r="H33" i="7" s="1"/>
  <c r="R34" i="7"/>
  <c r="L38" i="7"/>
  <c r="K38" i="7" s="1"/>
  <c r="H38" i="7" s="1"/>
  <c r="L169" i="6"/>
  <c r="L166" i="6"/>
  <c r="R170" i="6"/>
  <c r="X152" i="6"/>
  <c r="X136" i="6"/>
  <c r="G12" i="1" l="1"/>
  <c r="G10" i="1"/>
  <c r="G13" i="1"/>
  <c r="G11" i="1"/>
  <c r="L34" i="7"/>
  <c r="L37" i="7"/>
  <c r="K37" i="7" s="1"/>
  <c r="H37" i="7" s="1"/>
  <c r="L36" i="7"/>
  <c r="K36" i="7" s="1"/>
  <c r="H36" i="7" s="1"/>
  <c r="L26" i="7"/>
  <c r="K26" i="7" s="1"/>
  <c r="H26" i="7" s="1"/>
  <c r="L25" i="7"/>
  <c r="K25" i="7" s="1"/>
  <c r="H25" i="7" s="1"/>
  <c r="L42" i="7"/>
  <c r="K42" i="7" s="1"/>
  <c r="H42" i="7" s="1"/>
  <c r="L41" i="7"/>
  <c r="K41" i="7" s="1"/>
  <c r="H41" i="7" s="1"/>
  <c r="L31" i="7"/>
  <c r="K31" i="7" s="1"/>
  <c r="H31" i="7" s="1"/>
  <c r="L30" i="7"/>
  <c r="K30" i="7" s="1"/>
  <c r="H30" i="7" s="1"/>
  <c r="L20" i="7"/>
  <c r="K20" i="7" s="1"/>
  <c r="H20" i="7" s="1"/>
  <c r="L19" i="7"/>
  <c r="K19" i="7" s="1"/>
  <c r="H19" i="7" s="1"/>
  <c r="L17" i="7"/>
  <c r="K15" i="7"/>
  <c r="H15" i="7" s="1"/>
  <c r="L23" i="7"/>
  <c r="L28" i="7"/>
  <c r="K14" i="7"/>
  <c r="H14" i="7" s="1"/>
  <c r="H60" i="6" l="1"/>
  <c r="H72" i="6"/>
  <c r="H80" i="6"/>
  <c r="H52" i="6"/>
  <c r="H21" i="7"/>
  <c r="H32" i="7"/>
  <c r="H10" i="7"/>
  <c r="W91" i="6"/>
  <c r="X91" i="6"/>
  <c r="W84" i="6"/>
  <c r="X47" i="6"/>
  <c r="AH88" i="1" l="1"/>
  <c r="AH85" i="1"/>
  <c r="U155" i="1"/>
  <c r="U154" i="1"/>
  <c r="U153" i="1"/>
  <c r="R200" i="7"/>
  <c r="U150" i="1"/>
  <c r="U149" i="1"/>
  <c r="U148" i="1"/>
  <c r="U146" i="1"/>
  <c r="U145" i="1"/>
  <c r="U144" i="1"/>
  <c r="U143" i="1"/>
  <c r="U142" i="1"/>
  <c r="U141" i="1"/>
  <c r="U140" i="1"/>
  <c r="U139" i="1"/>
  <c r="U138" i="1"/>
  <c r="U137" i="1"/>
  <c r="U136" i="1"/>
  <c r="U135" i="1"/>
  <c r="U134" i="1"/>
  <c r="U133" i="1"/>
  <c r="U132" i="1"/>
  <c r="U131" i="1"/>
  <c r="U130" i="1"/>
  <c r="U128" i="1"/>
  <c r="U127" i="1"/>
  <c r="U126" i="1"/>
  <c r="U125" i="1"/>
  <c r="U124" i="1"/>
  <c r="U121" i="1"/>
  <c r="U119" i="1"/>
  <c r="U118" i="1"/>
  <c r="U117" i="1"/>
  <c r="U116" i="1"/>
  <c r="U115" i="1"/>
  <c r="U114" i="1"/>
  <c r="U113" i="1"/>
  <c r="U112" i="1"/>
  <c r="U111" i="1"/>
  <c r="U110" i="1"/>
  <c r="U109" i="1"/>
  <c r="U108" i="1"/>
  <c r="U107" i="1"/>
  <c r="U106" i="1"/>
  <c r="U105" i="1"/>
  <c r="U104" i="1"/>
  <c r="U103" i="1"/>
  <c r="U102" i="1"/>
  <c r="U101" i="1"/>
  <c r="U100" i="1"/>
  <c r="U99" i="1"/>
  <c r="U98" i="1"/>
  <c r="U94" i="1"/>
  <c r="U93" i="1"/>
  <c r="U92" i="1"/>
  <c r="U76" i="1"/>
  <c r="U75" i="1"/>
  <c r="U74" i="1"/>
  <c r="U71" i="1"/>
  <c r="U68" i="1"/>
  <c r="U67" i="1"/>
  <c r="R198" i="7" l="1"/>
  <c r="V198" i="7" s="1"/>
  <c r="R199" i="7"/>
  <c r="R197" i="7"/>
  <c r="V197" i="7" s="1"/>
  <c r="R195" i="7"/>
  <c r="N59" i="6"/>
  <c r="N58" i="6"/>
  <c r="N74" i="6"/>
  <c r="N75" i="6"/>
  <c r="T58" i="1"/>
  <c r="W148" i="6" s="1"/>
  <c r="L80" i="6"/>
  <c r="L76" i="6"/>
  <c r="L72" i="6"/>
  <c r="L64" i="6"/>
  <c r="L48" i="6"/>
  <c r="L56" i="6"/>
  <c r="L60" i="6"/>
  <c r="L52" i="6"/>
  <c r="R167" i="6"/>
  <c r="L137" i="6"/>
  <c r="L131" i="6"/>
  <c r="L163" i="6"/>
  <c r="R180" i="6"/>
  <c r="R181" i="6"/>
  <c r="Q181" i="6" s="1"/>
  <c r="R177" i="6"/>
  <c r="R178" i="6"/>
  <c r="R179" i="6"/>
  <c r="R182" i="6"/>
  <c r="Q182" i="6" s="1"/>
  <c r="N178" i="6"/>
  <c r="N179" i="6"/>
  <c r="N180" i="6"/>
  <c r="N181" i="6"/>
  <c r="N182" i="6"/>
  <c r="N177" i="6"/>
  <c r="L177" i="6"/>
  <c r="AH28" i="1" s="1"/>
  <c r="L178" i="6"/>
  <c r="AH29" i="1" s="1"/>
  <c r="L179" i="6"/>
  <c r="AH30" i="1" s="1"/>
  <c r="L180" i="6"/>
  <c r="AH31" i="1" s="1"/>
  <c r="L181" i="6"/>
  <c r="AH32" i="1" s="1"/>
  <c r="L182" i="6"/>
  <c r="AH33" i="1" s="1"/>
  <c r="L176" i="6"/>
  <c r="AH27" i="1" s="1"/>
  <c r="Q195" i="7" l="1"/>
  <c r="V178" i="6"/>
  <c r="V179" i="6"/>
  <c r="O182" i="6"/>
  <c r="V182" i="6"/>
  <c r="V181" i="6"/>
  <c r="AI32" i="1" s="1"/>
  <c r="V180" i="6"/>
  <c r="AI31" i="1" s="1"/>
  <c r="O181" i="6"/>
  <c r="Q180" i="6"/>
  <c r="U62" i="1" l="1"/>
  <c r="U63" i="1"/>
  <c r="U60" i="1"/>
  <c r="U61" i="1"/>
  <c r="U57" i="1"/>
  <c r="U55" i="1"/>
  <c r="U54" i="1"/>
  <c r="L134" i="6"/>
  <c r="R135" i="6" l="1"/>
  <c r="R77" i="6"/>
  <c r="R78" i="6" s="1"/>
  <c r="R57" i="6"/>
  <c r="R58" i="6" s="1"/>
  <c r="R49" i="6"/>
  <c r="R50" i="6" s="1"/>
  <c r="U31" i="1"/>
  <c r="T60" i="1"/>
  <c r="T61" i="1"/>
  <c r="T62" i="1"/>
  <c r="T63" i="1"/>
  <c r="N135" i="6" l="1"/>
  <c r="X135" i="6" s="1"/>
  <c r="R90" i="6"/>
  <c r="R87" i="6"/>
  <c r="AC10" i="1"/>
  <c r="T125" i="1"/>
  <c r="T121" i="1"/>
  <c r="T117" i="1"/>
  <c r="T113" i="1"/>
  <c r="T109" i="1"/>
  <c r="AA63" i="7" s="1"/>
  <c r="W69" i="7" s="1"/>
  <c r="I69" i="7" s="1"/>
  <c r="T105" i="1"/>
  <c r="AA38" i="7" s="1"/>
  <c r="T101" i="1"/>
  <c r="AA16" i="7" s="1"/>
  <c r="T148" i="1"/>
  <c r="T140" i="1"/>
  <c r="T136" i="1"/>
  <c r="AB44" i="7" s="1"/>
  <c r="T132" i="1"/>
  <c r="AB22" i="7" s="1"/>
  <c r="T128" i="1"/>
  <c r="T124" i="1"/>
  <c r="T120" i="1"/>
  <c r="T116" i="1"/>
  <c r="T112" i="1"/>
  <c r="T108" i="1"/>
  <c r="AA55" i="7" s="1"/>
  <c r="T104" i="1"/>
  <c r="AA33" i="7" s="1"/>
  <c r="T155" i="1"/>
  <c r="T147" i="1"/>
  <c r="T143" i="1"/>
  <c r="T139" i="1"/>
  <c r="AB63" i="7" s="1"/>
  <c r="T135" i="1"/>
  <c r="AB38" i="7" s="1"/>
  <c r="T131" i="1"/>
  <c r="AB16" i="7" s="1"/>
  <c r="T100" i="1"/>
  <c r="AA11" i="7" s="1"/>
  <c r="T127" i="1"/>
  <c r="T123" i="1"/>
  <c r="T119" i="1"/>
  <c r="T115" i="1"/>
  <c r="T111" i="1"/>
  <c r="T107" i="1"/>
  <c r="AA49" i="7" s="1"/>
  <c r="T103" i="1"/>
  <c r="AA27" i="7" s="1"/>
  <c r="T154" i="1"/>
  <c r="T150" i="1"/>
  <c r="T146" i="1"/>
  <c r="T142" i="1"/>
  <c r="T138" i="1"/>
  <c r="AB55" i="7" s="1"/>
  <c r="T134" i="1"/>
  <c r="AB33" i="7" s="1"/>
  <c r="T126" i="1"/>
  <c r="T118" i="1"/>
  <c r="T114" i="1"/>
  <c r="T110" i="1"/>
  <c r="T106" i="1"/>
  <c r="AA44" i="7" s="1"/>
  <c r="T102" i="1"/>
  <c r="AA22" i="7" s="1"/>
  <c r="T130" i="1"/>
  <c r="AB11" i="7" s="1"/>
  <c r="X15" i="7" s="1"/>
  <c r="I15" i="7" s="1"/>
  <c r="T153" i="1"/>
  <c r="T149" i="1"/>
  <c r="T145" i="1"/>
  <c r="T141" i="1"/>
  <c r="T137" i="1"/>
  <c r="AB49" i="7" s="1"/>
  <c r="T133" i="1"/>
  <c r="AB27" i="7" s="1"/>
  <c r="U4" i="1"/>
  <c r="Y26" i="1" s="1"/>
  <c r="F4" i="17" s="1"/>
  <c r="V31" i="1"/>
  <c r="L41" i="1"/>
  <c r="L138" i="1"/>
  <c r="P4" i="8" l="1"/>
  <c r="AQ4" i="1"/>
  <c r="Q28" i="1"/>
  <c r="X11" i="7"/>
  <c r="J111" i="1"/>
  <c r="X70" i="7"/>
  <c r="I70" i="7" s="1"/>
  <c r="X62" i="7"/>
  <c r="I62" i="7" s="1"/>
  <c r="W61" i="7"/>
  <c r="I61" i="7" s="1"/>
  <c r="X53" i="7"/>
  <c r="I53" i="7" s="1"/>
  <c r="W52" i="7"/>
  <c r="I52" i="7" s="1"/>
  <c r="X48" i="7"/>
  <c r="I48" i="7" s="1"/>
  <c r="W47" i="7"/>
  <c r="I47" i="7" s="1"/>
  <c r="W41" i="7"/>
  <c r="X42" i="7"/>
  <c r="I42" i="7" s="1"/>
  <c r="X37" i="7"/>
  <c r="I37" i="7" s="1"/>
  <c r="W36" i="7"/>
  <c r="X31" i="7"/>
  <c r="I31" i="7" s="1"/>
  <c r="W30" i="7"/>
  <c r="W25" i="7"/>
  <c r="X26" i="7"/>
  <c r="I26" i="7" s="1"/>
  <c r="X20" i="7"/>
  <c r="W19" i="7"/>
  <c r="I19" i="7" s="1"/>
  <c r="W14" i="7"/>
  <c r="W63" i="7"/>
  <c r="N62" i="6"/>
  <c r="N63" i="6"/>
  <c r="N90" i="6"/>
  <c r="N87" i="6"/>
  <c r="L90" i="6"/>
  <c r="AH90" i="1" s="1"/>
  <c r="L87" i="6"/>
  <c r="AH87" i="1" s="1"/>
  <c r="L82" i="6"/>
  <c r="N82" i="6"/>
  <c r="L83" i="6"/>
  <c r="N83" i="6"/>
  <c r="L78" i="6"/>
  <c r="N78" i="6"/>
  <c r="L79" i="6"/>
  <c r="N79" i="6"/>
  <c r="R79" i="6"/>
  <c r="L74" i="6"/>
  <c r="L75" i="6"/>
  <c r="R59" i="6"/>
  <c r="W59" i="6" s="1"/>
  <c r="N54" i="6"/>
  <c r="N55" i="6"/>
  <c r="R51" i="6"/>
  <c r="N50" i="6"/>
  <c r="N51" i="6"/>
  <c r="L62" i="6"/>
  <c r="L63" i="6"/>
  <c r="L58" i="6"/>
  <c r="L59" i="6"/>
  <c r="L50" i="6"/>
  <c r="L51" i="6"/>
  <c r="L54" i="6"/>
  <c r="L55" i="6"/>
  <c r="R83" i="6"/>
  <c r="R75" i="6"/>
  <c r="V75" i="6" s="1"/>
  <c r="R63" i="6"/>
  <c r="R55" i="6"/>
  <c r="K111" i="1" l="1"/>
  <c r="N111" i="1" s="1"/>
  <c r="I85" i="1"/>
  <c r="I36" i="7"/>
  <c r="J36" i="7" s="1"/>
  <c r="I84" i="1"/>
  <c r="I30" i="7"/>
  <c r="J30" i="7" s="1"/>
  <c r="I81" i="1"/>
  <c r="I14" i="7"/>
  <c r="J14" i="7" s="1"/>
  <c r="I20" i="7"/>
  <c r="J20" i="7" s="1"/>
  <c r="I86" i="1"/>
  <c r="I41" i="7"/>
  <c r="J41" i="7" s="1"/>
  <c r="I83" i="1"/>
  <c r="I25" i="7"/>
  <c r="J25" i="7" s="1"/>
  <c r="J19" i="7"/>
  <c r="I82" i="1"/>
  <c r="V55" i="6"/>
  <c r="X63" i="7"/>
  <c r="W55" i="7"/>
  <c r="W49" i="7"/>
  <c r="X49" i="7"/>
  <c r="X44" i="7"/>
  <c r="W44" i="7"/>
  <c r="W38" i="7"/>
  <c r="X38" i="7"/>
  <c r="J42" i="7"/>
  <c r="X33" i="7"/>
  <c r="J37" i="7"/>
  <c r="W33" i="7"/>
  <c r="W27" i="7"/>
  <c r="X27" i="7"/>
  <c r="J31" i="7"/>
  <c r="W22" i="7"/>
  <c r="X22" i="7"/>
  <c r="J26" i="7"/>
  <c r="X16" i="7"/>
  <c r="X10" i="7" s="1"/>
  <c r="W16" i="7"/>
  <c r="W11" i="7"/>
  <c r="X55" i="7"/>
  <c r="W79" i="6"/>
  <c r="V83" i="6"/>
  <c r="V63" i="6"/>
  <c r="W51" i="6"/>
  <c r="W78" i="6"/>
  <c r="W50" i="6"/>
  <c r="M111" i="1" l="1"/>
  <c r="A111" i="1" s="1"/>
  <c r="K86" i="1"/>
  <c r="N86" i="1" s="1"/>
  <c r="K84" i="1"/>
  <c r="N84" i="1" s="1"/>
  <c r="K83" i="1"/>
  <c r="N83" i="1" s="1"/>
  <c r="K82" i="1"/>
  <c r="N82" i="1" s="1"/>
  <c r="K81" i="1"/>
  <c r="N81" i="1" s="1"/>
  <c r="K85" i="1"/>
  <c r="N85" i="1" s="1"/>
  <c r="W21" i="7"/>
  <c r="W32" i="7"/>
  <c r="W10" i="7"/>
  <c r="U37" i="1"/>
  <c r="U38" i="1"/>
  <c r="R73" i="6" s="1"/>
  <c r="U39" i="1"/>
  <c r="R81" i="6" s="1"/>
  <c r="U40" i="1"/>
  <c r="U41" i="1"/>
  <c r="U42" i="1"/>
  <c r="U43" i="1"/>
  <c r="U44" i="1"/>
  <c r="U45" i="1"/>
  <c r="R132" i="6" s="1"/>
  <c r="U46" i="1"/>
  <c r="R138" i="6" s="1"/>
  <c r="U49" i="1"/>
  <c r="U50" i="1"/>
  <c r="U53" i="1"/>
  <c r="U32" i="1"/>
  <c r="U33" i="1"/>
  <c r="U34" i="1"/>
  <c r="U35" i="1"/>
  <c r="U36" i="1"/>
  <c r="R53" i="6" s="1"/>
  <c r="AD108" i="6"/>
  <c r="AD109" i="6"/>
  <c r="AD110" i="6"/>
  <c r="AD111" i="6"/>
  <c r="T28" i="1"/>
  <c r="AD114" i="6" s="1"/>
  <c r="AH94" i="6"/>
  <c r="AH95" i="6"/>
  <c r="AH96" i="6"/>
  <c r="AH97" i="6"/>
  <c r="AH98" i="6"/>
  <c r="AH99" i="6"/>
  <c r="AH100" i="6"/>
  <c r="AH101" i="6"/>
  <c r="AH102" i="6"/>
  <c r="AH103" i="6"/>
  <c r="AH104" i="6"/>
  <c r="AH105" i="6"/>
  <c r="AH106" i="6"/>
  <c r="AH107" i="6"/>
  <c r="AH108" i="6"/>
  <c r="AH109" i="6"/>
  <c r="AH110" i="6"/>
  <c r="AH111" i="6"/>
  <c r="AH112" i="6"/>
  <c r="AH113" i="6"/>
  <c r="AH114" i="6"/>
  <c r="AH115" i="6"/>
  <c r="AH116" i="6"/>
  <c r="AD116" i="6"/>
  <c r="AD94" i="6"/>
  <c r="AD95" i="6"/>
  <c r="AD96" i="6"/>
  <c r="AD97" i="6"/>
  <c r="AD98" i="6"/>
  <c r="AD100" i="6"/>
  <c r="AD93" i="6"/>
  <c r="AH93" i="6"/>
  <c r="AH7" i="6"/>
  <c r="AH8" i="6"/>
  <c r="AH9" i="6"/>
  <c r="AH10" i="6"/>
  <c r="AH11" i="6"/>
  <c r="AH12" i="6"/>
  <c r="AH13" i="6"/>
  <c r="AH14" i="6"/>
  <c r="AH15" i="6"/>
  <c r="AH16" i="6"/>
  <c r="AH17" i="6"/>
  <c r="AH18" i="6"/>
  <c r="AH19" i="6"/>
  <c r="AH20" i="6"/>
  <c r="AH21" i="6"/>
  <c r="AH22" i="6"/>
  <c r="AH23" i="6"/>
  <c r="AH24" i="6"/>
  <c r="AH25" i="6"/>
  <c r="AH26" i="6"/>
  <c r="AH27" i="6"/>
  <c r="T29" i="1"/>
  <c r="AD7" i="6"/>
  <c r="AD8" i="6"/>
  <c r="AD9" i="6"/>
  <c r="AD10" i="6"/>
  <c r="AD11" i="6"/>
  <c r="AD13" i="6"/>
  <c r="AD21" i="6"/>
  <c r="AD22" i="6"/>
  <c r="AD23" i="6"/>
  <c r="AD24" i="6"/>
  <c r="U28" i="1"/>
  <c r="AF114" i="6" s="1"/>
  <c r="U30" i="1"/>
  <c r="AF116" i="6" s="1"/>
  <c r="AA116" i="6" s="1"/>
  <c r="AH65" i="1"/>
  <c r="E260" i="8"/>
  <c r="F260" i="8" s="1"/>
  <c r="K260" i="8"/>
  <c r="J260" i="8"/>
  <c r="K259" i="8"/>
  <c r="J259" i="8"/>
  <c r="I258" i="8"/>
  <c r="E258" i="8"/>
  <c r="F258" i="8" s="1"/>
  <c r="K258" i="8"/>
  <c r="J258" i="8"/>
  <c r="M257" i="8"/>
  <c r="E257" i="8"/>
  <c r="F257" i="8" s="1"/>
  <c r="D257" i="8"/>
  <c r="C257" i="8" s="1"/>
  <c r="K257" i="8"/>
  <c r="J257" i="8"/>
  <c r="I256" i="8"/>
  <c r="E256" i="8"/>
  <c r="F256" i="8" s="1"/>
  <c r="K256" i="8"/>
  <c r="J256" i="8"/>
  <c r="K255" i="8"/>
  <c r="J255" i="8"/>
  <c r="D254" i="8"/>
  <c r="C254" i="8" s="1"/>
  <c r="K254" i="8"/>
  <c r="J254" i="8"/>
  <c r="E253" i="8"/>
  <c r="F253" i="8" s="1"/>
  <c r="D253" i="8"/>
  <c r="C253" i="8" s="1"/>
  <c r="K253" i="8"/>
  <c r="J253" i="8"/>
  <c r="E252" i="8"/>
  <c r="F252" i="8" s="1"/>
  <c r="K252" i="8"/>
  <c r="J252" i="8"/>
  <c r="K251" i="8"/>
  <c r="J251" i="8"/>
  <c r="D250" i="8"/>
  <c r="C250" i="8" s="1"/>
  <c r="K250" i="8"/>
  <c r="J250" i="8"/>
  <c r="M249" i="8"/>
  <c r="E249" i="8"/>
  <c r="F249" i="8" s="1"/>
  <c r="D249" i="8"/>
  <c r="C249" i="8" s="1"/>
  <c r="K249" i="8"/>
  <c r="J249" i="8"/>
  <c r="I248" i="8"/>
  <c r="E248" i="8"/>
  <c r="F248" i="8" s="1"/>
  <c r="K248" i="8"/>
  <c r="J248" i="8"/>
  <c r="M247" i="8"/>
  <c r="K247" i="8"/>
  <c r="J247" i="8"/>
  <c r="D246" i="8"/>
  <c r="C246" i="8" s="1"/>
  <c r="K246" i="8"/>
  <c r="J246" i="8"/>
  <c r="E245" i="8"/>
  <c r="F245" i="8" s="1"/>
  <c r="D245" i="8"/>
  <c r="C245" i="8" s="1"/>
  <c r="K245" i="8"/>
  <c r="J245" i="8"/>
  <c r="I244" i="8"/>
  <c r="E244" i="8"/>
  <c r="F244" i="8" s="1"/>
  <c r="D244" i="8"/>
  <c r="C244" i="8" s="1"/>
  <c r="K244" i="8"/>
  <c r="J244" i="8"/>
  <c r="K243" i="8"/>
  <c r="J243" i="8"/>
  <c r="D242" i="8"/>
  <c r="C242" i="8" s="1"/>
  <c r="K242" i="8"/>
  <c r="J242" i="8"/>
  <c r="E241" i="8"/>
  <c r="F241" i="8" s="1"/>
  <c r="D241" i="8"/>
  <c r="C241" i="8" s="1"/>
  <c r="K241" i="8"/>
  <c r="J241" i="8"/>
  <c r="I240" i="8"/>
  <c r="E240" i="8"/>
  <c r="F240" i="8" s="1"/>
  <c r="K240" i="8"/>
  <c r="J240" i="8"/>
  <c r="M239" i="8"/>
  <c r="K239" i="8"/>
  <c r="J239" i="8"/>
  <c r="D238" i="8"/>
  <c r="C238" i="8" s="1"/>
  <c r="K238" i="8"/>
  <c r="J238" i="8"/>
  <c r="E237" i="8"/>
  <c r="F237" i="8" s="1"/>
  <c r="D237" i="8"/>
  <c r="C237" i="8" s="1"/>
  <c r="K237" i="8"/>
  <c r="J237" i="8"/>
  <c r="E236" i="8"/>
  <c r="F236" i="8" s="1"/>
  <c r="D236" i="8"/>
  <c r="C236" i="8" s="1"/>
  <c r="K236" i="8"/>
  <c r="J236" i="8"/>
  <c r="K235" i="8"/>
  <c r="J235" i="8"/>
  <c r="I234" i="8"/>
  <c r="D234" i="8"/>
  <c r="C234" i="8" s="1"/>
  <c r="K234" i="8"/>
  <c r="J234" i="8"/>
  <c r="E233" i="8"/>
  <c r="F233" i="8" s="1"/>
  <c r="D233" i="8"/>
  <c r="C233" i="8" s="1"/>
  <c r="K233" i="8"/>
  <c r="J233" i="8"/>
  <c r="E232" i="8"/>
  <c r="F232" i="8" s="1"/>
  <c r="K232" i="8"/>
  <c r="J232" i="8"/>
  <c r="K231" i="8"/>
  <c r="J231" i="8"/>
  <c r="I230" i="8"/>
  <c r="D230" i="8"/>
  <c r="C230" i="8" s="1"/>
  <c r="K230" i="8"/>
  <c r="J230" i="8"/>
  <c r="I229" i="8"/>
  <c r="E229" i="8"/>
  <c r="F229" i="8" s="1"/>
  <c r="D229" i="8"/>
  <c r="C229" i="8" s="1"/>
  <c r="K229" i="8"/>
  <c r="J229" i="8"/>
  <c r="E228" i="8"/>
  <c r="F228" i="8" s="1"/>
  <c r="K228" i="8"/>
  <c r="J228" i="8"/>
  <c r="M227" i="8"/>
  <c r="D227" i="8"/>
  <c r="C227" i="8" s="1"/>
  <c r="K227" i="8"/>
  <c r="J227" i="8"/>
  <c r="K226" i="8"/>
  <c r="J226" i="8"/>
  <c r="I225" i="8"/>
  <c r="E225" i="8"/>
  <c r="F225" i="8" s="1"/>
  <c r="D225" i="8"/>
  <c r="C225" i="8" s="1"/>
  <c r="K225" i="8"/>
  <c r="J225" i="8"/>
  <c r="E224" i="8"/>
  <c r="F224" i="8" s="1"/>
  <c r="K224" i="8"/>
  <c r="J224" i="8"/>
  <c r="D223" i="8"/>
  <c r="C223" i="8" s="1"/>
  <c r="K223" i="8"/>
  <c r="J223" i="8"/>
  <c r="E222" i="8"/>
  <c r="F222" i="8" s="1"/>
  <c r="D222" i="8"/>
  <c r="C222" i="8" s="1"/>
  <c r="K222" i="8"/>
  <c r="J222" i="8"/>
  <c r="E221" i="8"/>
  <c r="F221" i="8" s="1"/>
  <c r="D221" i="8"/>
  <c r="C221" i="8" s="1"/>
  <c r="K221" i="8"/>
  <c r="J221" i="8"/>
  <c r="E220" i="8"/>
  <c r="F220" i="8" s="1"/>
  <c r="D220" i="8"/>
  <c r="C220" i="8" s="1"/>
  <c r="K220" i="8"/>
  <c r="J220" i="8"/>
  <c r="I220" i="8"/>
  <c r="M219" i="8"/>
  <c r="D219" i="8"/>
  <c r="C219" i="8" s="1"/>
  <c r="K219" i="8"/>
  <c r="J219" i="8"/>
  <c r="I218" i="8"/>
  <c r="E218" i="8"/>
  <c r="F218" i="8" s="1"/>
  <c r="D218" i="8"/>
  <c r="C218" i="8" s="1"/>
  <c r="K218" i="8"/>
  <c r="J218" i="8"/>
  <c r="M217" i="8"/>
  <c r="E217" i="8"/>
  <c r="F217" i="8" s="1"/>
  <c r="D217" i="8"/>
  <c r="C217" i="8" s="1"/>
  <c r="K217" i="8"/>
  <c r="J217" i="8"/>
  <c r="I216" i="8"/>
  <c r="D216" i="8"/>
  <c r="C216" i="8" s="1"/>
  <c r="K216" i="8"/>
  <c r="J216" i="8"/>
  <c r="M215" i="8"/>
  <c r="D215" i="8"/>
  <c r="C215" i="8" s="1"/>
  <c r="K215" i="8"/>
  <c r="J215" i="8"/>
  <c r="E214" i="8"/>
  <c r="F214" i="8" s="1"/>
  <c r="D214" i="8"/>
  <c r="C214" i="8" s="1"/>
  <c r="K214" i="8"/>
  <c r="J214" i="8"/>
  <c r="E213" i="8"/>
  <c r="F213" i="8" s="1"/>
  <c r="K213" i="8"/>
  <c r="J213" i="8"/>
  <c r="I212" i="8"/>
  <c r="E212" i="8"/>
  <c r="F212" i="8" s="1"/>
  <c r="D212" i="8"/>
  <c r="C212" i="8" s="1"/>
  <c r="K212" i="8"/>
  <c r="J212" i="8"/>
  <c r="K211" i="8"/>
  <c r="J211" i="8"/>
  <c r="E210" i="8"/>
  <c r="F210" i="8" s="1"/>
  <c r="D210" i="8"/>
  <c r="C210" i="8" s="1"/>
  <c r="K210" i="8"/>
  <c r="J210" i="8"/>
  <c r="E209" i="8"/>
  <c r="F209" i="8" s="1"/>
  <c r="D209" i="8"/>
  <c r="C209" i="8" s="1"/>
  <c r="K209" i="8"/>
  <c r="J209" i="8"/>
  <c r="K208" i="8"/>
  <c r="J208" i="8"/>
  <c r="M207" i="8"/>
  <c r="E207" i="8"/>
  <c r="F207" i="8" s="1"/>
  <c r="D207" i="8"/>
  <c r="C207" i="8" s="1"/>
  <c r="K207" i="8"/>
  <c r="J207" i="8"/>
  <c r="E206" i="8"/>
  <c r="F206" i="8" s="1"/>
  <c r="D206" i="8"/>
  <c r="C206" i="8" s="1"/>
  <c r="K206" i="8"/>
  <c r="J206" i="8"/>
  <c r="E205" i="8"/>
  <c r="F205" i="8" s="1"/>
  <c r="K205" i="8"/>
  <c r="J205" i="8"/>
  <c r="I204" i="8"/>
  <c r="E204" i="8"/>
  <c r="F204" i="8" s="1"/>
  <c r="K204" i="8"/>
  <c r="J204" i="8"/>
  <c r="M203" i="8"/>
  <c r="E203" i="8"/>
  <c r="F203" i="8" s="1"/>
  <c r="D203" i="8"/>
  <c r="C203" i="8" s="1"/>
  <c r="K203" i="8"/>
  <c r="J203" i="8"/>
  <c r="E202" i="8"/>
  <c r="F202" i="8" s="1"/>
  <c r="D202" i="8"/>
  <c r="C202" i="8" s="1"/>
  <c r="K202" i="8"/>
  <c r="J202" i="8"/>
  <c r="E201" i="8"/>
  <c r="F201" i="8" s="1"/>
  <c r="K201" i="8"/>
  <c r="J201" i="8"/>
  <c r="D200" i="8"/>
  <c r="C200" i="8" s="1"/>
  <c r="K200" i="8"/>
  <c r="J200" i="8"/>
  <c r="E199" i="8"/>
  <c r="F199" i="8" s="1"/>
  <c r="D199" i="8"/>
  <c r="C199" i="8" s="1"/>
  <c r="K199" i="8"/>
  <c r="J199" i="8"/>
  <c r="E198" i="8"/>
  <c r="F198" i="8" s="1"/>
  <c r="D198" i="8"/>
  <c r="C198" i="8" s="1"/>
  <c r="K198" i="8"/>
  <c r="J198" i="8"/>
  <c r="E197" i="8"/>
  <c r="F197" i="8" s="1"/>
  <c r="K197" i="8"/>
  <c r="J197" i="8"/>
  <c r="I196" i="8"/>
  <c r="E196" i="8"/>
  <c r="F196" i="8" s="1"/>
  <c r="K196" i="8"/>
  <c r="J196" i="8"/>
  <c r="M195" i="8"/>
  <c r="D195" i="8"/>
  <c r="C195" i="8" s="1"/>
  <c r="K195" i="8"/>
  <c r="J195" i="8"/>
  <c r="E194" i="8"/>
  <c r="F194" i="8" s="1"/>
  <c r="D194" i="8"/>
  <c r="C194" i="8" s="1"/>
  <c r="K194" i="8"/>
  <c r="J194" i="8"/>
  <c r="E193" i="8"/>
  <c r="F193" i="8" s="1"/>
  <c r="D193" i="8"/>
  <c r="C193" i="8" s="1"/>
  <c r="K193" i="8"/>
  <c r="J193" i="8"/>
  <c r="E192" i="8"/>
  <c r="F192" i="8" s="1"/>
  <c r="K192" i="8"/>
  <c r="J192" i="8"/>
  <c r="D191" i="8"/>
  <c r="C191" i="8" s="1"/>
  <c r="K191" i="8"/>
  <c r="J191" i="8"/>
  <c r="D190" i="8"/>
  <c r="C190" i="8" s="1"/>
  <c r="K190" i="8"/>
  <c r="J190" i="8"/>
  <c r="E189" i="8"/>
  <c r="F189" i="8" s="1"/>
  <c r="D189" i="8"/>
  <c r="C189" i="8" s="1"/>
  <c r="K189" i="8"/>
  <c r="J189" i="8"/>
  <c r="E188" i="8"/>
  <c r="F188" i="8" s="1"/>
  <c r="K188" i="8"/>
  <c r="J188" i="8"/>
  <c r="K187" i="8"/>
  <c r="J187" i="8"/>
  <c r="E186" i="8"/>
  <c r="F186" i="8" s="1"/>
  <c r="D186" i="8"/>
  <c r="C186" i="8" s="1"/>
  <c r="K186" i="8"/>
  <c r="J186" i="8"/>
  <c r="E185" i="8"/>
  <c r="F185" i="8" s="1"/>
  <c r="K185" i="8"/>
  <c r="J185" i="8"/>
  <c r="I184" i="8"/>
  <c r="E184" i="8"/>
  <c r="F184" i="8" s="1"/>
  <c r="K184" i="8"/>
  <c r="J184" i="8"/>
  <c r="D183" i="8"/>
  <c r="C183" i="8" s="1"/>
  <c r="K183" i="8"/>
  <c r="J183" i="8"/>
  <c r="I182" i="8"/>
  <c r="E182" i="8"/>
  <c r="F182" i="8" s="1"/>
  <c r="D182" i="8"/>
  <c r="C182" i="8" s="1"/>
  <c r="K182" i="8"/>
  <c r="J182" i="8"/>
  <c r="M181" i="8"/>
  <c r="E181" i="8"/>
  <c r="F181" i="8" s="1"/>
  <c r="D181" i="8"/>
  <c r="C181" i="8" s="1"/>
  <c r="K181" i="8"/>
  <c r="J181" i="8"/>
  <c r="K180" i="8"/>
  <c r="J180" i="8"/>
  <c r="D179" i="8"/>
  <c r="C179" i="8" s="1"/>
  <c r="K179" i="8"/>
  <c r="J179" i="8"/>
  <c r="I178" i="8"/>
  <c r="E178" i="8"/>
  <c r="F178" i="8" s="1"/>
  <c r="D178" i="8"/>
  <c r="C178" i="8" s="1"/>
  <c r="K178" i="8"/>
  <c r="J178" i="8"/>
  <c r="M177" i="8"/>
  <c r="E177" i="8"/>
  <c r="F177" i="8" s="1"/>
  <c r="D177" i="8"/>
  <c r="C177" i="8" s="1"/>
  <c r="K177" i="8"/>
  <c r="J177" i="8"/>
  <c r="E176" i="8"/>
  <c r="F176" i="8" s="1"/>
  <c r="K176" i="8"/>
  <c r="J176" i="8"/>
  <c r="K175" i="8"/>
  <c r="J175" i="8"/>
  <c r="I174" i="8"/>
  <c r="E174" i="8"/>
  <c r="F174" i="8" s="1"/>
  <c r="D174" i="8"/>
  <c r="C174" i="8" s="1"/>
  <c r="K174" i="8"/>
  <c r="J174" i="8"/>
  <c r="E173" i="8"/>
  <c r="F173" i="8" s="1"/>
  <c r="D173" i="8"/>
  <c r="C173" i="8" s="1"/>
  <c r="K173" i="8"/>
  <c r="J173" i="8"/>
  <c r="I172" i="8"/>
  <c r="D172" i="8"/>
  <c r="C172" i="8" s="1"/>
  <c r="K172" i="8"/>
  <c r="J172" i="8"/>
  <c r="E171" i="8"/>
  <c r="F171" i="8" s="1"/>
  <c r="D171" i="8"/>
  <c r="C171" i="8" s="1"/>
  <c r="K171" i="8"/>
  <c r="J171" i="8"/>
  <c r="I170" i="8"/>
  <c r="E170" i="8"/>
  <c r="F170" i="8" s="1"/>
  <c r="D170" i="8"/>
  <c r="C170" i="8" s="1"/>
  <c r="K170" i="8"/>
  <c r="J170" i="8"/>
  <c r="E169" i="8"/>
  <c r="F169" i="8" s="1"/>
  <c r="D169" i="8"/>
  <c r="C169" i="8" s="1"/>
  <c r="K169" i="8"/>
  <c r="J169" i="8"/>
  <c r="D168" i="8"/>
  <c r="C168" i="8" s="1"/>
  <c r="K168" i="8"/>
  <c r="J168" i="8"/>
  <c r="E167" i="8"/>
  <c r="F167" i="8" s="1"/>
  <c r="K167" i="8"/>
  <c r="J167" i="8"/>
  <c r="E166" i="8"/>
  <c r="F166" i="8" s="1"/>
  <c r="D166" i="8"/>
  <c r="C166" i="8" s="1"/>
  <c r="K166" i="8"/>
  <c r="J166" i="8"/>
  <c r="E165" i="8"/>
  <c r="F165" i="8" s="1"/>
  <c r="D165" i="8"/>
  <c r="C165" i="8" s="1"/>
  <c r="K165" i="8"/>
  <c r="J165" i="8"/>
  <c r="E164" i="8"/>
  <c r="F164" i="8" s="1"/>
  <c r="D164" i="8"/>
  <c r="C164" i="8" s="1"/>
  <c r="K164" i="8"/>
  <c r="J164" i="8"/>
  <c r="E163" i="8"/>
  <c r="F163" i="8" s="1"/>
  <c r="D163" i="8"/>
  <c r="C163" i="8" s="1"/>
  <c r="K163" i="8"/>
  <c r="J163" i="8"/>
  <c r="D162" i="8"/>
  <c r="C162" i="8" s="1"/>
  <c r="K162" i="8"/>
  <c r="J162" i="8"/>
  <c r="E161" i="8"/>
  <c r="F161" i="8" s="1"/>
  <c r="D161" i="8"/>
  <c r="C161" i="8" s="1"/>
  <c r="K161" i="8"/>
  <c r="J161" i="8"/>
  <c r="I160" i="8"/>
  <c r="E160" i="8"/>
  <c r="F160" i="8" s="1"/>
  <c r="D160" i="8"/>
  <c r="C160" i="8" s="1"/>
  <c r="K160" i="8"/>
  <c r="J160" i="8"/>
  <c r="E159" i="8"/>
  <c r="F159" i="8" s="1"/>
  <c r="K159" i="8"/>
  <c r="J159" i="8"/>
  <c r="E158" i="8"/>
  <c r="F158" i="8" s="1"/>
  <c r="D158" i="8"/>
  <c r="C158" i="8" s="1"/>
  <c r="K158" i="8"/>
  <c r="J158" i="8"/>
  <c r="E157" i="8"/>
  <c r="F157" i="8" s="1"/>
  <c r="K157" i="8"/>
  <c r="J157" i="8"/>
  <c r="I156" i="8"/>
  <c r="E156" i="8"/>
  <c r="F156" i="8" s="1"/>
  <c r="D156" i="8"/>
  <c r="C156" i="8" s="1"/>
  <c r="K156" i="8"/>
  <c r="J156" i="8"/>
  <c r="E155" i="8"/>
  <c r="F155" i="8" s="1"/>
  <c r="D155" i="8"/>
  <c r="C155" i="8" s="1"/>
  <c r="K155" i="8"/>
  <c r="J155" i="8"/>
  <c r="I154" i="8"/>
  <c r="D154" i="8"/>
  <c r="C154" i="8" s="1"/>
  <c r="K154" i="8"/>
  <c r="J154" i="8"/>
  <c r="M153" i="8"/>
  <c r="E153" i="8"/>
  <c r="F153" i="8" s="1"/>
  <c r="D153" i="8"/>
  <c r="C153" i="8" s="1"/>
  <c r="K153" i="8"/>
  <c r="J153" i="8"/>
  <c r="I152" i="8"/>
  <c r="E152" i="8"/>
  <c r="F152" i="8" s="1"/>
  <c r="K152" i="8"/>
  <c r="J152" i="8"/>
  <c r="D151" i="8"/>
  <c r="C151" i="8" s="1"/>
  <c r="K151" i="8"/>
  <c r="J151" i="8"/>
  <c r="I150" i="8"/>
  <c r="E150" i="8"/>
  <c r="F150" i="8" s="1"/>
  <c r="D150" i="8"/>
  <c r="C150" i="8" s="1"/>
  <c r="K150" i="8"/>
  <c r="J150" i="8"/>
  <c r="M149" i="8"/>
  <c r="E149" i="8"/>
  <c r="F149" i="8" s="1"/>
  <c r="D149" i="8"/>
  <c r="C149" i="8" s="1"/>
  <c r="K149" i="8"/>
  <c r="J149" i="8"/>
  <c r="I148" i="8"/>
  <c r="E148" i="8"/>
  <c r="F148" i="8" s="1"/>
  <c r="K148" i="8"/>
  <c r="J148" i="8"/>
  <c r="D147" i="8"/>
  <c r="C147" i="8" s="1"/>
  <c r="K147" i="8"/>
  <c r="J147" i="8"/>
  <c r="I146" i="8"/>
  <c r="E146" i="8"/>
  <c r="F146" i="8" s="1"/>
  <c r="D146" i="8"/>
  <c r="C146" i="8" s="1"/>
  <c r="K146" i="8"/>
  <c r="J146" i="8"/>
  <c r="E145" i="8"/>
  <c r="F145" i="8" s="1"/>
  <c r="K145" i="8"/>
  <c r="J145" i="8"/>
  <c r="E144" i="8"/>
  <c r="F144" i="8" s="1"/>
  <c r="K144" i="8"/>
  <c r="J144" i="8"/>
  <c r="D143" i="8"/>
  <c r="C143" i="8" s="1"/>
  <c r="K143" i="8"/>
  <c r="J143" i="8"/>
  <c r="I142" i="8"/>
  <c r="E142" i="8"/>
  <c r="F142" i="8" s="1"/>
  <c r="D142" i="8"/>
  <c r="C142" i="8" s="1"/>
  <c r="K142" i="8"/>
  <c r="J142" i="8"/>
  <c r="E141" i="8"/>
  <c r="F141" i="8" s="1"/>
  <c r="D141" i="8"/>
  <c r="C141" i="8" s="1"/>
  <c r="K141" i="8"/>
  <c r="J141" i="8"/>
  <c r="E140" i="8"/>
  <c r="F140" i="8" s="1"/>
  <c r="K140" i="8"/>
  <c r="J140" i="8"/>
  <c r="D139" i="8"/>
  <c r="C139" i="8" s="1"/>
  <c r="K139" i="8"/>
  <c r="J139" i="8"/>
  <c r="E138" i="8"/>
  <c r="F138" i="8" s="1"/>
  <c r="D138" i="8"/>
  <c r="C138" i="8" s="1"/>
  <c r="K138" i="8"/>
  <c r="J138" i="8"/>
  <c r="E137" i="8"/>
  <c r="F137" i="8" s="1"/>
  <c r="D137" i="8"/>
  <c r="C137" i="8" s="1"/>
  <c r="K137" i="8"/>
  <c r="J137" i="8"/>
  <c r="I136" i="8"/>
  <c r="K136" i="8"/>
  <c r="J136" i="8"/>
  <c r="D135" i="8"/>
  <c r="C135" i="8" s="1"/>
  <c r="K135" i="8"/>
  <c r="J135" i="8"/>
  <c r="E134" i="8"/>
  <c r="F134" i="8" s="1"/>
  <c r="D134" i="8"/>
  <c r="C134" i="8" s="1"/>
  <c r="K134" i="8"/>
  <c r="J134" i="8"/>
  <c r="E133" i="8"/>
  <c r="F133" i="8" s="1"/>
  <c r="D133" i="8"/>
  <c r="C133" i="8" s="1"/>
  <c r="K133" i="8"/>
  <c r="J133" i="8"/>
  <c r="E132" i="8"/>
  <c r="F132" i="8" s="1"/>
  <c r="K132" i="8"/>
  <c r="J132" i="8"/>
  <c r="I131" i="8"/>
  <c r="D131" i="8"/>
  <c r="C131" i="8" s="1"/>
  <c r="K131" i="8"/>
  <c r="J131" i="8"/>
  <c r="I130" i="8"/>
  <c r="E130" i="8"/>
  <c r="F130" i="8" s="1"/>
  <c r="D130" i="8"/>
  <c r="C130" i="8" s="1"/>
  <c r="K130" i="8"/>
  <c r="J130" i="8"/>
  <c r="M129" i="8"/>
  <c r="E129" i="8"/>
  <c r="F129" i="8" s="1"/>
  <c r="D129" i="8"/>
  <c r="C129" i="8" s="1"/>
  <c r="K129" i="8"/>
  <c r="J129" i="8"/>
  <c r="K128" i="8"/>
  <c r="J128" i="8"/>
  <c r="D127" i="8"/>
  <c r="C127" i="8" s="1"/>
  <c r="K127" i="8"/>
  <c r="J127" i="8"/>
  <c r="E126" i="8"/>
  <c r="F126" i="8" s="1"/>
  <c r="D126" i="8"/>
  <c r="C126" i="8" s="1"/>
  <c r="K126" i="8"/>
  <c r="J126" i="8"/>
  <c r="E125" i="8"/>
  <c r="F125" i="8" s="1"/>
  <c r="K125" i="8"/>
  <c r="J125" i="8"/>
  <c r="D124" i="8"/>
  <c r="C124" i="8" s="1"/>
  <c r="K124" i="8"/>
  <c r="J124" i="8"/>
  <c r="D123" i="8"/>
  <c r="C123" i="8" s="1"/>
  <c r="K123" i="8"/>
  <c r="J123" i="8"/>
  <c r="I122" i="8"/>
  <c r="E122" i="8"/>
  <c r="F122" i="8" s="1"/>
  <c r="D122" i="8"/>
  <c r="C122" i="8" s="1"/>
  <c r="K122" i="8"/>
  <c r="J122" i="8"/>
  <c r="E121" i="8"/>
  <c r="F121" i="8" s="1"/>
  <c r="K121" i="8"/>
  <c r="J121" i="8"/>
  <c r="I120" i="8"/>
  <c r="E120" i="8"/>
  <c r="F120" i="8" s="1"/>
  <c r="D120" i="8"/>
  <c r="C120" i="8" s="1"/>
  <c r="K120" i="8"/>
  <c r="J120" i="8"/>
  <c r="I119" i="8"/>
  <c r="E119" i="8"/>
  <c r="F119" i="8" s="1"/>
  <c r="D119" i="8"/>
  <c r="C119" i="8" s="1"/>
  <c r="K119" i="8"/>
  <c r="J119" i="8"/>
  <c r="I118" i="8"/>
  <c r="E118" i="8"/>
  <c r="F118" i="8" s="1"/>
  <c r="D118" i="8"/>
  <c r="C118" i="8" s="1"/>
  <c r="K118" i="8"/>
  <c r="J118" i="8"/>
  <c r="E117" i="8"/>
  <c r="F117" i="8" s="1"/>
  <c r="K117" i="8"/>
  <c r="J117" i="8"/>
  <c r="D116" i="8"/>
  <c r="C116" i="8" s="1"/>
  <c r="K116" i="8"/>
  <c r="J116" i="8"/>
  <c r="I115" i="8"/>
  <c r="D115" i="8"/>
  <c r="C115" i="8" s="1"/>
  <c r="K115" i="8"/>
  <c r="J115" i="8"/>
  <c r="E114" i="8"/>
  <c r="F114" i="8" s="1"/>
  <c r="D114" i="8"/>
  <c r="C114" i="8" s="1"/>
  <c r="K114" i="8"/>
  <c r="J114" i="8"/>
  <c r="I113" i="8"/>
  <c r="E113" i="8"/>
  <c r="F113" i="8" s="1"/>
  <c r="K113" i="8"/>
  <c r="J113" i="8"/>
  <c r="K112" i="8"/>
  <c r="J112" i="8"/>
  <c r="I111" i="8"/>
  <c r="E111" i="8"/>
  <c r="F111" i="8" s="1"/>
  <c r="D111" i="8"/>
  <c r="C111" i="8" s="1"/>
  <c r="K111" i="8"/>
  <c r="J111" i="8"/>
  <c r="E110" i="8"/>
  <c r="F110" i="8" s="1"/>
  <c r="D110" i="8"/>
  <c r="C110" i="8" s="1"/>
  <c r="K110" i="8"/>
  <c r="J110" i="8"/>
  <c r="M109" i="8"/>
  <c r="E109" i="8"/>
  <c r="F109" i="8" s="1"/>
  <c r="K109" i="8"/>
  <c r="J109" i="8"/>
  <c r="M108" i="8"/>
  <c r="D108" i="8"/>
  <c r="C108" i="8" s="1"/>
  <c r="K108" i="8"/>
  <c r="J108" i="8"/>
  <c r="E107" i="8"/>
  <c r="F107" i="8" s="1"/>
  <c r="D107" i="8"/>
  <c r="C107" i="8" s="1"/>
  <c r="K107" i="8"/>
  <c r="J107" i="8"/>
  <c r="D106" i="8"/>
  <c r="C106" i="8" s="1"/>
  <c r="K106" i="8"/>
  <c r="J106" i="8"/>
  <c r="E105" i="8"/>
  <c r="F105" i="8" s="1"/>
  <c r="K105" i="8"/>
  <c r="J105" i="8"/>
  <c r="M104" i="8"/>
  <c r="E104" i="8"/>
  <c r="F104" i="8" s="1"/>
  <c r="D104" i="8"/>
  <c r="C104" i="8" s="1"/>
  <c r="K104" i="8"/>
  <c r="J104" i="8"/>
  <c r="I103" i="8"/>
  <c r="E103" i="8"/>
  <c r="F103" i="8" s="1"/>
  <c r="D103" i="8"/>
  <c r="C103" i="8" s="1"/>
  <c r="K103" i="8"/>
  <c r="J103" i="8"/>
  <c r="E102" i="8"/>
  <c r="F102" i="8" s="1"/>
  <c r="D102" i="8"/>
  <c r="C102" i="8" s="1"/>
  <c r="K102" i="8"/>
  <c r="J102" i="8"/>
  <c r="M101" i="8"/>
  <c r="E101" i="8"/>
  <c r="F101" i="8" s="1"/>
  <c r="D101" i="8"/>
  <c r="C101" i="8" s="1"/>
  <c r="K101" i="8"/>
  <c r="J101" i="8"/>
  <c r="M100" i="8"/>
  <c r="E100" i="8"/>
  <c r="F100" i="8" s="1"/>
  <c r="D100" i="8"/>
  <c r="C100" i="8" s="1"/>
  <c r="K100" i="8"/>
  <c r="J100" i="8"/>
  <c r="E99" i="8"/>
  <c r="F99" i="8" s="1"/>
  <c r="K99" i="8"/>
  <c r="J99" i="8"/>
  <c r="M98" i="8"/>
  <c r="E98" i="8"/>
  <c r="F98" i="8" s="1"/>
  <c r="D98" i="8"/>
  <c r="C98" i="8" s="1"/>
  <c r="K98" i="8"/>
  <c r="J98" i="8"/>
  <c r="I97" i="8"/>
  <c r="E97" i="8"/>
  <c r="F97" i="8" s="1"/>
  <c r="K97" i="8"/>
  <c r="J97" i="8"/>
  <c r="D96" i="8"/>
  <c r="C96" i="8" s="1"/>
  <c r="K96" i="8"/>
  <c r="J96" i="8"/>
  <c r="I95" i="8"/>
  <c r="D95" i="8"/>
  <c r="C95" i="8" s="1"/>
  <c r="K95" i="8"/>
  <c r="J95" i="8"/>
  <c r="E94" i="8"/>
  <c r="F94" i="8" s="1"/>
  <c r="D94" i="8"/>
  <c r="C94" i="8" s="1"/>
  <c r="K94" i="8"/>
  <c r="J94" i="8"/>
  <c r="E93" i="8"/>
  <c r="F93" i="8" s="1"/>
  <c r="K93" i="8"/>
  <c r="J93" i="8"/>
  <c r="D92" i="8"/>
  <c r="C92" i="8" s="1"/>
  <c r="K92" i="8"/>
  <c r="J92" i="8"/>
  <c r="I91" i="8"/>
  <c r="D91" i="8"/>
  <c r="C91" i="8" s="1"/>
  <c r="K91" i="8"/>
  <c r="J91" i="8"/>
  <c r="E90" i="8"/>
  <c r="F90" i="8" s="1"/>
  <c r="D90" i="8"/>
  <c r="C90" i="8" s="1"/>
  <c r="K90" i="8"/>
  <c r="J90" i="8"/>
  <c r="E89" i="8"/>
  <c r="F89" i="8" s="1"/>
  <c r="D89" i="8"/>
  <c r="C89" i="8" s="1"/>
  <c r="K89" i="8"/>
  <c r="J89" i="8"/>
  <c r="D88" i="8"/>
  <c r="C88" i="8" s="1"/>
  <c r="K88" i="8"/>
  <c r="J88" i="8"/>
  <c r="I87" i="8"/>
  <c r="E87" i="8"/>
  <c r="F87" i="8" s="1"/>
  <c r="D87" i="8"/>
  <c r="C87" i="8" s="1"/>
  <c r="K87" i="8"/>
  <c r="J87" i="8"/>
  <c r="E86" i="8"/>
  <c r="F86" i="8" s="1"/>
  <c r="D86" i="8"/>
  <c r="C86" i="8" s="1"/>
  <c r="K86" i="8"/>
  <c r="J86" i="8"/>
  <c r="E85" i="8"/>
  <c r="F85" i="8" s="1"/>
  <c r="K85" i="8"/>
  <c r="J85" i="8"/>
  <c r="D84" i="8"/>
  <c r="C84" i="8" s="1"/>
  <c r="K84" i="8"/>
  <c r="J84" i="8"/>
  <c r="I83" i="8"/>
  <c r="E83" i="8"/>
  <c r="F83" i="8" s="1"/>
  <c r="D83" i="8"/>
  <c r="C83" i="8" s="1"/>
  <c r="K83" i="8"/>
  <c r="J83" i="8"/>
  <c r="E82" i="8"/>
  <c r="F82" i="8" s="1"/>
  <c r="D82" i="8"/>
  <c r="C82" i="8" s="1"/>
  <c r="K82" i="8"/>
  <c r="J82" i="8"/>
  <c r="E81" i="8"/>
  <c r="F81" i="8" s="1"/>
  <c r="K81" i="8"/>
  <c r="J81" i="8"/>
  <c r="D80" i="8"/>
  <c r="C80" i="8" s="1"/>
  <c r="K80" i="8"/>
  <c r="J80" i="8"/>
  <c r="E79" i="8"/>
  <c r="F79" i="8" s="1"/>
  <c r="D79" i="8"/>
  <c r="C79" i="8" s="1"/>
  <c r="K79" i="8"/>
  <c r="J79" i="8"/>
  <c r="E78" i="8"/>
  <c r="F78" i="8" s="1"/>
  <c r="D78" i="8"/>
  <c r="C78" i="8" s="1"/>
  <c r="K78" i="8"/>
  <c r="J78" i="8"/>
  <c r="K77" i="8"/>
  <c r="J77" i="8"/>
  <c r="D76" i="8"/>
  <c r="C76" i="8" s="1"/>
  <c r="K76" i="8"/>
  <c r="J76" i="8"/>
  <c r="E75" i="8"/>
  <c r="F75" i="8" s="1"/>
  <c r="D75" i="8"/>
  <c r="C75" i="8" s="1"/>
  <c r="K75" i="8"/>
  <c r="J75" i="8"/>
  <c r="E74" i="8"/>
  <c r="F74" i="8" s="1"/>
  <c r="D74" i="8"/>
  <c r="C74" i="8" s="1"/>
  <c r="K74" i="8"/>
  <c r="J74" i="8"/>
  <c r="E73" i="8"/>
  <c r="F73" i="8" s="1"/>
  <c r="K73" i="8"/>
  <c r="J73" i="8"/>
  <c r="E72" i="8"/>
  <c r="F72" i="8" s="1"/>
  <c r="D72" i="8"/>
  <c r="C72" i="8" s="1"/>
  <c r="K72" i="8"/>
  <c r="J72" i="8"/>
  <c r="E71" i="8"/>
  <c r="F71" i="8" s="1"/>
  <c r="D71" i="8"/>
  <c r="C71" i="8" s="1"/>
  <c r="K71" i="8"/>
  <c r="J71" i="8"/>
  <c r="E70" i="8"/>
  <c r="F70" i="8" s="1"/>
  <c r="D70" i="8"/>
  <c r="C70" i="8" s="1"/>
  <c r="K70" i="8"/>
  <c r="J70" i="8"/>
  <c r="E69" i="8"/>
  <c r="F69" i="8" s="1"/>
  <c r="D69" i="8"/>
  <c r="C69" i="8" s="1"/>
  <c r="K69" i="8"/>
  <c r="J69" i="8"/>
  <c r="E68" i="8"/>
  <c r="F68" i="8" s="1"/>
  <c r="D68" i="8"/>
  <c r="C68" i="8" s="1"/>
  <c r="K68" i="8"/>
  <c r="J68" i="8"/>
  <c r="E67" i="8"/>
  <c r="F67" i="8" s="1"/>
  <c r="D67" i="8"/>
  <c r="C67" i="8" s="1"/>
  <c r="K67" i="8"/>
  <c r="J67" i="8"/>
  <c r="E66" i="8"/>
  <c r="F66" i="8" s="1"/>
  <c r="D66" i="8"/>
  <c r="C66" i="8" s="1"/>
  <c r="K66" i="8"/>
  <c r="J66" i="8"/>
  <c r="E65" i="8"/>
  <c r="F65" i="8" s="1"/>
  <c r="D65" i="8"/>
  <c r="C65" i="8" s="1"/>
  <c r="K65" i="8"/>
  <c r="J65" i="8"/>
  <c r="D64" i="8"/>
  <c r="C64" i="8" s="1"/>
  <c r="K64" i="8"/>
  <c r="J64" i="8"/>
  <c r="E63" i="8"/>
  <c r="F63" i="8" s="1"/>
  <c r="D63" i="8"/>
  <c r="C63" i="8" s="1"/>
  <c r="K63" i="8"/>
  <c r="J63" i="8"/>
  <c r="E62" i="8"/>
  <c r="F62" i="8" s="1"/>
  <c r="D62" i="8"/>
  <c r="C62" i="8" s="1"/>
  <c r="E61" i="8"/>
  <c r="D61" i="8"/>
  <c r="C61" i="8" s="1"/>
  <c r="E60" i="8"/>
  <c r="F60" i="8" s="1"/>
  <c r="D60" i="8"/>
  <c r="C60" i="8" s="1"/>
  <c r="K60" i="8"/>
  <c r="J60" i="8"/>
  <c r="E59" i="8"/>
  <c r="F59" i="8" s="1"/>
  <c r="D59" i="8"/>
  <c r="C59" i="8" s="1"/>
  <c r="K59" i="8"/>
  <c r="J59" i="8"/>
  <c r="E58" i="8"/>
  <c r="F58" i="8" s="1"/>
  <c r="D58" i="8"/>
  <c r="C58" i="8" s="1"/>
  <c r="K58" i="8"/>
  <c r="J58" i="8"/>
  <c r="I57" i="8"/>
  <c r="E57" i="8"/>
  <c r="F57" i="8" s="1"/>
  <c r="D57" i="8"/>
  <c r="C57" i="8" s="1"/>
  <c r="K57" i="8"/>
  <c r="J57" i="8"/>
  <c r="E56" i="8"/>
  <c r="F56" i="8" s="1"/>
  <c r="D56" i="8"/>
  <c r="C56" i="8" s="1"/>
  <c r="K56" i="8"/>
  <c r="J56" i="8"/>
  <c r="E55" i="8"/>
  <c r="F55" i="8" s="1"/>
  <c r="K55" i="8"/>
  <c r="J55" i="8"/>
  <c r="D54" i="8"/>
  <c r="C54" i="8" s="1"/>
  <c r="K54" i="8"/>
  <c r="J54" i="8"/>
  <c r="E53" i="8"/>
  <c r="F53" i="8" s="1"/>
  <c r="D53" i="8"/>
  <c r="C53" i="8" s="1"/>
  <c r="K53" i="8"/>
  <c r="J53" i="8"/>
  <c r="E52" i="8"/>
  <c r="F52" i="8" s="1"/>
  <c r="D52" i="8"/>
  <c r="C52" i="8" s="1"/>
  <c r="K52" i="8"/>
  <c r="J52" i="8"/>
  <c r="E51" i="8"/>
  <c r="F51" i="8" s="1"/>
  <c r="D51" i="8"/>
  <c r="C51" i="8" s="1"/>
  <c r="K51" i="8"/>
  <c r="J51" i="8"/>
  <c r="E50" i="8"/>
  <c r="F50" i="8" s="1"/>
  <c r="D50" i="8"/>
  <c r="C50" i="8" s="1"/>
  <c r="K50" i="8"/>
  <c r="J50" i="8"/>
  <c r="I49" i="8"/>
  <c r="E49" i="8"/>
  <c r="F49" i="8" s="1"/>
  <c r="D49" i="8"/>
  <c r="C49" i="8" s="1"/>
  <c r="K49" i="8"/>
  <c r="J49" i="8"/>
  <c r="D48" i="8"/>
  <c r="C48" i="8" s="1"/>
  <c r="K48" i="8"/>
  <c r="J48" i="8"/>
  <c r="E47" i="8"/>
  <c r="F47" i="8" s="1"/>
  <c r="D47" i="8"/>
  <c r="C47" i="8" s="1"/>
  <c r="K47" i="8"/>
  <c r="J47" i="8"/>
  <c r="I46" i="8"/>
  <c r="E46" i="8"/>
  <c r="F46" i="8" s="1"/>
  <c r="D46" i="8"/>
  <c r="C46" i="8" s="1"/>
  <c r="K46" i="8"/>
  <c r="J46" i="8"/>
  <c r="E45" i="8"/>
  <c r="F45" i="8" s="1"/>
  <c r="D45" i="8"/>
  <c r="C45" i="8" s="1"/>
  <c r="K45" i="8"/>
  <c r="J45" i="8"/>
  <c r="D44" i="8"/>
  <c r="C44" i="8" s="1"/>
  <c r="K44" i="8"/>
  <c r="J44" i="8"/>
  <c r="E43" i="8"/>
  <c r="F43" i="8" s="1"/>
  <c r="D43" i="8"/>
  <c r="C43" i="8" s="1"/>
  <c r="K43" i="8"/>
  <c r="J43" i="8"/>
  <c r="I42" i="8"/>
  <c r="E42" i="8"/>
  <c r="F42" i="8" s="1"/>
  <c r="D42" i="8"/>
  <c r="C42" i="8" s="1"/>
  <c r="K42" i="8"/>
  <c r="J42" i="8"/>
  <c r="E41" i="8"/>
  <c r="F41" i="8" s="1"/>
  <c r="K41" i="8"/>
  <c r="J41" i="8"/>
  <c r="I40" i="8"/>
  <c r="D40" i="8"/>
  <c r="C40" i="8" s="1"/>
  <c r="K40" i="8"/>
  <c r="J40" i="8"/>
  <c r="L39" i="8"/>
  <c r="E39" i="8"/>
  <c r="F39" i="8" s="1"/>
  <c r="D39" i="8"/>
  <c r="C39" i="8" s="1"/>
  <c r="K39" i="8"/>
  <c r="J39" i="8"/>
  <c r="I38" i="8"/>
  <c r="E38" i="8"/>
  <c r="F38" i="8" s="1"/>
  <c r="D38" i="8"/>
  <c r="C38" i="8" s="1"/>
  <c r="K38" i="8"/>
  <c r="J38" i="8"/>
  <c r="E37" i="8"/>
  <c r="F37" i="8" s="1"/>
  <c r="D37" i="8"/>
  <c r="C37" i="8" s="1"/>
  <c r="K37" i="8"/>
  <c r="J37" i="8"/>
  <c r="I36" i="8"/>
  <c r="D36" i="8"/>
  <c r="C36" i="8" s="1"/>
  <c r="K36" i="8"/>
  <c r="J36" i="8"/>
  <c r="L35" i="8"/>
  <c r="E35" i="8"/>
  <c r="F35" i="8" s="1"/>
  <c r="D35" i="8"/>
  <c r="C35" i="8" s="1"/>
  <c r="K35" i="8"/>
  <c r="J35" i="8"/>
  <c r="I34" i="8"/>
  <c r="E34" i="8"/>
  <c r="F34" i="8" s="1"/>
  <c r="D34" i="8"/>
  <c r="C34" i="8" s="1"/>
  <c r="K34" i="8"/>
  <c r="J34" i="8"/>
  <c r="E33" i="8"/>
  <c r="F33" i="8" s="1"/>
  <c r="D33" i="8"/>
  <c r="C33" i="8" s="1"/>
  <c r="K33" i="8"/>
  <c r="J33" i="8"/>
  <c r="D32" i="8"/>
  <c r="C32" i="8" s="1"/>
  <c r="K32" i="8"/>
  <c r="J32" i="8"/>
  <c r="E31" i="8"/>
  <c r="F31" i="8" s="1"/>
  <c r="D31" i="8"/>
  <c r="C31" i="8" s="1"/>
  <c r="K31" i="8"/>
  <c r="J31" i="8"/>
  <c r="E30" i="8"/>
  <c r="F30" i="8" s="1"/>
  <c r="D30" i="8"/>
  <c r="C30" i="8" s="1"/>
  <c r="K30" i="8"/>
  <c r="J30" i="8"/>
  <c r="E29" i="8"/>
  <c r="F29" i="8" s="1"/>
  <c r="D29" i="8"/>
  <c r="C29" i="8" s="1"/>
  <c r="K29" i="8"/>
  <c r="J29" i="8"/>
  <c r="D28" i="8"/>
  <c r="C28" i="8" s="1"/>
  <c r="K28" i="8"/>
  <c r="J28" i="8"/>
  <c r="E27" i="8"/>
  <c r="F27" i="8" s="1"/>
  <c r="D27" i="8"/>
  <c r="C27" i="8" s="1"/>
  <c r="K27" i="8"/>
  <c r="J27" i="8"/>
  <c r="I26" i="8"/>
  <c r="E26" i="8"/>
  <c r="F26" i="8" s="1"/>
  <c r="D26" i="8"/>
  <c r="C26" i="8" s="1"/>
  <c r="K26" i="8"/>
  <c r="J26" i="8"/>
  <c r="E25" i="8"/>
  <c r="F25" i="8" s="1"/>
  <c r="K25" i="8"/>
  <c r="J25" i="8"/>
  <c r="I24" i="8"/>
  <c r="E24" i="8"/>
  <c r="F24" i="8" s="1"/>
  <c r="D24" i="8"/>
  <c r="C24" i="8" s="1"/>
  <c r="K24" i="8"/>
  <c r="J24" i="8"/>
  <c r="E23" i="8"/>
  <c r="F23" i="8" s="1"/>
  <c r="D23" i="8"/>
  <c r="C23" i="8" s="1"/>
  <c r="K23" i="8"/>
  <c r="J23" i="8"/>
  <c r="E22" i="8"/>
  <c r="F22" i="8" s="1"/>
  <c r="D22" i="8"/>
  <c r="C22" i="8" s="1"/>
  <c r="K22" i="8"/>
  <c r="J22" i="8"/>
  <c r="E21" i="8"/>
  <c r="F21" i="8" s="1"/>
  <c r="K21" i="8"/>
  <c r="J21" i="8"/>
  <c r="D20" i="8"/>
  <c r="C20" i="8" s="1"/>
  <c r="K20" i="8"/>
  <c r="J20" i="8"/>
  <c r="E19" i="8"/>
  <c r="F19" i="8" s="1"/>
  <c r="D19" i="8"/>
  <c r="C19" i="8" s="1"/>
  <c r="K19" i="8"/>
  <c r="J19" i="8"/>
  <c r="I18" i="8"/>
  <c r="E18" i="8"/>
  <c r="F18" i="8" s="1"/>
  <c r="D18" i="8"/>
  <c r="C18" i="8" s="1"/>
  <c r="K18" i="8"/>
  <c r="J18" i="8"/>
  <c r="E17" i="8"/>
  <c r="F17" i="8" s="1"/>
  <c r="D17" i="8"/>
  <c r="C17" i="8" s="1"/>
  <c r="K17" i="8"/>
  <c r="J17" i="8"/>
  <c r="I16" i="8"/>
  <c r="D16" i="8"/>
  <c r="C16" i="8" s="1"/>
  <c r="K16" i="8"/>
  <c r="J16" i="8"/>
  <c r="E15" i="8"/>
  <c r="F15" i="8" s="1"/>
  <c r="K15" i="8"/>
  <c r="J15" i="8"/>
  <c r="E14" i="8"/>
  <c r="F14" i="8" s="1"/>
  <c r="D14" i="8"/>
  <c r="C14" i="8" s="1"/>
  <c r="K14" i="8"/>
  <c r="J14" i="8"/>
  <c r="E13" i="8"/>
  <c r="F13" i="8" s="1"/>
  <c r="K13" i="8"/>
  <c r="J13" i="8"/>
  <c r="E12" i="8"/>
  <c r="F12" i="8" s="1"/>
  <c r="D12" i="8"/>
  <c r="C12" i="8" s="1"/>
  <c r="E11" i="8"/>
  <c r="D11" i="8"/>
  <c r="C11" i="8" s="1"/>
  <c r="D260" i="8"/>
  <c r="C260" i="8" s="1"/>
  <c r="E259" i="8"/>
  <c r="F259" i="8" s="1"/>
  <c r="D259" i="8"/>
  <c r="C259" i="8" s="1"/>
  <c r="D258" i="8"/>
  <c r="C258" i="8" s="1"/>
  <c r="D256" i="8"/>
  <c r="C256" i="8" s="1"/>
  <c r="E255" i="8"/>
  <c r="F255" i="8" s="1"/>
  <c r="D255" i="8"/>
  <c r="C255" i="8" s="1"/>
  <c r="E254" i="8"/>
  <c r="F254" i="8" s="1"/>
  <c r="D252" i="8"/>
  <c r="C252" i="8" s="1"/>
  <c r="D251" i="8"/>
  <c r="C251" i="8" s="1"/>
  <c r="E251" i="8"/>
  <c r="F251" i="8" s="1"/>
  <c r="E250" i="8"/>
  <c r="F250" i="8" s="1"/>
  <c r="D248" i="8"/>
  <c r="C248" i="8" s="1"/>
  <c r="E247" i="8"/>
  <c r="F247" i="8" s="1"/>
  <c r="D247" i="8"/>
  <c r="C247" i="8" s="1"/>
  <c r="E246" i="8"/>
  <c r="F246" i="8" s="1"/>
  <c r="E243" i="8"/>
  <c r="F243" i="8" s="1"/>
  <c r="D243" i="8"/>
  <c r="C243" i="8" s="1"/>
  <c r="E242" i="8"/>
  <c r="F242" i="8" s="1"/>
  <c r="D240" i="8"/>
  <c r="C240" i="8" s="1"/>
  <c r="D239" i="8"/>
  <c r="C239" i="8" s="1"/>
  <c r="E239" i="8"/>
  <c r="F239" i="8" s="1"/>
  <c r="E238" i="8"/>
  <c r="F238" i="8" s="1"/>
  <c r="E235" i="8"/>
  <c r="F235" i="8" s="1"/>
  <c r="D235" i="8"/>
  <c r="C235" i="8" s="1"/>
  <c r="E234" i="8"/>
  <c r="F234" i="8" s="1"/>
  <c r="D232" i="8"/>
  <c r="C232" i="8" s="1"/>
  <c r="E231" i="8"/>
  <c r="F231" i="8" s="1"/>
  <c r="D231" i="8"/>
  <c r="C231" i="8" s="1"/>
  <c r="E230" i="8"/>
  <c r="F230" i="8" s="1"/>
  <c r="D228" i="8"/>
  <c r="C228" i="8" s="1"/>
  <c r="E227" i="8"/>
  <c r="F227" i="8" s="1"/>
  <c r="D226" i="8"/>
  <c r="C226" i="8" s="1"/>
  <c r="E226" i="8"/>
  <c r="F226" i="8" s="1"/>
  <c r="D224" i="8"/>
  <c r="C224" i="8" s="1"/>
  <c r="E223" i="8"/>
  <c r="F223" i="8" s="1"/>
  <c r="E219" i="8"/>
  <c r="F219" i="8" s="1"/>
  <c r="E216" i="8"/>
  <c r="F216" i="8" s="1"/>
  <c r="E215" i="8"/>
  <c r="F215" i="8" s="1"/>
  <c r="D213" i="8"/>
  <c r="C213" i="8" s="1"/>
  <c r="E211" i="8"/>
  <c r="F211" i="8" s="1"/>
  <c r="D211" i="8"/>
  <c r="C211" i="8" s="1"/>
  <c r="E208" i="8"/>
  <c r="F208" i="8" s="1"/>
  <c r="D208" i="8"/>
  <c r="C208" i="8" s="1"/>
  <c r="D205" i="8"/>
  <c r="C205" i="8" s="1"/>
  <c r="D204" i="8"/>
  <c r="C204" i="8" s="1"/>
  <c r="D201" i="8"/>
  <c r="C201" i="8" s="1"/>
  <c r="E200" i="8"/>
  <c r="F200" i="8" s="1"/>
  <c r="D197" i="8"/>
  <c r="C197" i="8" s="1"/>
  <c r="D196" i="8"/>
  <c r="C196" i="8" s="1"/>
  <c r="E195" i="8"/>
  <c r="F195" i="8" s="1"/>
  <c r="D192" i="8"/>
  <c r="C192" i="8" s="1"/>
  <c r="E191" i="8"/>
  <c r="F191" i="8" s="1"/>
  <c r="E190" i="8"/>
  <c r="F190" i="8" s="1"/>
  <c r="D188" i="8"/>
  <c r="C188" i="8" s="1"/>
  <c r="E187" i="8"/>
  <c r="F187" i="8" s="1"/>
  <c r="D187" i="8"/>
  <c r="C187" i="8" s="1"/>
  <c r="D185" i="8"/>
  <c r="C185" i="8" s="1"/>
  <c r="D184" i="8"/>
  <c r="C184" i="8" s="1"/>
  <c r="E183" i="8"/>
  <c r="F183" i="8" s="1"/>
  <c r="E180" i="8"/>
  <c r="F180" i="8" s="1"/>
  <c r="D180" i="8"/>
  <c r="C180" i="8" s="1"/>
  <c r="E179" i="8"/>
  <c r="F179" i="8" s="1"/>
  <c r="D176" i="8"/>
  <c r="C176" i="8" s="1"/>
  <c r="D175" i="8"/>
  <c r="C175" i="8" s="1"/>
  <c r="E175" i="8"/>
  <c r="F175" i="8" s="1"/>
  <c r="E172" i="8"/>
  <c r="F172" i="8" s="1"/>
  <c r="E168" i="8"/>
  <c r="F168" i="8" s="1"/>
  <c r="D167" i="8"/>
  <c r="C167" i="8" s="1"/>
  <c r="E162" i="8"/>
  <c r="F162" i="8" s="1"/>
  <c r="D159" i="8"/>
  <c r="C159" i="8" s="1"/>
  <c r="D157" i="8"/>
  <c r="C157" i="8" s="1"/>
  <c r="E154" i="8"/>
  <c r="F154" i="8" s="1"/>
  <c r="D152" i="8"/>
  <c r="C152" i="8" s="1"/>
  <c r="E151" i="8"/>
  <c r="F151" i="8" s="1"/>
  <c r="D148" i="8"/>
  <c r="C148" i="8" s="1"/>
  <c r="E147" i="8"/>
  <c r="F147" i="8" s="1"/>
  <c r="D145" i="8"/>
  <c r="C145" i="8" s="1"/>
  <c r="D144" i="8"/>
  <c r="C144" i="8" s="1"/>
  <c r="E143" i="8"/>
  <c r="F143" i="8" s="1"/>
  <c r="D140" i="8"/>
  <c r="C140" i="8" s="1"/>
  <c r="E139" i="8"/>
  <c r="F139" i="8" s="1"/>
  <c r="D136" i="8"/>
  <c r="C136" i="8" s="1"/>
  <c r="E136" i="8"/>
  <c r="F136" i="8" s="1"/>
  <c r="E135" i="8"/>
  <c r="F135" i="8" s="1"/>
  <c r="D132" i="8"/>
  <c r="C132" i="8" s="1"/>
  <c r="E131" i="8"/>
  <c r="F131" i="8" s="1"/>
  <c r="E128" i="8"/>
  <c r="F128" i="8" s="1"/>
  <c r="D128" i="8"/>
  <c r="C128" i="8" s="1"/>
  <c r="E127" i="8"/>
  <c r="F127" i="8" s="1"/>
  <c r="D125" i="8"/>
  <c r="C125" i="8" s="1"/>
  <c r="E124" i="8"/>
  <c r="F124" i="8" s="1"/>
  <c r="E123" i="8"/>
  <c r="F123" i="8" s="1"/>
  <c r="D121" i="8"/>
  <c r="C121" i="8" s="1"/>
  <c r="D117" i="8"/>
  <c r="C117" i="8" s="1"/>
  <c r="E116" i="8"/>
  <c r="F116" i="8" s="1"/>
  <c r="E115" i="8"/>
  <c r="F115" i="8" s="1"/>
  <c r="D113" i="8"/>
  <c r="C113" i="8" s="1"/>
  <c r="D112" i="8"/>
  <c r="C112" i="8" s="1"/>
  <c r="E112" i="8"/>
  <c r="F112" i="8" s="1"/>
  <c r="D109" i="8"/>
  <c r="C109" i="8" s="1"/>
  <c r="E108" i="8"/>
  <c r="F108" i="8" s="1"/>
  <c r="E106" i="8"/>
  <c r="F106" i="8" s="1"/>
  <c r="D105" i="8"/>
  <c r="C105" i="8" s="1"/>
  <c r="D99" i="8"/>
  <c r="C99" i="8" s="1"/>
  <c r="D97" i="8"/>
  <c r="C97" i="8" s="1"/>
  <c r="E96" i="8"/>
  <c r="F96" i="8" s="1"/>
  <c r="E95" i="8"/>
  <c r="F95" i="8" s="1"/>
  <c r="D93" i="8"/>
  <c r="C93" i="8" s="1"/>
  <c r="E92" i="8"/>
  <c r="F92" i="8" s="1"/>
  <c r="E91" i="8"/>
  <c r="F91" i="8" s="1"/>
  <c r="E88" i="8"/>
  <c r="F88" i="8" s="1"/>
  <c r="D85" i="8"/>
  <c r="C85" i="8" s="1"/>
  <c r="E84" i="8"/>
  <c r="F84" i="8" s="1"/>
  <c r="D81" i="8"/>
  <c r="C81" i="8" s="1"/>
  <c r="E80" i="8"/>
  <c r="F80" i="8" s="1"/>
  <c r="D77" i="8"/>
  <c r="C77" i="8" s="1"/>
  <c r="E77" i="8"/>
  <c r="F77" i="8" s="1"/>
  <c r="E76" i="8"/>
  <c r="F76" i="8" s="1"/>
  <c r="D73" i="8"/>
  <c r="C73" i="8" s="1"/>
  <c r="B65" i="8"/>
  <c r="E64" i="8"/>
  <c r="F64" i="8" s="1"/>
  <c r="B61" i="8"/>
  <c r="D55" i="8"/>
  <c r="C55" i="8" s="1"/>
  <c r="E54" i="8"/>
  <c r="F54" i="8" s="1"/>
  <c r="E48" i="8"/>
  <c r="F48" i="8" s="1"/>
  <c r="E44" i="8"/>
  <c r="F44" i="8" s="1"/>
  <c r="D41" i="8"/>
  <c r="C41" i="8" s="1"/>
  <c r="E40" i="8"/>
  <c r="F40" i="8" s="1"/>
  <c r="B37" i="8"/>
  <c r="E36" i="8"/>
  <c r="F36" i="8" s="1"/>
  <c r="E32" i="8"/>
  <c r="F32" i="8" s="1"/>
  <c r="L31" i="8"/>
  <c r="E28" i="8"/>
  <c r="F28" i="8" s="1"/>
  <c r="D25" i="8"/>
  <c r="C25" i="8" s="1"/>
  <c r="D21" i="8"/>
  <c r="C21" i="8" s="1"/>
  <c r="E20" i="8"/>
  <c r="F20" i="8" s="1"/>
  <c r="B20" i="8"/>
  <c r="E16" i="8"/>
  <c r="F16" i="8" s="1"/>
  <c r="D15" i="8"/>
  <c r="C15" i="8" s="1"/>
  <c r="D13" i="8"/>
  <c r="C13" i="8" s="1"/>
  <c r="B12" i="8"/>
  <c r="R174" i="6"/>
  <c r="V174" i="6" s="1"/>
  <c r="R173" i="6"/>
  <c r="R171" i="6"/>
  <c r="R168" i="6"/>
  <c r="R165" i="6"/>
  <c r="R164" i="6"/>
  <c r="R158" i="6"/>
  <c r="R142" i="6"/>
  <c r="X142" i="6" s="1"/>
  <c r="R129" i="6"/>
  <c r="X90" i="6"/>
  <c r="AI90" i="1" s="1"/>
  <c r="X87" i="6"/>
  <c r="AI87" i="1" s="1"/>
  <c r="R67" i="6"/>
  <c r="P67" i="6"/>
  <c r="O67" i="6" s="1"/>
  <c r="R66" i="6"/>
  <c r="P66" i="6"/>
  <c r="O66" i="6" s="1"/>
  <c r="R65" i="6"/>
  <c r="P65" i="6"/>
  <c r="O65" i="6" s="1"/>
  <c r="R46" i="6"/>
  <c r="V46" i="6" s="1"/>
  <c r="R42" i="6"/>
  <c r="V42" i="6" s="1"/>
  <c r="V41" i="6"/>
  <c r="R38" i="6"/>
  <c r="V38" i="6" s="1"/>
  <c r="R35" i="6"/>
  <c r="V35" i="6" s="1"/>
  <c r="R32" i="6"/>
  <c r="V32" i="6" s="1"/>
  <c r="R29" i="6"/>
  <c r="V29" i="6" s="1"/>
  <c r="R28" i="6"/>
  <c r="AH6" i="6"/>
  <c r="AD6" i="6"/>
  <c r="R229" i="7"/>
  <c r="R228" i="7"/>
  <c r="R227" i="7"/>
  <c r="R226" i="7"/>
  <c r="R225" i="7"/>
  <c r="R224" i="7"/>
  <c r="R223" i="7"/>
  <c r="R222" i="7"/>
  <c r="R221" i="7"/>
  <c r="R220" i="7"/>
  <c r="R202" i="7"/>
  <c r="R183" i="7"/>
  <c r="R182" i="7"/>
  <c r="R181" i="7"/>
  <c r="R180" i="7"/>
  <c r="R179" i="7"/>
  <c r="R178" i="7"/>
  <c r="R177" i="7"/>
  <c r="R176" i="7"/>
  <c r="R136" i="7"/>
  <c r="R135" i="7"/>
  <c r="R134" i="7"/>
  <c r="R133" i="7"/>
  <c r="R132" i="7"/>
  <c r="R131" i="7"/>
  <c r="R129" i="7"/>
  <c r="R128" i="7"/>
  <c r="R127" i="7"/>
  <c r="R126" i="7"/>
  <c r="R125" i="7"/>
  <c r="R124" i="7"/>
  <c r="R118" i="7"/>
  <c r="R117" i="7"/>
  <c r="R116" i="7"/>
  <c r="R115" i="7"/>
  <c r="R114" i="7"/>
  <c r="R113" i="7"/>
  <c r="R68" i="7"/>
  <c r="R67" i="7"/>
  <c r="R66" i="7"/>
  <c r="R65" i="7"/>
  <c r="R64" i="7"/>
  <c r="R60" i="7"/>
  <c r="R59" i="7"/>
  <c r="R58" i="7"/>
  <c r="P58" i="7"/>
  <c r="O58" i="7" s="1"/>
  <c r="R57" i="7"/>
  <c r="P57" i="7"/>
  <c r="O57" i="7" s="1"/>
  <c r="R56" i="7"/>
  <c r="P56" i="7"/>
  <c r="O56" i="7" s="1"/>
  <c r="R50" i="7"/>
  <c r="R45" i="7"/>
  <c r="R39" i="7"/>
  <c r="L24" i="7" l="1"/>
  <c r="L13" i="7"/>
  <c r="L7" i="7"/>
  <c r="L9" i="7"/>
  <c r="L18" i="7"/>
  <c r="L29" i="7"/>
  <c r="AA114" i="6"/>
  <c r="Z114" i="6" s="1"/>
  <c r="M86" i="1"/>
  <c r="A86" i="1" s="1"/>
  <c r="M82" i="1"/>
  <c r="A82" i="1" s="1"/>
  <c r="M81" i="1"/>
  <c r="A81" i="1" s="1"/>
  <c r="M83" i="1"/>
  <c r="A83" i="1" s="1"/>
  <c r="M85" i="1"/>
  <c r="A85" i="1" s="1"/>
  <c r="M84" i="1"/>
  <c r="A84" i="1" s="1"/>
  <c r="P203" i="7"/>
  <c r="P204" i="7"/>
  <c r="R61" i="6"/>
  <c r="R62" i="6" s="1"/>
  <c r="V62" i="6" s="1"/>
  <c r="R82" i="6"/>
  <c r="V82" i="6" s="1"/>
  <c r="R74" i="6"/>
  <c r="V74" i="6" s="1"/>
  <c r="R54" i="6"/>
  <c r="V54" i="6" s="1"/>
  <c r="W58" i="6"/>
  <c r="P20" i="1"/>
  <c r="U20" i="1" s="1"/>
  <c r="P19" i="1"/>
  <c r="W66" i="6"/>
  <c r="AI79" i="1" s="1"/>
  <c r="W67" i="6"/>
  <c r="AI80" i="1" s="1"/>
  <c r="L124" i="8"/>
  <c r="L140" i="8"/>
  <c r="J114" i="1"/>
  <c r="J115" i="1"/>
  <c r="B33" i="8"/>
  <c r="AL114" i="6"/>
  <c r="K261" i="8"/>
  <c r="AA7" i="8" s="1"/>
  <c r="AC7" i="8" s="1"/>
  <c r="AL116" i="6"/>
  <c r="AD115" i="6"/>
  <c r="AF115" i="6"/>
  <c r="AA115" i="6" s="1"/>
  <c r="Z115" i="6" s="1"/>
  <c r="G41" i="1"/>
  <c r="H47" i="6"/>
  <c r="E7" i="5" s="1"/>
  <c r="P202" i="7"/>
  <c r="O202" i="7" s="1"/>
  <c r="L40" i="8"/>
  <c r="L50" i="8"/>
  <c r="M113" i="8"/>
  <c r="L54" i="8"/>
  <c r="I51" i="8"/>
  <c r="I208" i="8"/>
  <c r="M208" i="8"/>
  <c r="I48" i="8"/>
  <c r="I99" i="8"/>
  <c r="M99" i="8"/>
  <c r="M117" i="8"/>
  <c r="M121" i="8"/>
  <c r="M125" i="8"/>
  <c r="I125" i="8"/>
  <c r="I213" i="8"/>
  <c r="M213" i="8"/>
  <c r="I55" i="8"/>
  <c r="M251" i="8"/>
  <c r="M112" i="8"/>
  <c r="I112" i="8"/>
  <c r="I126" i="8"/>
  <c r="M126" i="8"/>
  <c r="I198" i="8"/>
  <c r="M198" i="8"/>
  <c r="M214" i="8"/>
  <c r="I214" i="8"/>
  <c r="I128" i="8"/>
  <c r="M128" i="8"/>
  <c r="M105" i="8"/>
  <c r="I105" i="8"/>
  <c r="M127" i="8"/>
  <c r="I127" i="8"/>
  <c r="I147" i="8"/>
  <c r="I151" i="8"/>
  <c r="I155" i="8"/>
  <c r="M171" i="8"/>
  <c r="M183" i="8"/>
  <c r="M211" i="8"/>
  <c r="I211" i="8"/>
  <c r="I12" i="8"/>
  <c r="M97" i="8"/>
  <c r="L34" i="8"/>
  <c r="I53" i="8"/>
  <c r="I29" i="8"/>
  <c r="I217" i="8"/>
  <c r="M218" i="8"/>
  <c r="I52" i="8"/>
  <c r="I101" i="8"/>
  <c r="I104" i="8"/>
  <c r="I116" i="8"/>
  <c r="M231" i="8"/>
  <c r="I231" i="8"/>
  <c r="M235" i="8"/>
  <c r="I235" i="8"/>
  <c r="M243" i="8"/>
  <c r="I243" i="8"/>
  <c r="M96" i="8"/>
  <c r="I96" i="8"/>
  <c r="I232" i="8"/>
  <c r="M232" i="8"/>
  <c r="I236" i="8"/>
  <c r="M236" i="8"/>
  <c r="M93" i="8"/>
  <c r="I93" i="8"/>
  <c r="I132" i="8"/>
  <c r="I233" i="8"/>
  <c r="M233" i="8"/>
  <c r="I245" i="8"/>
  <c r="M245" i="8"/>
  <c r="I123" i="8"/>
  <c r="M123" i="8"/>
  <c r="I246" i="8"/>
  <c r="M246" i="8"/>
  <c r="I250" i="8"/>
  <c r="M250" i="8"/>
  <c r="I45" i="8"/>
  <c r="M91" i="8"/>
  <c r="I117" i="8"/>
  <c r="M118" i="8"/>
  <c r="M119" i="8"/>
  <c r="M120" i="8"/>
  <c r="M122" i="8"/>
  <c r="I149" i="8"/>
  <c r="M150" i="8"/>
  <c r="M151" i="8"/>
  <c r="M152" i="8"/>
  <c r="M174" i="8"/>
  <c r="I177" i="8"/>
  <c r="M178" i="8"/>
  <c r="M229" i="8"/>
  <c r="M230" i="8"/>
  <c r="M234" i="8"/>
  <c r="I257" i="8"/>
  <c r="M258" i="8"/>
  <c r="I215" i="8"/>
  <c r="M216" i="8"/>
  <c r="I219" i="8"/>
  <c r="M220" i="8"/>
  <c r="I56" i="8"/>
  <c r="I158" i="8"/>
  <c r="M158" i="8"/>
  <c r="I162" i="8"/>
  <c r="M162" i="8"/>
  <c r="I188" i="8"/>
  <c r="M188" i="8"/>
  <c r="I192" i="8"/>
  <c r="M192" i="8"/>
  <c r="M102" i="8"/>
  <c r="I102" i="8"/>
  <c r="I21" i="8"/>
  <c r="I85" i="8"/>
  <c r="M95" i="8"/>
  <c r="M141" i="8"/>
  <c r="I141" i="8"/>
  <c r="I159" i="8"/>
  <c r="M159" i="8"/>
  <c r="I163" i="8"/>
  <c r="M163" i="8"/>
  <c r="M199" i="8"/>
  <c r="I199" i="8"/>
  <c r="M253" i="8"/>
  <c r="I253" i="8"/>
  <c r="I260" i="8"/>
  <c r="M260" i="8"/>
  <c r="I13" i="8"/>
  <c r="M94" i="8"/>
  <c r="I94" i="8"/>
  <c r="I124" i="8"/>
  <c r="M124" i="8"/>
  <c r="I164" i="8"/>
  <c r="M164" i="8"/>
  <c r="I168" i="8"/>
  <c r="M168" i="8"/>
  <c r="I186" i="8"/>
  <c r="M186" i="8"/>
  <c r="I200" i="8"/>
  <c r="M200" i="8"/>
  <c r="I254" i="8"/>
  <c r="M254" i="8"/>
  <c r="I32" i="8"/>
  <c r="M103" i="8"/>
  <c r="I109" i="8"/>
  <c r="M111" i="8"/>
  <c r="M116" i="8"/>
  <c r="I121" i="8"/>
  <c r="I143" i="8"/>
  <c r="M143" i="8"/>
  <c r="M157" i="8"/>
  <c r="I157" i="8"/>
  <c r="M161" i="8"/>
  <c r="I161" i="8"/>
  <c r="M191" i="8"/>
  <c r="I191" i="8"/>
  <c r="I224" i="8"/>
  <c r="M224" i="8"/>
  <c r="I129" i="8"/>
  <c r="M130" i="8"/>
  <c r="M131" i="8"/>
  <c r="M132" i="8"/>
  <c r="M136" i="8"/>
  <c r="M146" i="8"/>
  <c r="M148" i="8"/>
  <c r="I153" i="8"/>
  <c r="M154" i="8"/>
  <c r="M155" i="8"/>
  <c r="M156" i="8"/>
  <c r="M160" i="8"/>
  <c r="I171" i="8"/>
  <c r="M172" i="8"/>
  <c r="M182" i="8"/>
  <c r="I195" i="8"/>
  <c r="M196" i="8"/>
  <c r="I203" i="8"/>
  <c r="M204" i="8"/>
  <c r="I247" i="8"/>
  <c r="M248" i="8"/>
  <c r="I251" i="8"/>
  <c r="M256" i="8"/>
  <c r="I14" i="8"/>
  <c r="I25" i="8"/>
  <c r="I58" i="8"/>
  <c r="I166" i="8"/>
  <c r="M166" i="8"/>
  <c r="M179" i="8"/>
  <c r="I179" i="8"/>
  <c r="I202" i="8"/>
  <c r="M202" i="8"/>
  <c r="I237" i="8"/>
  <c r="M237" i="8"/>
  <c r="I241" i="8"/>
  <c r="M241" i="8"/>
  <c r="I22" i="8"/>
  <c r="I33" i="8"/>
  <c r="I37" i="8"/>
  <c r="I41" i="8"/>
  <c r="I59" i="8"/>
  <c r="I81" i="8"/>
  <c r="M81" i="8"/>
  <c r="I134" i="8"/>
  <c r="M134" i="8"/>
  <c r="I138" i="8"/>
  <c r="M138" i="8"/>
  <c r="I176" i="8"/>
  <c r="M176" i="8"/>
  <c r="I209" i="8"/>
  <c r="M209" i="8"/>
  <c r="I228" i="8"/>
  <c r="M228" i="8"/>
  <c r="L254" i="8"/>
  <c r="I20" i="8"/>
  <c r="I30" i="8"/>
  <c r="I44" i="8"/>
  <c r="I60" i="8"/>
  <c r="M88" i="8"/>
  <c r="I88" i="8"/>
  <c r="M187" i="8"/>
  <c r="I187" i="8"/>
  <c r="M223" i="8"/>
  <c r="I223" i="8"/>
  <c r="I17" i="8"/>
  <c r="I28" i="8"/>
  <c r="I89" i="8"/>
  <c r="M89" i="8"/>
  <c r="M145" i="8"/>
  <c r="I145" i="8"/>
  <c r="I205" i="8"/>
  <c r="M205" i="8"/>
  <c r="I226" i="8"/>
  <c r="M226" i="8"/>
  <c r="I107" i="8"/>
  <c r="M107" i="8"/>
  <c r="I135" i="8"/>
  <c r="M135" i="8"/>
  <c r="I139" i="8"/>
  <c r="M139" i="8"/>
  <c r="I167" i="8"/>
  <c r="M167" i="8"/>
  <c r="I180" i="8"/>
  <c r="M180" i="8"/>
  <c r="I206" i="8"/>
  <c r="M206" i="8"/>
  <c r="I238" i="8"/>
  <c r="M238" i="8"/>
  <c r="I140" i="8"/>
  <c r="M140" i="8"/>
  <c r="M170" i="8"/>
  <c r="M184" i="8"/>
  <c r="I190" i="8"/>
  <c r="M190" i="8"/>
  <c r="I210" i="8"/>
  <c r="M210" i="8"/>
  <c r="I221" i="8"/>
  <c r="M221" i="8"/>
  <c r="I227" i="8"/>
  <c r="M240" i="8"/>
  <c r="I242" i="8"/>
  <c r="M242" i="8"/>
  <c r="I252" i="8"/>
  <c r="M252" i="8"/>
  <c r="I50" i="8"/>
  <c r="I54" i="8"/>
  <c r="I86" i="8"/>
  <c r="I108" i="8"/>
  <c r="M115" i="8"/>
  <c r="M133" i="8"/>
  <c r="I133" i="8"/>
  <c r="M137" i="8"/>
  <c r="I137" i="8"/>
  <c r="M142" i="8"/>
  <c r="I144" i="8"/>
  <c r="M144" i="8"/>
  <c r="M147" i="8"/>
  <c r="M165" i="8"/>
  <c r="I165" i="8"/>
  <c r="M169" i="8"/>
  <c r="I169" i="8"/>
  <c r="I194" i="8"/>
  <c r="M194" i="8"/>
  <c r="I207" i="8"/>
  <c r="M212" i="8"/>
  <c r="I222" i="8"/>
  <c r="M222" i="8"/>
  <c r="M225" i="8"/>
  <c r="I239" i="8"/>
  <c r="M244" i="8"/>
  <c r="I27" i="8"/>
  <c r="I43" i="8"/>
  <c r="M90" i="8"/>
  <c r="I90" i="8"/>
  <c r="M92" i="8"/>
  <c r="I92" i="8"/>
  <c r="I15" i="8"/>
  <c r="I31" i="8"/>
  <c r="I47" i="8"/>
  <c r="I11" i="8"/>
  <c r="B60" i="8"/>
  <c r="B28" i="8"/>
  <c r="B73" i="8"/>
  <c r="I19" i="8"/>
  <c r="I35" i="8"/>
  <c r="M173" i="8"/>
  <c r="I173" i="8"/>
  <c r="M175" i="8"/>
  <c r="I175" i="8"/>
  <c r="I23" i="8"/>
  <c r="I39" i="8"/>
  <c r="I106" i="8"/>
  <c r="M106" i="8"/>
  <c r="I114" i="8"/>
  <c r="M114" i="8"/>
  <c r="I110" i="8"/>
  <c r="M110" i="8"/>
  <c r="L32" i="8"/>
  <c r="L258" i="8"/>
  <c r="I82" i="8"/>
  <c r="I84" i="8"/>
  <c r="I98" i="8"/>
  <c r="I100" i="8"/>
  <c r="I189" i="8"/>
  <c r="M189" i="8"/>
  <c r="I197" i="8"/>
  <c r="M197" i="8"/>
  <c r="I255" i="8"/>
  <c r="M255" i="8"/>
  <c r="I181" i="8"/>
  <c r="I183" i="8"/>
  <c r="I185" i="8"/>
  <c r="M185" i="8"/>
  <c r="I193" i="8"/>
  <c r="M193" i="8"/>
  <c r="I201" i="8"/>
  <c r="M201" i="8"/>
  <c r="I259" i="8"/>
  <c r="M259" i="8"/>
  <c r="I249" i="8"/>
  <c r="B259" i="8"/>
  <c r="B255" i="8"/>
  <c r="B258" i="8"/>
  <c r="B254" i="8"/>
  <c r="B250" i="8"/>
  <c r="B246" i="8"/>
  <c r="B242" i="8"/>
  <c r="B257" i="8"/>
  <c r="B253" i="8"/>
  <c r="B260" i="8"/>
  <c r="B244" i="8"/>
  <c r="B238" i="8"/>
  <c r="B234" i="8"/>
  <c r="B230" i="8"/>
  <c r="B226" i="8"/>
  <c r="B222" i="8"/>
  <c r="B247" i="8"/>
  <c r="B245" i="8"/>
  <c r="B239" i="8"/>
  <c r="B237" i="8"/>
  <c r="B233" i="8"/>
  <c r="B229" i="8"/>
  <c r="B225" i="8"/>
  <c r="B252" i="8"/>
  <c r="B241" i="8"/>
  <c r="B231" i="8"/>
  <c r="B223" i="8"/>
  <c r="B221" i="8"/>
  <c r="B217" i="8"/>
  <c r="B213" i="8"/>
  <c r="B209" i="8"/>
  <c r="B205" i="8"/>
  <c r="B201" i="8"/>
  <c r="B197" i="8"/>
  <c r="B193" i="8"/>
  <c r="B189" i="8"/>
  <c r="B185" i="8"/>
  <c r="B249" i="8"/>
  <c r="B243" i="8"/>
  <c r="B240" i="8"/>
  <c r="B236" i="8"/>
  <c r="B228" i="8"/>
  <c r="B224" i="8"/>
  <c r="B216" i="8"/>
  <c r="B212" i="8"/>
  <c r="B208" i="8"/>
  <c r="B204" i="8"/>
  <c r="B200" i="8"/>
  <c r="B196" i="8"/>
  <c r="B192" i="8"/>
  <c r="B251" i="8"/>
  <c r="B235" i="8"/>
  <c r="B227" i="8"/>
  <c r="B219" i="8"/>
  <c r="B211" i="8"/>
  <c r="B203" i="8"/>
  <c r="B195" i="8"/>
  <c r="B232" i="8"/>
  <c r="B218" i="8"/>
  <c r="B210" i="8"/>
  <c r="B202" i="8"/>
  <c r="B194" i="8"/>
  <c r="B190" i="8"/>
  <c r="B188" i="8"/>
  <c r="B183" i="8"/>
  <c r="B179" i="8"/>
  <c r="B175" i="8"/>
  <c r="B171" i="8"/>
  <c r="B167" i="8"/>
  <c r="B163" i="8"/>
  <c r="B159" i="8"/>
  <c r="B155" i="8"/>
  <c r="B151" i="8"/>
  <c r="B147" i="8"/>
  <c r="B256" i="8"/>
  <c r="B215" i="8"/>
  <c r="B207" i="8"/>
  <c r="B199" i="8"/>
  <c r="B191" i="8"/>
  <c r="B182" i="8"/>
  <c r="B178" i="8"/>
  <c r="B174" i="8"/>
  <c r="B170" i="8"/>
  <c r="B166" i="8"/>
  <c r="B162" i="8"/>
  <c r="B158" i="8"/>
  <c r="B154" i="8"/>
  <c r="B186" i="8"/>
  <c r="B181" i="8"/>
  <c r="B173" i="8"/>
  <c r="B165" i="8"/>
  <c r="B157" i="8"/>
  <c r="B220" i="8"/>
  <c r="B180" i="8"/>
  <c r="B172" i="8"/>
  <c r="B248" i="8"/>
  <c r="B214" i="8"/>
  <c r="B206" i="8"/>
  <c r="B198" i="8"/>
  <c r="B177" i="8"/>
  <c r="B169" i="8"/>
  <c r="B161" i="8"/>
  <c r="B176" i="8"/>
  <c r="B164" i="8"/>
  <c r="B156" i="8"/>
  <c r="B149" i="8"/>
  <c r="B145" i="8"/>
  <c r="B141" i="8"/>
  <c r="B137" i="8"/>
  <c r="B133" i="8"/>
  <c r="B129" i="8"/>
  <c r="B125" i="8"/>
  <c r="B121" i="8"/>
  <c r="B117" i="8"/>
  <c r="B153" i="8"/>
  <c r="B152" i="8"/>
  <c r="B144" i="8"/>
  <c r="B140" i="8"/>
  <c r="B136" i="8"/>
  <c r="B132" i="8"/>
  <c r="B128" i="8"/>
  <c r="B124" i="8"/>
  <c r="B120" i="8"/>
  <c r="B116" i="8"/>
  <c r="B112" i="8"/>
  <c r="B108" i="8"/>
  <c r="B104" i="8"/>
  <c r="B100" i="8"/>
  <c r="B96" i="8"/>
  <c r="B92" i="8"/>
  <c r="B88" i="8"/>
  <c r="B84" i="8"/>
  <c r="B80" i="8"/>
  <c r="B76" i="8"/>
  <c r="B72" i="8"/>
  <c r="B68" i="8"/>
  <c r="B64" i="8"/>
  <c r="B168" i="8"/>
  <c r="B160" i="8"/>
  <c r="B148" i="8"/>
  <c r="B143" i="8"/>
  <c r="B139" i="8"/>
  <c r="B135" i="8"/>
  <c r="B131" i="8"/>
  <c r="B127" i="8"/>
  <c r="B123" i="8"/>
  <c r="B119" i="8"/>
  <c r="B115" i="8"/>
  <c r="B111" i="8"/>
  <c r="B107" i="8"/>
  <c r="B103" i="8"/>
  <c r="B99" i="8"/>
  <c r="B95" i="8"/>
  <c r="B91" i="8"/>
  <c r="B87" i="8"/>
  <c r="B83" i="8"/>
  <c r="B187" i="8"/>
  <c r="B184" i="8"/>
  <c r="B146" i="8"/>
  <c r="B134" i="8"/>
  <c r="B118" i="8"/>
  <c r="B113" i="8"/>
  <c r="B105" i="8"/>
  <c r="B97" i="8"/>
  <c r="B89" i="8"/>
  <c r="B81" i="8"/>
  <c r="B74" i="8"/>
  <c r="B66" i="8"/>
  <c r="B59" i="8"/>
  <c r="B55" i="8"/>
  <c r="B51" i="8"/>
  <c r="B47" i="8"/>
  <c r="B43" i="8"/>
  <c r="B39" i="8"/>
  <c r="B35" i="8"/>
  <c r="B130" i="8"/>
  <c r="B114" i="8"/>
  <c r="B110" i="8"/>
  <c r="B102" i="8"/>
  <c r="B94" i="8"/>
  <c r="B86" i="8"/>
  <c r="B77" i="8"/>
  <c r="B75" i="8"/>
  <c r="B69" i="8"/>
  <c r="B67" i="8"/>
  <c r="B58" i="8"/>
  <c r="B54" i="8"/>
  <c r="B50" i="8"/>
  <c r="B46" i="8"/>
  <c r="B42" i="8"/>
  <c r="B38" i="8"/>
  <c r="B34" i="8"/>
  <c r="B30" i="8"/>
  <c r="B26" i="8"/>
  <c r="B22" i="8"/>
  <c r="B18" i="8"/>
  <c r="B14" i="8"/>
  <c r="B62" i="8"/>
  <c r="B150" i="8"/>
  <c r="B142" i="8"/>
  <c r="B126" i="8"/>
  <c r="B109" i="8"/>
  <c r="B101" i="8"/>
  <c r="B93" i="8"/>
  <c r="B85" i="8"/>
  <c r="B78" i="8"/>
  <c r="B70" i="8"/>
  <c r="B57" i="8"/>
  <c r="B53" i="8"/>
  <c r="B49" i="8"/>
  <c r="B45" i="8"/>
  <c r="B41" i="8"/>
  <c r="B19" i="8"/>
  <c r="B25" i="8"/>
  <c r="B27" i="8"/>
  <c r="B52" i="8"/>
  <c r="B56" i="8"/>
  <c r="B79" i="8"/>
  <c r="B106" i="8"/>
  <c r="B24" i="8"/>
  <c r="B44" i="8"/>
  <c r="J262" i="8"/>
  <c r="AA4" i="8" s="1"/>
  <c r="AC4" i="8" s="1"/>
  <c r="B63" i="8"/>
  <c r="B71" i="8"/>
  <c r="M86" i="8"/>
  <c r="B122" i="8"/>
  <c r="B17" i="8"/>
  <c r="B48" i="8"/>
  <c r="F61" i="8"/>
  <c r="B82" i="8"/>
  <c r="B90" i="8"/>
  <c r="B98" i="8"/>
  <c r="B138" i="8"/>
  <c r="F11" i="8"/>
  <c r="B16" i="8"/>
  <c r="B11" i="8"/>
  <c r="J261" i="8"/>
  <c r="AA5" i="8" s="1"/>
  <c r="AC5" i="8" s="1"/>
  <c r="B13" i="8"/>
  <c r="B15" i="8"/>
  <c r="B21" i="8"/>
  <c r="B23" i="8"/>
  <c r="B29" i="8"/>
  <c r="B31" i="8"/>
  <c r="B32" i="8"/>
  <c r="B36" i="8"/>
  <c r="B40" i="8"/>
  <c r="K262" i="8"/>
  <c r="AA6" i="8" s="1"/>
  <c r="AC6" i="8" s="1"/>
  <c r="M82" i="8"/>
  <c r="M85" i="8"/>
  <c r="M83" i="8"/>
  <c r="M87" i="8"/>
  <c r="L259" i="8"/>
  <c r="L255" i="8"/>
  <c r="X301" i="7"/>
  <c r="W301" i="7"/>
  <c r="L301" i="7"/>
  <c r="X298" i="7"/>
  <c r="W298" i="7"/>
  <c r="L298" i="7"/>
  <c r="L293" i="7"/>
  <c r="L295" i="7" s="1"/>
  <c r="X290" i="7"/>
  <c r="W290" i="7"/>
  <c r="L290" i="7"/>
  <c r="L277" i="7"/>
  <c r="K277" i="7" s="1"/>
  <c r="H277" i="7" s="1"/>
  <c r="X273" i="7"/>
  <c r="W273" i="7"/>
  <c r="L273" i="7"/>
  <c r="X270" i="7"/>
  <c r="W270" i="7"/>
  <c r="L270" i="7"/>
  <c r="L265" i="7"/>
  <c r="W261" i="7"/>
  <c r="L261" i="7"/>
  <c r="W258" i="7"/>
  <c r="L258" i="7"/>
  <c r="L254" i="7"/>
  <c r="L251" i="7"/>
  <c r="L238" i="7"/>
  <c r="K238" i="7" s="1"/>
  <c r="H238" i="7" s="1"/>
  <c r="L232" i="7"/>
  <c r="L219" i="7"/>
  <c r="K219" i="7" s="1"/>
  <c r="H219" i="7" s="1"/>
  <c r="L206" i="7"/>
  <c r="K206" i="7" s="1"/>
  <c r="H206" i="7" s="1"/>
  <c r="X201" i="7"/>
  <c r="L201" i="7"/>
  <c r="V199" i="7"/>
  <c r="L186" i="7"/>
  <c r="L173" i="7"/>
  <c r="L168" i="7"/>
  <c r="L154" i="7"/>
  <c r="K154" i="7" s="1"/>
  <c r="H154" i="7" s="1"/>
  <c r="L149" i="7"/>
  <c r="V146" i="7"/>
  <c r="V145" i="7"/>
  <c r="V144" i="7"/>
  <c r="V142" i="7"/>
  <c r="L139" i="7"/>
  <c r="K139" i="7" s="1"/>
  <c r="H139" i="7" s="1"/>
  <c r="L122" i="7"/>
  <c r="K122" i="7" s="1"/>
  <c r="H122" i="7" s="1"/>
  <c r="L112" i="7"/>
  <c r="K112" i="7" s="1"/>
  <c r="H112" i="7" s="1"/>
  <c r="L102" i="7"/>
  <c r="R103" i="7" s="1"/>
  <c r="L91" i="7"/>
  <c r="L82" i="7"/>
  <c r="R83" i="7" s="1"/>
  <c r="L72" i="7"/>
  <c r="L63" i="7"/>
  <c r="K63" i="7" s="1"/>
  <c r="H63" i="7" s="1"/>
  <c r="L55" i="7"/>
  <c r="K55" i="7" s="1"/>
  <c r="H55" i="7" s="1"/>
  <c r="L49" i="7"/>
  <c r="K49" i="7" s="1"/>
  <c r="H49" i="7" s="1"/>
  <c r="L44" i="7"/>
  <c r="K44" i="7" s="1"/>
  <c r="H44" i="7" s="1"/>
  <c r="W203" i="7" l="1"/>
  <c r="O203" i="7"/>
  <c r="W204" i="7"/>
  <c r="O204" i="7"/>
  <c r="Q83" i="7"/>
  <c r="Q103" i="7"/>
  <c r="AA93" i="1"/>
  <c r="BD70" i="1"/>
  <c r="BF70" i="1" s="1"/>
  <c r="BD18" i="1"/>
  <c r="BF18" i="1" s="1"/>
  <c r="AA92" i="1"/>
  <c r="BD69" i="1"/>
  <c r="BF69" i="1" s="1"/>
  <c r="BD17" i="1"/>
  <c r="BF17" i="1" s="1"/>
  <c r="AA90" i="1"/>
  <c r="BD15" i="1"/>
  <c r="BF15" i="1" s="1"/>
  <c r="BD67" i="1"/>
  <c r="BF67" i="1" s="1"/>
  <c r="AA91" i="1"/>
  <c r="BD68" i="1"/>
  <c r="BF68" i="1" s="1"/>
  <c r="BD16" i="1"/>
  <c r="BF16" i="1" s="1"/>
  <c r="R97" i="7"/>
  <c r="R96" i="7"/>
  <c r="R92" i="7"/>
  <c r="R95" i="7"/>
  <c r="R93" i="7"/>
  <c r="R98" i="7"/>
  <c r="R94" i="7"/>
  <c r="AF19" i="6"/>
  <c r="AA19" i="6" s="1"/>
  <c r="Z19" i="6" s="1"/>
  <c r="K114" i="1"/>
  <c r="N114" i="1" s="1"/>
  <c r="K115" i="1"/>
  <c r="N115" i="1" s="1"/>
  <c r="Z38" i="7"/>
  <c r="V39" i="7" s="1"/>
  <c r="V38" i="7" s="1"/>
  <c r="I38" i="7" s="1"/>
  <c r="Z27" i="7"/>
  <c r="V28" i="7" s="1"/>
  <c r="V27" i="7" s="1"/>
  <c r="I27" i="7" s="1"/>
  <c r="J27" i="7" s="1"/>
  <c r="Z22" i="7"/>
  <c r="V23" i="7" s="1"/>
  <c r="V22" i="7" s="1"/>
  <c r="I22" i="7" s="1"/>
  <c r="K298" i="7"/>
  <c r="H298" i="7" s="1"/>
  <c r="R300" i="7"/>
  <c r="V300" i="7" s="1"/>
  <c r="R299" i="7"/>
  <c r="K301" i="7"/>
  <c r="H301" i="7" s="1"/>
  <c r="R303" i="7"/>
  <c r="V303" i="7" s="1"/>
  <c r="R302" i="7"/>
  <c r="X297" i="7"/>
  <c r="K173" i="7"/>
  <c r="H173" i="7" s="1"/>
  <c r="R174" i="7"/>
  <c r="K201" i="7"/>
  <c r="H201" i="7" s="1"/>
  <c r="L202" i="7"/>
  <c r="K290" i="7"/>
  <c r="H290" i="7" s="1"/>
  <c r="R292" i="7"/>
  <c r="V292" i="7" s="1"/>
  <c r="L84" i="8"/>
  <c r="M84" i="8"/>
  <c r="L70" i="8"/>
  <c r="AF106" i="6"/>
  <c r="AA106" i="6" s="1"/>
  <c r="U19" i="1"/>
  <c r="U21" i="1"/>
  <c r="K254" i="7"/>
  <c r="H254" i="7" s="1"/>
  <c r="R255" i="7"/>
  <c r="R256" i="7"/>
  <c r="V256" i="7" s="1"/>
  <c r="K261" i="7"/>
  <c r="H261" i="7" s="1"/>
  <c r="R263" i="7"/>
  <c r="V263" i="7" s="1"/>
  <c r="R262" i="7"/>
  <c r="K270" i="7"/>
  <c r="H270" i="7" s="1"/>
  <c r="R271" i="7"/>
  <c r="R272" i="7"/>
  <c r="V272" i="7" s="1"/>
  <c r="K258" i="7"/>
  <c r="H258" i="7" s="1"/>
  <c r="R259" i="7"/>
  <c r="R260" i="7"/>
  <c r="V260" i="7" s="1"/>
  <c r="K251" i="7"/>
  <c r="H251" i="7" s="1"/>
  <c r="R252" i="7"/>
  <c r="R253" i="7"/>
  <c r="V253" i="7" s="1"/>
  <c r="K273" i="7"/>
  <c r="H273" i="7" s="1"/>
  <c r="R275" i="7"/>
  <c r="V275" i="7" s="1"/>
  <c r="R274" i="7"/>
  <c r="U52" i="1"/>
  <c r="W297" i="7"/>
  <c r="K293" i="7"/>
  <c r="H293" i="7" s="1"/>
  <c r="K102" i="7"/>
  <c r="H102" i="7" s="1"/>
  <c r="R151" i="7"/>
  <c r="V151" i="7" s="1"/>
  <c r="R150" i="7"/>
  <c r="K149" i="7"/>
  <c r="H149" i="7" s="1"/>
  <c r="K72" i="7"/>
  <c r="H72" i="7" s="1"/>
  <c r="K82" i="7"/>
  <c r="H82" i="7" s="1"/>
  <c r="R188" i="7"/>
  <c r="V188" i="7" s="1"/>
  <c r="R187" i="7"/>
  <c r="K186" i="7"/>
  <c r="H186" i="7" s="1"/>
  <c r="R233" i="7"/>
  <c r="R234" i="7"/>
  <c r="V234" i="7" s="1"/>
  <c r="K232" i="7"/>
  <c r="H232" i="7" s="1"/>
  <c r="R267" i="7"/>
  <c r="V267" i="7" s="1"/>
  <c r="R266" i="7"/>
  <c r="K265" i="7"/>
  <c r="H265" i="7" s="1"/>
  <c r="K91" i="7"/>
  <c r="H91" i="7" s="1"/>
  <c r="AB82" i="7"/>
  <c r="L171" i="7"/>
  <c r="R171" i="7" s="1"/>
  <c r="R170" i="7"/>
  <c r="V170" i="7" s="1"/>
  <c r="R169" i="7"/>
  <c r="K168" i="7"/>
  <c r="H168" i="7" s="1"/>
  <c r="X277" i="7"/>
  <c r="L48" i="7"/>
  <c r="K48" i="7" s="1"/>
  <c r="L47" i="7"/>
  <c r="K47" i="7" s="1"/>
  <c r="L53" i="7"/>
  <c r="K53" i="7" s="1"/>
  <c r="L52" i="7"/>
  <c r="K52" i="7" s="1"/>
  <c r="X289" i="7"/>
  <c r="L62" i="7"/>
  <c r="K62" i="7" s="1"/>
  <c r="L61" i="7"/>
  <c r="K61" i="7" s="1"/>
  <c r="L70" i="7"/>
  <c r="K70" i="7" s="1"/>
  <c r="L69" i="7"/>
  <c r="K69" i="7" s="1"/>
  <c r="K263" i="8"/>
  <c r="Z33" i="7"/>
  <c r="V34" i="7" s="1"/>
  <c r="V33" i="7" s="1"/>
  <c r="I33" i="7" s="1"/>
  <c r="L77" i="8"/>
  <c r="L136" i="8"/>
  <c r="L152" i="8"/>
  <c r="L128" i="8"/>
  <c r="L144" i="8"/>
  <c r="L151" i="8"/>
  <c r="J15" i="7"/>
  <c r="X269" i="7"/>
  <c r="L252" i="7"/>
  <c r="J112" i="1"/>
  <c r="J113" i="1"/>
  <c r="AL115" i="6"/>
  <c r="L230" i="7"/>
  <c r="AA219" i="7" s="1"/>
  <c r="X54" i="7"/>
  <c r="L81" i="7"/>
  <c r="L235" i="7"/>
  <c r="L249" i="7"/>
  <c r="AA238" i="7" s="1"/>
  <c r="L294" i="7"/>
  <c r="L172" i="7"/>
  <c r="R172" i="7" s="1"/>
  <c r="W54" i="7"/>
  <c r="L138" i="7"/>
  <c r="L152" i="7"/>
  <c r="L165" i="7"/>
  <c r="K200" i="7"/>
  <c r="H200" i="7" s="1"/>
  <c r="L250" i="7"/>
  <c r="AB238" i="7" s="1"/>
  <c r="L262" i="7"/>
  <c r="L271" i="7"/>
  <c r="L288" i="7"/>
  <c r="L302" i="7"/>
  <c r="L120" i="7"/>
  <c r="R120" i="7" s="1"/>
  <c r="L121" i="7"/>
  <c r="R121" i="7" s="1"/>
  <c r="X43" i="7"/>
  <c r="L99" i="7"/>
  <c r="L100" i="7"/>
  <c r="L231" i="7"/>
  <c r="AB219" i="7" s="1"/>
  <c r="L236" i="7"/>
  <c r="L255" i="7"/>
  <c r="L291" i="7"/>
  <c r="L299" i="7"/>
  <c r="L217" i="7"/>
  <c r="AA206" i="7" s="1"/>
  <c r="L274" i="7"/>
  <c r="L153" i="7"/>
  <c r="W8" i="7"/>
  <c r="L137" i="7"/>
  <c r="L166" i="7"/>
  <c r="AB154" i="7" s="1"/>
  <c r="L169" i="7"/>
  <c r="L259" i="7"/>
  <c r="W269" i="7"/>
  <c r="L150" i="7"/>
  <c r="L296" i="7"/>
  <c r="W43" i="7"/>
  <c r="W6" i="7"/>
  <c r="G139" i="1"/>
  <c r="L189" i="7"/>
  <c r="L251" i="8"/>
  <c r="L100" i="8"/>
  <c r="L189" i="8"/>
  <c r="L58" i="8"/>
  <c r="L223" i="8"/>
  <c r="L116" i="8"/>
  <c r="L108" i="8"/>
  <c r="L145" i="8"/>
  <c r="L238" i="8"/>
  <c r="L190" i="8"/>
  <c r="L210" i="8"/>
  <c r="L14" i="8"/>
  <c r="L194" i="8"/>
  <c r="L76" i="8"/>
  <c r="L78" i="8"/>
  <c r="L36" i="8"/>
  <c r="L46" i="8"/>
  <c r="L42" i="8"/>
  <c r="L38" i="8"/>
  <c r="L22" i="8"/>
  <c r="L16" i="8"/>
  <c r="L202" i="8"/>
  <c r="J263" i="8"/>
  <c r="L257" i="8"/>
  <c r="L253" i="8"/>
  <c r="L252" i="8"/>
  <c r="L256" i="8"/>
  <c r="L260" i="8"/>
  <c r="I261" i="8"/>
  <c r="AA3" i="8" s="1"/>
  <c r="AC3" i="8" s="1"/>
  <c r="L110" i="7"/>
  <c r="R110" i="7" s="1"/>
  <c r="L39" i="7"/>
  <c r="L80" i="7"/>
  <c r="L90" i="7"/>
  <c r="L111" i="7"/>
  <c r="R111" i="7" s="1"/>
  <c r="L45" i="7"/>
  <c r="L50" i="7"/>
  <c r="L148" i="7"/>
  <c r="L147" i="7"/>
  <c r="L184" i="7"/>
  <c r="AA173" i="7" s="1"/>
  <c r="L185" i="7"/>
  <c r="AB173" i="7" s="1"/>
  <c r="X258" i="7"/>
  <c r="L190" i="7"/>
  <c r="L266" i="7"/>
  <c r="L268" i="7"/>
  <c r="R268" i="7" s="1"/>
  <c r="L218" i="7"/>
  <c r="L233" i="7"/>
  <c r="W257" i="7"/>
  <c r="W237" i="7" s="1"/>
  <c r="X261" i="7"/>
  <c r="L86" i="6"/>
  <c r="AH86" i="1" s="1"/>
  <c r="L49" i="6"/>
  <c r="L57" i="6"/>
  <c r="L77" i="6"/>
  <c r="L89" i="6"/>
  <c r="AH89" i="1" s="1"/>
  <c r="P196" i="7" l="1"/>
  <c r="O196" i="7" s="1"/>
  <c r="AA89" i="1"/>
  <c r="BD14" i="1"/>
  <c r="BF14" i="1" s="1"/>
  <c r="BD66" i="1"/>
  <c r="BF66" i="1" s="1"/>
  <c r="Q94" i="7"/>
  <c r="Q92" i="7"/>
  <c r="Q95" i="7"/>
  <c r="Q98" i="7"/>
  <c r="Q96" i="7"/>
  <c r="Q93" i="7"/>
  <c r="Q97" i="7"/>
  <c r="AF20" i="6"/>
  <c r="AA20" i="6" s="1"/>
  <c r="Z20" i="6" s="1"/>
  <c r="AF18" i="6"/>
  <c r="AA18" i="6" s="1"/>
  <c r="Z18" i="6" s="1"/>
  <c r="Z106" i="6"/>
  <c r="M115" i="1"/>
  <c r="A115" i="1" s="1"/>
  <c r="M114" i="1"/>
  <c r="A114" i="1" s="1"/>
  <c r="K113" i="1"/>
  <c r="N113" i="1" s="1"/>
  <c r="K112" i="1"/>
  <c r="N112" i="1" s="1"/>
  <c r="P161" i="7"/>
  <c r="O161" i="7" s="1"/>
  <c r="P163" i="7"/>
  <c r="O163" i="7" s="1"/>
  <c r="P156" i="7"/>
  <c r="O156" i="7" s="1"/>
  <c r="P157" i="7"/>
  <c r="O157" i="7" s="1"/>
  <c r="P164" i="7"/>
  <c r="Y27" i="7"/>
  <c r="I21" i="7"/>
  <c r="Y22" i="7"/>
  <c r="Q259" i="7"/>
  <c r="Q252" i="7"/>
  <c r="Q299" i="7"/>
  <c r="J22" i="7"/>
  <c r="J21" i="7" s="1"/>
  <c r="Q73" i="7"/>
  <c r="Q302" i="7"/>
  <c r="Z16" i="7"/>
  <c r="V17" i="7" s="1"/>
  <c r="V16" i="7" s="1"/>
  <c r="I16" i="7" s="1"/>
  <c r="H297" i="7"/>
  <c r="L15" i="5" s="1"/>
  <c r="H69" i="7"/>
  <c r="J69" i="7" s="1"/>
  <c r="H48" i="7"/>
  <c r="J48" i="7" s="1"/>
  <c r="H70" i="7"/>
  <c r="J70" i="7" s="1"/>
  <c r="H52" i="7"/>
  <c r="H61" i="7"/>
  <c r="J61" i="7" s="1"/>
  <c r="H53" i="7"/>
  <c r="J53" i="7" s="1"/>
  <c r="H62" i="7"/>
  <c r="J62" i="7" s="1"/>
  <c r="H47" i="7"/>
  <c r="AF107" i="6"/>
  <c r="AA107" i="6" s="1"/>
  <c r="AF105" i="6"/>
  <c r="AA105" i="6" s="1"/>
  <c r="P173" i="6"/>
  <c r="O173" i="6" s="1"/>
  <c r="H269" i="7"/>
  <c r="L12" i="5" s="1"/>
  <c r="Q262" i="7"/>
  <c r="Q255" i="7"/>
  <c r="Q274" i="7"/>
  <c r="Q271" i="7"/>
  <c r="I89" i="1"/>
  <c r="I90" i="1"/>
  <c r="I88" i="1"/>
  <c r="I87" i="1"/>
  <c r="K296" i="7"/>
  <c r="H296" i="7" s="1"/>
  <c r="H289" i="7" s="1"/>
  <c r="L14" i="5" s="1"/>
  <c r="R236" i="7"/>
  <c r="AB232" i="7"/>
  <c r="K288" i="7"/>
  <c r="H288" i="7" s="1"/>
  <c r="R288" i="7"/>
  <c r="AA277" i="7"/>
  <c r="R235" i="7"/>
  <c r="AA232" i="7"/>
  <c r="R190" i="7"/>
  <c r="AB186" i="7"/>
  <c r="R189" i="7"/>
  <c r="AA186" i="7"/>
  <c r="AA154" i="7"/>
  <c r="K166" i="7"/>
  <c r="H166" i="7" s="1"/>
  <c r="R166" i="7"/>
  <c r="N166" i="7" s="1"/>
  <c r="K231" i="7"/>
  <c r="H231" i="7" s="1"/>
  <c r="R231" i="7"/>
  <c r="K137" i="7"/>
  <c r="H137" i="7" s="1"/>
  <c r="R137" i="7"/>
  <c r="AA122" i="7"/>
  <c r="K217" i="7"/>
  <c r="H217" i="7" s="1"/>
  <c r="R217" i="7"/>
  <c r="N217" i="7" s="1"/>
  <c r="K184" i="7"/>
  <c r="H184" i="7" s="1"/>
  <c r="R184" i="7"/>
  <c r="N184" i="7" s="1"/>
  <c r="K165" i="7"/>
  <c r="H165" i="7" s="1"/>
  <c r="R165" i="7"/>
  <c r="K148" i="7"/>
  <c r="H148" i="7" s="1"/>
  <c r="R148" i="7"/>
  <c r="AB139" i="7"/>
  <c r="K218" i="7"/>
  <c r="H218" i="7" s="1"/>
  <c r="R218" i="7"/>
  <c r="K250" i="7"/>
  <c r="H250" i="7" s="1"/>
  <c r="R250" i="7"/>
  <c r="N250" i="7" s="1"/>
  <c r="K138" i="7"/>
  <c r="H138" i="7" s="1"/>
  <c r="R138" i="7"/>
  <c r="K249" i="7"/>
  <c r="H249" i="7" s="1"/>
  <c r="R249" i="7"/>
  <c r="N249" i="7" s="1"/>
  <c r="K230" i="7"/>
  <c r="H230" i="7" s="1"/>
  <c r="R230" i="7"/>
  <c r="K147" i="7"/>
  <c r="H147" i="7" s="1"/>
  <c r="R147" i="7"/>
  <c r="AA139" i="7"/>
  <c r="K185" i="7"/>
  <c r="H185" i="7" s="1"/>
  <c r="R185" i="7"/>
  <c r="N185" i="7" s="1"/>
  <c r="X276" i="7"/>
  <c r="J33" i="7"/>
  <c r="Y33" i="7"/>
  <c r="J38" i="7"/>
  <c r="Y38" i="7"/>
  <c r="K120" i="7"/>
  <c r="H120" i="7" s="1"/>
  <c r="AA112" i="7"/>
  <c r="N120" i="7" s="1"/>
  <c r="K121" i="7"/>
  <c r="H121" i="7" s="1"/>
  <c r="AB112" i="7"/>
  <c r="N121" i="7" s="1"/>
  <c r="K190" i="7"/>
  <c r="H190" i="7" s="1"/>
  <c r="R90" i="7"/>
  <c r="K90" i="7"/>
  <c r="H90" i="7" s="1"/>
  <c r="AA82" i="7"/>
  <c r="R100" i="7"/>
  <c r="K100" i="7"/>
  <c r="H100" i="7" s="1"/>
  <c r="AB91" i="7"/>
  <c r="K172" i="7"/>
  <c r="H172" i="7" s="1"/>
  <c r="AB168" i="7"/>
  <c r="N172" i="7" s="1"/>
  <c r="K171" i="7"/>
  <c r="H171" i="7" s="1"/>
  <c r="AA168" i="7"/>
  <c r="N171" i="7" s="1"/>
  <c r="Q266" i="7"/>
  <c r="Q233" i="7"/>
  <c r="Q150" i="7"/>
  <c r="K268" i="7"/>
  <c r="H268" i="7" s="1"/>
  <c r="AA265" i="7"/>
  <c r="N268" i="7" s="1"/>
  <c r="K99" i="7"/>
  <c r="H99" i="7" s="1"/>
  <c r="R99" i="7"/>
  <c r="AA91" i="7"/>
  <c r="K152" i="7"/>
  <c r="H152" i="7" s="1"/>
  <c r="R152" i="7"/>
  <c r="AA149" i="7"/>
  <c r="K81" i="7"/>
  <c r="H81" i="7" s="1"/>
  <c r="R81" i="7"/>
  <c r="AB72" i="7"/>
  <c r="K189" i="7"/>
  <c r="H189" i="7" s="1"/>
  <c r="R80" i="7"/>
  <c r="K80" i="7"/>
  <c r="H80" i="7" s="1"/>
  <c r="AA72" i="7"/>
  <c r="K110" i="7"/>
  <c r="H110" i="7" s="1"/>
  <c r="AA102" i="7"/>
  <c r="N110" i="7" s="1"/>
  <c r="K111" i="7"/>
  <c r="H111" i="7" s="1"/>
  <c r="AB102" i="7"/>
  <c r="N111" i="7" s="1"/>
  <c r="K153" i="7"/>
  <c r="H153" i="7" s="1"/>
  <c r="R153" i="7"/>
  <c r="AB149" i="7"/>
  <c r="K236" i="7"/>
  <c r="H236" i="7" s="1"/>
  <c r="Q169" i="7"/>
  <c r="Q187" i="7"/>
  <c r="K235" i="7"/>
  <c r="H235" i="7" s="1"/>
  <c r="T96" i="1"/>
  <c r="Z290" i="7" s="1"/>
  <c r="T91" i="1"/>
  <c r="H47" i="1"/>
  <c r="H44" i="1"/>
  <c r="Y90" i="1" s="1"/>
  <c r="AC90" i="1" s="1"/>
  <c r="L113" i="8"/>
  <c r="L218" i="8"/>
  <c r="L141" i="8"/>
  <c r="L125" i="8"/>
  <c r="L201" i="8"/>
  <c r="N23" i="7"/>
  <c r="L132" i="8"/>
  <c r="L222" i="8"/>
  <c r="L74" i="8"/>
  <c r="L96" i="8"/>
  <c r="L209" i="8"/>
  <c r="L226" i="8"/>
  <c r="L88" i="8"/>
  <c r="L80" i="8"/>
  <c r="L120" i="8"/>
  <c r="X6" i="7"/>
  <c r="X8" i="7"/>
  <c r="J116" i="1"/>
  <c r="X21" i="7"/>
  <c r="H257" i="7"/>
  <c r="L10" i="5" s="1"/>
  <c r="W5" i="7"/>
  <c r="X32" i="7"/>
  <c r="N34" i="7"/>
  <c r="N28" i="7"/>
  <c r="X257" i="7"/>
  <c r="X264" i="7"/>
  <c r="T95" i="1"/>
  <c r="Z277" i="7" s="1"/>
  <c r="AI65" i="1" s="1"/>
  <c r="L147" i="8"/>
  <c r="L163" i="8"/>
  <c r="L171" i="8"/>
  <c r="L30" i="8"/>
  <c r="L159" i="8"/>
  <c r="L15" i="8"/>
  <c r="L55" i="8"/>
  <c r="L155" i="8"/>
  <c r="L242" i="8"/>
  <c r="L104" i="8"/>
  <c r="L149" i="8"/>
  <c r="L20" i="8"/>
  <c r="L18" i="8"/>
  <c r="L137" i="8"/>
  <c r="L197" i="8"/>
  <c r="L250" i="8"/>
  <c r="L81" i="8"/>
  <c r="L167" i="8"/>
  <c r="L112" i="8"/>
  <c r="L244" i="8"/>
  <c r="L59" i="8"/>
  <c r="L193" i="8"/>
  <c r="L24" i="8"/>
  <c r="L121" i="8"/>
  <c r="L23" i="8"/>
  <c r="L105" i="8"/>
  <c r="L217" i="8"/>
  <c r="L43" i="8"/>
  <c r="L117" i="8"/>
  <c r="L175" i="8"/>
  <c r="L230" i="8"/>
  <c r="L185" i="8"/>
  <c r="L47" i="8"/>
  <c r="L72" i="8"/>
  <c r="L246" i="8"/>
  <c r="L179" i="8"/>
  <c r="L205" i="8"/>
  <c r="L133" i="8"/>
  <c r="L89" i="8"/>
  <c r="L48" i="8"/>
  <c r="L97" i="8"/>
  <c r="L26" i="8"/>
  <c r="L183" i="8"/>
  <c r="L27" i="8"/>
  <c r="L129" i="8"/>
  <c r="L51" i="8"/>
  <c r="L92" i="8"/>
  <c r="L213" i="8"/>
  <c r="L231" i="8"/>
  <c r="L234" i="8"/>
  <c r="N39" i="7"/>
  <c r="AI33" i="1"/>
  <c r="Q178" i="6"/>
  <c r="V177" i="6"/>
  <c r="X175" i="6"/>
  <c r="W175" i="6"/>
  <c r="L175" i="6"/>
  <c r="X172" i="6"/>
  <c r="W172" i="6"/>
  <c r="L172" i="6"/>
  <c r="X171" i="6"/>
  <c r="W168" i="6"/>
  <c r="X166" i="6"/>
  <c r="V165" i="6"/>
  <c r="X163" i="6"/>
  <c r="W163" i="6"/>
  <c r="V162" i="6"/>
  <c r="X160" i="6"/>
  <c r="W160" i="6"/>
  <c r="L160" i="6"/>
  <c r="L161" i="6" s="1"/>
  <c r="V158" i="6"/>
  <c r="X156" i="6"/>
  <c r="W156" i="6"/>
  <c r="L156" i="6"/>
  <c r="L157" i="6" s="1"/>
  <c r="V155" i="6"/>
  <c r="X153" i="6"/>
  <c r="W153" i="6"/>
  <c r="L153" i="6"/>
  <c r="L154" i="6" s="1"/>
  <c r="L150" i="6"/>
  <c r="L151" i="6" s="1"/>
  <c r="X147" i="6"/>
  <c r="L147" i="6"/>
  <c r="L148" i="6" s="1"/>
  <c r="V146" i="6"/>
  <c r="X144" i="6"/>
  <c r="W144" i="6"/>
  <c r="L144" i="6"/>
  <c r="L145" i="6" s="1"/>
  <c r="V140" i="6"/>
  <c r="W140" i="6"/>
  <c r="L140" i="6"/>
  <c r="V139" i="6"/>
  <c r="X137" i="6"/>
  <c r="W137" i="6"/>
  <c r="L138" i="6"/>
  <c r="W134" i="6"/>
  <c r="L135" i="6"/>
  <c r="V133" i="6"/>
  <c r="L132" i="6"/>
  <c r="X131" i="6"/>
  <c r="W131" i="6"/>
  <c r="V129" i="6"/>
  <c r="X127" i="6"/>
  <c r="W127" i="6"/>
  <c r="L127" i="6"/>
  <c r="V126" i="6"/>
  <c r="X124" i="6"/>
  <c r="X123" i="6" s="1"/>
  <c r="W124" i="6"/>
  <c r="W123" i="6" s="1"/>
  <c r="L124" i="6"/>
  <c r="L120" i="6"/>
  <c r="L117" i="6"/>
  <c r="L114" i="6"/>
  <c r="L92" i="6"/>
  <c r="L88" i="6"/>
  <c r="L85" i="6"/>
  <c r="V84" i="6"/>
  <c r="X44" i="6"/>
  <c r="X43" i="6" s="1"/>
  <c r="W44" i="6"/>
  <c r="W43" i="6" s="1"/>
  <c r="L44" i="6"/>
  <c r="H43" i="6"/>
  <c r="E6" i="5" s="1"/>
  <c r="X40" i="6"/>
  <c r="X39" i="6" s="1"/>
  <c r="W40" i="6"/>
  <c r="W39" i="6" s="1"/>
  <c r="L40" i="6"/>
  <c r="L41" i="6" s="1"/>
  <c r="H39" i="6"/>
  <c r="E5" i="5" s="1"/>
  <c r="X36" i="6"/>
  <c r="W36" i="6"/>
  <c r="L36" i="6"/>
  <c r="X33" i="6"/>
  <c r="W33" i="6"/>
  <c r="L33" i="6"/>
  <c r="X30" i="6"/>
  <c r="W30" i="6"/>
  <c r="L30" i="6"/>
  <c r="X27" i="6"/>
  <c r="W27" i="6"/>
  <c r="L27" i="6"/>
  <c r="X5" i="6"/>
  <c r="W5" i="6"/>
  <c r="L5" i="6"/>
  <c r="V164" i="7" l="1"/>
  <c r="AI53" i="1" s="1"/>
  <c r="O164" i="7"/>
  <c r="Y93" i="1"/>
  <c r="AC93" i="1" s="1"/>
  <c r="Z105" i="6"/>
  <c r="Z107" i="6"/>
  <c r="L45" i="6"/>
  <c r="R45" i="6"/>
  <c r="L141" i="6"/>
  <c r="R141" i="6"/>
  <c r="N141" i="6" s="1"/>
  <c r="X141" i="6" s="1"/>
  <c r="X140" i="6" s="1"/>
  <c r="I140" i="6" s="1"/>
  <c r="J140" i="6" s="1"/>
  <c r="L121" i="6"/>
  <c r="R121" i="6"/>
  <c r="L31" i="6"/>
  <c r="R31" i="6"/>
  <c r="L125" i="6"/>
  <c r="R125" i="6"/>
  <c r="L128" i="6"/>
  <c r="R128" i="6"/>
  <c r="L37" i="6"/>
  <c r="R37" i="6"/>
  <c r="L34" i="6"/>
  <c r="R34" i="6"/>
  <c r="L115" i="6"/>
  <c r="R115" i="6"/>
  <c r="L118" i="6"/>
  <c r="R118" i="6"/>
  <c r="M112" i="1"/>
  <c r="A112" i="1" s="1"/>
  <c r="M113" i="1"/>
  <c r="A113" i="1" s="1"/>
  <c r="K90" i="1"/>
  <c r="N90" i="1" s="1"/>
  <c r="K116" i="1"/>
  <c r="N116" i="1" s="1"/>
  <c r="K47" i="1"/>
  <c r="N47" i="1" s="1"/>
  <c r="K89" i="1"/>
  <c r="N89" i="1" s="1"/>
  <c r="K87" i="1"/>
  <c r="N87" i="1" s="1"/>
  <c r="K44" i="1"/>
  <c r="N44" i="1" s="1"/>
  <c r="K88" i="1"/>
  <c r="N88" i="1" s="1"/>
  <c r="Z85" i="6"/>
  <c r="AI85" i="1" s="1"/>
  <c r="AE81" i="1" s="1"/>
  <c r="AE80" i="1" s="1"/>
  <c r="R86" i="6"/>
  <c r="Z88" i="6"/>
  <c r="AI88" i="1" s="1"/>
  <c r="AE84" i="1" s="1"/>
  <c r="AE83" i="1" s="1"/>
  <c r="R89" i="6"/>
  <c r="Y16" i="7"/>
  <c r="N165" i="7"/>
  <c r="W165" i="7" s="1"/>
  <c r="N148" i="7"/>
  <c r="X148" i="7" s="1"/>
  <c r="I148" i="7" s="1"/>
  <c r="N236" i="7"/>
  <c r="X236" i="7" s="1"/>
  <c r="N230" i="7"/>
  <c r="W230" i="7" s="1"/>
  <c r="I230" i="7" s="1"/>
  <c r="N137" i="7"/>
  <c r="W137" i="7" s="1"/>
  <c r="X166" i="7"/>
  <c r="N189" i="7"/>
  <c r="W189" i="7" s="1"/>
  <c r="N235" i="7"/>
  <c r="W235" i="7" s="1"/>
  <c r="I235" i="7" s="1"/>
  <c r="N147" i="7"/>
  <c r="W147" i="7" s="1"/>
  <c r="I147" i="7" s="1"/>
  <c r="N153" i="7"/>
  <c r="X153" i="7" s="1"/>
  <c r="N152" i="7"/>
  <c r="W152" i="7" s="1"/>
  <c r="N231" i="7"/>
  <c r="X231" i="7" s="1"/>
  <c r="I231" i="7" s="1"/>
  <c r="N190" i="7"/>
  <c r="X190" i="7" s="1"/>
  <c r="N288" i="7"/>
  <c r="W288" i="7" s="1"/>
  <c r="I288" i="7" s="1"/>
  <c r="J288" i="7" s="1"/>
  <c r="N99" i="7"/>
  <c r="W99" i="7" s="1"/>
  <c r="I99" i="7" s="1"/>
  <c r="N100" i="7"/>
  <c r="X100" i="7" s="1"/>
  <c r="N80" i="7"/>
  <c r="W80" i="7" s="1"/>
  <c r="I80" i="7" s="1"/>
  <c r="N81" i="7"/>
  <c r="X81" i="7" s="1"/>
  <c r="H6" i="7"/>
  <c r="H192" i="7"/>
  <c r="L8" i="5" s="1"/>
  <c r="J47" i="7"/>
  <c r="H8" i="7"/>
  <c r="J52" i="7"/>
  <c r="L11" i="8"/>
  <c r="L51" i="7" s="1"/>
  <c r="L66" i="8"/>
  <c r="L65" i="8"/>
  <c r="H237" i="7"/>
  <c r="H167" i="7"/>
  <c r="L7" i="5" s="1"/>
  <c r="N223" i="7"/>
  <c r="V223" i="7" s="1"/>
  <c r="N227" i="7"/>
  <c r="V227" i="7" s="1"/>
  <c r="N224" i="7"/>
  <c r="V224" i="7" s="1"/>
  <c r="N228" i="7"/>
  <c r="V228" i="7" s="1"/>
  <c r="N225" i="7"/>
  <c r="V225" i="7" s="1"/>
  <c r="N229" i="7"/>
  <c r="V229" i="7" s="1"/>
  <c r="N226" i="7"/>
  <c r="V226" i="7" s="1"/>
  <c r="L173" i="6"/>
  <c r="V291" i="7"/>
  <c r="V290" i="7" s="1"/>
  <c r="X250" i="7"/>
  <c r="I250" i="7" s="1"/>
  <c r="X185" i="7"/>
  <c r="I185" i="7" s="1"/>
  <c r="W184" i="7"/>
  <c r="X121" i="7"/>
  <c r="I121" i="7" s="1"/>
  <c r="W120" i="7"/>
  <c r="I120" i="7" s="1"/>
  <c r="N90" i="7"/>
  <c r="W90" i="7" s="1"/>
  <c r="I90" i="7" s="1"/>
  <c r="W217" i="7"/>
  <c r="I217" i="7" s="1"/>
  <c r="N176" i="7"/>
  <c r="V176" i="7" s="1"/>
  <c r="N177" i="7"/>
  <c r="V177" i="7" s="1"/>
  <c r="Q280" i="7"/>
  <c r="N178" i="7"/>
  <c r="V178" i="7" s="1"/>
  <c r="N182" i="7"/>
  <c r="V182" i="7" s="1"/>
  <c r="N179" i="7"/>
  <c r="V179" i="7" s="1"/>
  <c r="N183" i="7"/>
  <c r="V183" i="7" s="1"/>
  <c r="N180" i="7"/>
  <c r="V180" i="7" s="1"/>
  <c r="N181" i="7"/>
  <c r="V181" i="7" s="1"/>
  <c r="N212" i="7"/>
  <c r="V212" i="7" s="1"/>
  <c r="N211" i="7"/>
  <c r="V211" i="7" s="1"/>
  <c r="H276" i="7"/>
  <c r="L13" i="5" s="1"/>
  <c r="N248" i="7"/>
  <c r="N244" i="7"/>
  <c r="N242" i="7"/>
  <c r="N247" i="7"/>
  <c r="N243" i="7"/>
  <c r="N246" i="7"/>
  <c r="N245" i="7"/>
  <c r="N213" i="7"/>
  <c r="V213" i="7" s="1"/>
  <c r="N210" i="7"/>
  <c r="V210" i="7" s="1"/>
  <c r="N214" i="7"/>
  <c r="V214" i="7" s="1"/>
  <c r="N215" i="7"/>
  <c r="V215" i="7" s="1"/>
  <c r="N216" i="7"/>
  <c r="V216" i="7" s="1"/>
  <c r="Z261" i="7"/>
  <c r="N262" i="7" s="1"/>
  <c r="H71" i="7"/>
  <c r="L5" i="5" s="1"/>
  <c r="J16" i="7"/>
  <c r="W268" i="7"/>
  <c r="I268" i="7" s="1"/>
  <c r="W171" i="7"/>
  <c r="I171" i="7" s="1"/>
  <c r="W110" i="7"/>
  <c r="J117" i="1"/>
  <c r="H54" i="7"/>
  <c r="H43" i="7"/>
  <c r="H46" i="1"/>
  <c r="Y92" i="1" s="1"/>
  <c r="AC92" i="1" s="1"/>
  <c r="L177" i="8"/>
  <c r="L204" i="8"/>
  <c r="L180" i="8"/>
  <c r="L118" i="8"/>
  <c r="L94" i="8"/>
  <c r="L219" i="8"/>
  <c r="L207" i="8"/>
  <c r="L243" i="8"/>
  <c r="L221" i="8"/>
  <c r="L123" i="8"/>
  <c r="X5" i="7"/>
  <c r="J137" i="1"/>
  <c r="J120" i="1"/>
  <c r="J119" i="1"/>
  <c r="J118" i="1"/>
  <c r="H45" i="1"/>
  <c r="Y91" i="1" s="1"/>
  <c r="AC91" i="1" s="1"/>
  <c r="X4" i="6"/>
  <c r="H101" i="7"/>
  <c r="L6" i="5" s="1"/>
  <c r="H264" i="7"/>
  <c r="L11" i="5" s="1"/>
  <c r="H193" i="7"/>
  <c r="V21" i="7"/>
  <c r="Y21" i="7" s="1"/>
  <c r="V32" i="7"/>
  <c r="Y32" i="7" s="1"/>
  <c r="N17" i="7"/>
  <c r="W130" i="6"/>
  <c r="W4" i="6"/>
  <c r="AI28" i="1"/>
  <c r="V134" i="6"/>
  <c r="X134" i="6"/>
  <c r="I134" i="6" s="1"/>
  <c r="L28" i="6"/>
  <c r="L98" i="8"/>
  <c r="L235" i="8"/>
  <c r="L130" i="8"/>
  <c r="L138" i="8"/>
  <c r="L154" i="8"/>
  <c r="L37" i="8"/>
  <c r="L71" i="8"/>
  <c r="L220" i="8"/>
  <c r="L184" i="8"/>
  <c r="L131" i="8"/>
  <c r="L73" i="8"/>
  <c r="L146" i="8"/>
  <c r="L240" i="8"/>
  <c r="L247" i="8"/>
  <c r="L119" i="8"/>
  <c r="L60" i="8"/>
  <c r="L191" i="8"/>
  <c r="L162" i="8"/>
  <c r="L164" i="8"/>
  <c r="L17" i="8"/>
  <c r="L188" i="8"/>
  <c r="L165" i="8"/>
  <c r="L110" i="8"/>
  <c r="L206" i="8"/>
  <c r="L115" i="8"/>
  <c r="L95" i="8"/>
  <c r="L148" i="8"/>
  <c r="L107" i="8"/>
  <c r="L224" i="8"/>
  <c r="L127" i="8"/>
  <c r="L44" i="8"/>
  <c r="L229" i="8"/>
  <c r="L215" i="8"/>
  <c r="L248" i="8"/>
  <c r="L150" i="8"/>
  <c r="L203" i="8"/>
  <c r="L101" i="8"/>
  <c r="L91" i="8"/>
  <c r="L143" i="8"/>
  <c r="L86" i="8"/>
  <c r="L212" i="8"/>
  <c r="L21" i="8"/>
  <c r="L87" i="8"/>
  <c r="L52" i="8"/>
  <c r="L158" i="8"/>
  <c r="L142" i="8"/>
  <c r="L19" i="8"/>
  <c r="L33" i="8"/>
  <c r="L166" i="8"/>
  <c r="L49" i="8"/>
  <c r="L170" i="8"/>
  <c r="L106" i="8"/>
  <c r="L172" i="8"/>
  <c r="L53" i="8"/>
  <c r="L232" i="8"/>
  <c r="L199" i="8"/>
  <c r="L156" i="8"/>
  <c r="L63" i="8"/>
  <c r="L237" i="8"/>
  <c r="L169" i="8"/>
  <c r="L82" i="8"/>
  <c r="L28" i="8"/>
  <c r="L239" i="8"/>
  <c r="L160" i="8"/>
  <c r="L29" i="8"/>
  <c r="L109" i="8"/>
  <c r="L241" i="8"/>
  <c r="L173" i="8"/>
  <c r="L228" i="8"/>
  <c r="L227" i="8"/>
  <c r="L236" i="8"/>
  <c r="L198" i="8"/>
  <c r="L90" i="8"/>
  <c r="L192" i="8"/>
  <c r="L153" i="8"/>
  <c r="L186" i="8"/>
  <c r="L41" i="8"/>
  <c r="L83" i="8"/>
  <c r="L214" i="8"/>
  <c r="L114" i="8"/>
  <c r="L139" i="8"/>
  <c r="L135" i="8"/>
  <c r="L211" i="8"/>
  <c r="L56" i="8"/>
  <c r="L174" i="8"/>
  <c r="L75" i="8"/>
  <c r="L102" i="8"/>
  <c r="L93" i="8"/>
  <c r="L79" i="8"/>
  <c r="L103" i="8"/>
  <c r="L233" i="8"/>
  <c r="L168" i="8"/>
  <c r="L99" i="8"/>
  <c r="L45" i="8"/>
  <c r="L134" i="8"/>
  <c r="L225" i="8"/>
  <c r="L25" i="8"/>
  <c r="L200" i="8"/>
  <c r="L249" i="8"/>
  <c r="L182" i="8"/>
  <c r="L178" i="8"/>
  <c r="L161" i="8"/>
  <c r="L122" i="8"/>
  <c r="L245" i="8"/>
  <c r="L216" i="8"/>
  <c r="L157" i="8"/>
  <c r="L126" i="8"/>
  <c r="L208" i="8"/>
  <c r="L195" i="8"/>
  <c r="L85" i="8"/>
  <c r="L57" i="8"/>
  <c r="L196" i="8"/>
  <c r="L181" i="8"/>
  <c r="H4" i="6"/>
  <c r="E4" i="5" s="1"/>
  <c r="H159" i="6"/>
  <c r="E13" i="5" s="1"/>
  <c r="H91" i="6"/>
  <c r="E9" i="5" s="1"/>
  <c r="H123" i="6"/>
  <c r="E10" i="5" s="1"/>
  <c r="H143" i="6"/>
  <c r="E12" i="5" s="1"/>
  <c r="H130" i="6"/>
  <c r="E11" i="5" s="1"/>
  <c r="Q179" i="6"/>
  <c r="AI30" i="1"/>
  <c r="H84" i="6"/>
  <c r="E8" i="5" s="1"/>
  <c r="AI29" i="1"/>
  <c r="Y140" i="6" l="1"/>
  <c r="M116" i="1"/>
  <c r="A116" i="1" s="1"/>
  <c r="M87" i="1"/>
  <c r="A87" i="1" s="1"/>
  <c r="M90" i="1"/>
  <c r="A90" i="1" s="1"/>
  <c r="M44" i="1"/>
  <c r="A44" i="1" s="1"/>
  <c r="M89" i="1"/>
  <c r="A89" i="1" s="1"/>
  <c r="M88" i="1"/>
  <c r="A88" i="1" s="1"/>
  <c r="M47" i="1"/>
  <c r="A47" i="1" s="1"/>
  <c r="K118" i="1"/>
  <c r="N118" i="1" s="1"/>
  <c r="K46" i="1"/>
  <c r="N46" i="1" s="1"/>
  <c r="K117" i="1"/>
  <c r="N117" i="1" s="1"/>
  <c r="K119" i="1"/>
  <c r="N119" i="1" s="1"/>
  <c r="K120" i="1"/>
  <c r="N120" i="1" s="1"/>
  <c r="K45" i="1"/>
  <c r="N45" i="1" s="1"/>
  <c r="K137" i="1"/>
  <c r="P144" i="1" s="1"/>
  <c r="N86" i="6"/>
  <c r="X86" i="6" s="1"/>
  <c r="AI86" i="1" s="1"/>
  <c r="L13" i="8"/>
  <c r="I166" i="7"/>
  <c r="J166" i="7" s="1"/>
  <c r="X154" i="7"/>
  <c r="H5" i="7"/>
  <c r="L4" i="5" s="1"/>
  <c r="L67" i="8"/>
  <c r="L62" i="8"/>
  <c r="L61" i="8"/>
  <c r="L46" i="7" s="1"/>
  <c r="L12" i="8"/>
  <c r="L68" i="8"/>
  <c r="L64" i="8"/>
  <c r="L69" i="8"/>
  <c r="L9" i="5"/>
  <c r="H191" i="7"/>
  <c r="Y134" i="6"/>
  <c r="Y290" i="7"/>
  <c r="D15" i="4" s="1"/>
  <c r="I290" i="7"/>
  <c r="J290" i="7" s="1"/>
  <c r="I81" i="7"/>
  <c r="J81" i="7" s="1"/>
  <c r="J127" i="1"/>
  <c r="I153" i="7"/>
  <c r="J153" i="7" s="1"/>
  <c r="I99" i="1"/>
  <c r="I165" i="7"/>
  <c r="J165" i="7" s="1"/>
  <c r="J122" i="1"/>
  <c r="I100" i="7"/>
  <c r="J100" i="7" s="1"/>
  <c r="I101" i="1"/>
  <c r="I184" i="7"/>
  <c r="J184" i="7" s="1"/>
  <c r="X186" i="7"/>
  <c r="I190" i="7"/>
  <c r="J190" i="7" s="1"/>
  <c r="I236" i="7"/>
  <c r="J236" i="7" s="1"/>
  <c r="I94" i="1"/>
  <c r="I110" i="7"/>
  <c r="J110" i="7" s="1"/>
  <c r="I137" i="7"/>
  <c r="J137" i="7" s="1"/>
  <c r="I98" i="1"/>
  <c r="I152" i="7"/>
  <c r="J152" i="7" s="1"/>
  <c r="I102" i="1"/>
  <c r="I189" i="7"/>
  <c r="J189" i="7" s="1"/>
  <c r="V262" i="7"/>
  <c r="V261" i="7" s="1"/>
  <c r="I261" i="7" s="1"/>
  <c r="X238" i="7"/>
  <c r="X237" i="7" s="1"/>
  <c r="J250" i="7"/>
  <c r="J136" i="1"/>
  <c r="W249" i="7"/>
  <c r="X219" i="7"/>
  <c r="J231" i="7"/>
  <c r="J134" i="1"/>
  <c r="I105" i="1"/>
  <c r="J230" i="7"/>
  <c r="W219" i="7"/>
  <c r="W173" i="7"/>
  <c r="X173" i="7"/>
  <c r="J130" i="1"/>
  <c r="J185" i="7"/>
  <c r="X172" i="7"/>
  <c r="J148" i="7"/>
  <c r="J126" i="1"/>
  <c r="X139" i="7"/>
  <c r="W139" i="7"/>
  <c r="I97" i="1"/>
  <c r="J147" i="7"/>
  <c r="J121" i="7"/>
  <c r="J124" i="1"/>
  <c r="X112" i="7"/>
  <c r="I95" i="1"/>
  <c r="W112" i="7"/>
  <c r="J120" i="7"/>
  <c r="I104" i="1"/>
  <c r="J217" i="7"/>
  <c r="W206" i="7"/>
  <c r="J171" i="7"/>
  <c r="I100" i="1"/>
  <c r="W232" i="7"/>
  <c r="I106" i="1"/>
  <c r="J268" i="7"/>
  <c r="I108" i="1"/>
  <c r="W91" i="7"/>
  <c r="W82" i="7" s="1"/>
  <c r="I93" i="1"/>
  <c r="W277" i="7"/>
  <c r="W276" i="7" s="1"/>
  <c r="I109" i="1"/>
  <c r="J90" i="7"/>
  <c r="I92" i="1"/>
  <c r="AI68" i="1"/>
  <c r="AH64" i="1"/>
  <c r="AH63" i="1"/>
  <c r="Q281" i="7"/>
  <c r="Q287" i="7"/>
  <c r="AI75" i="1"/>
  <c r="AI72" i="1"/>
  <c r="Q284" i="7"/>
  <c r="Q285" i="7"/>
  <c r="AI73" i="1"/>
  <c r="AI74" i="1"/>
  <c r="Q286" i="7"/>
  <c r="J128" i="1"/>
  <c r="W154" i="7"/>
  <c r="W122" i="7"/>
  <c r="I96" i="1" s="1"/>
  <c r="J131" i="1"/>
  <c r="J135" i="1"/>
  <c r="X111" i="7"/>
  <c r="J99" i="7"/>
  <c r="W265" i="7"/>
  <c r="X232" i="7"/>
  <c r="W168" i="7"/>
  <c r="J235" i="7"/>
  <c r="X91" i="7"/>
  <c r="X82" i="7" s="1"/>
  <c r="W149" i="7"/>
  <c r="W186" i="7"/>
  <c r="W102" i="7"/>
  <c r="X149" i="7"/>
  <c r="J121" i="1"/>
  <c r="I91" i="1"/>
  <c r="H77" i="1"/>
  <c r="J32" i="7"/>
  <c r="I32" i="7"/>
  <c r="L111" i="8"/>
  <c r="L176" i="8"/>
  <c r="L187" i="8"/>
  <c r="H43" i="1"/>
  <c r="Y89" i="1" s="1"/>
  <c r="AC89" i="1" s="1"/>
  <c r="X130" i="6"/>
  <c r="X72" i="7"/>
  <c r="J134" i="6"/>
  <c r="H183" i="6"/>
  <c r="N137" i="1" l="1"/>
  <c r="T144" i="1"/>
  <c r="AB122" i="7" s="1"/>
  <c r="N138" i="7" s="1"/>
  <c r="X138" i="7" s="1"/>
  <c r="M45" i="1"/>
  <c r="A45" i="1" s="1"/>
  <c r="M117" i="1"/>
  <c r="A117" i="1" s="1"/>
  <c r="M137" i="1"/>
  <c r="A137" i="1" s="1"/>
  <c r="M120" i="1"/>
  <c r="A120" i="1" s="1"/>
  <c r="M46" i="1"/>
  <c r="A46" i="1" s="1"/>
  <c r="M119" i="1"/>
  <c r="A119" i="1" s="1"/>
  <c r="M118" i="1"/>
  <c r="A118" i="1" s="1"/>
  <c r="L261" i="8"/>
  <c r="AA9" i="8" s="1"/>
  <c r="AC9" i="8" s="1"/>
  <c r="X85" i="6"/>
  <c r="I85" i="6" s="1"/>
  <c r="J85" i="6" s="1"/>
  <c r="K109" i="1"/>
  <c r="N109" i="1" s="1"/>
  <c r="K135" i="1"/>
  <c r="N135" i="1" s="1"/>
  <c r="K131" i="1"/>
  <c r="N131" i="1" s="1"/>
  <c r="K92" i="1"/>
  <c r="N92" i="1" s="1"/>
  <c r="K93" i="1"/>
  <c r="N93" i="1" s="1"/>
  <c r="K106" i="1"/>
  <c r="N106" i="1" s="1"/>
  <c r="K130" i="1"/>
  <c r="N130" i="1" s="1"/>
  <c r="K94" i="1"/>
  <c r="N94" i="1" s="1"/>
  <c r="K108" i="1"/>
  <c r="N108" i="1" s="1"/>
  <c r="K91" i="1"/>
  <c r="N91" i="1" s="1"/>
  <c r="K121" i="1"/>
  <c r="N121" i="1" s="1"/>
  <c r="K96" i="1"/>
  <c r="N96" i="1" s="1"/>
  <c r="K95" i="1"/>
  <c r="N95" i="1" s="1"/>
  <c r="K126" i="1"/>
  <c r="N126" i="1" s="1"/>
  <c r="K105" i="1"/>
  <c r="N105" i="1" s="1"/>
  <c r="K98" i="1"/>
  <c r="N98" i="1" s="1"/>
  <c r="K101" i="1"/>
  <c r="K99" i="1"/>
  <c r="N99" i="1" s="1"/>
  <c r="K104" i="1"/>
  <c r="N104" i="1" s="1"/>
  <c r="K134" i="1"/>
  <c r="N134" i="1" s="1"/>
  <c r="K136" i="1"/>
  <c r="N136" i="1" s="1"/>
  <c r="K43" i="1"/>
  <c r="K100" i="1"/>
  <c r="N100" i="1" s="1"/>
  <c r="K97" i="1"/>
  <c r="N97" i="1" s="1"/>
  <c r="K77" i="1"/>
  <c r="K128" i="1"/>
  <c r="N128" i="1" s="1"/>
  <c r="K124" i="1"/>
  <c r="N124" i="1" s="1"/>
  <c r="K102" i="1"/>
  <c r="N102" i="1" s="1"/>
  <c r="K122" i="1"/>
  <c r="N122" i="1" s="1"/>
  <c r="K127" i="1"/>
  <c r="N127" i="1" s="1"/>
  <c r="H4" i="7"/>
  <c r="H304" i="7" s="1"/>
  <c r="J123" i="1"/>
  <c r="I111" i="7"/>
  <c r="J111" i="7" s="1"/>
  <c r="J129" i="1"/>
  <c r="I172" i="7"/>
  <c r="J172" i="7" s="1"/>
  <c r="I107" i="1"/>
  <c r="I249" i="7"/>
  <c r="J249" i="7" s="1"/>
  <c r="Y261" i="7"/>
  <c r="H72" i="1"/>
  <c r="J261" i="7"/>
  <c r="X168" i="7"/>
  <c r="AI70" i="1"/>
  <c r="Q282" i="7"/>
  <c r="Q279" i="7"/>
  <c r="AI67" i="1"/>
  <c r="Q283" i="7"/>
  <c r="AI71" i="1"/>
  <c r="V157" i="7"/>
  <c r="AI46" i="1" s="1"/>
  <c r="W264" i="7"/>
  <c r="X102" i="7"/>
  <c r="W101" i="7"/>
  <c r="W167" i="7"/>
  <c r="J80" i="7"/>
  <c r="W72" i="7"/>
  <c r="L262" i="8"/>
  <c r="AA8" i="8" s="1"/>
  <c r="AC8" i="8" s="1"/>
  <c r="X71" i="7"/>
  <c r="I138" i="7" l="1"/>
  <c r="J138" i="7" s="1"/>
  <c r="X122" i="7"/>
  <c r="J125" i="1" s="1"/>
  <c r="K125" i="1" s="1"/>
  <c r="N125" i="1" s="1"/>
  <c r="AA95" i="1"/>
  <c r="BD20" i="1"/>
  <c r="BF20" i="1" s="1"/>
  <c r="BD72" i="1"/>
  <c r="BF72" i="1" s="1"/>
  <c r="AA94" i="1"/>
  <c r="BD71" i="1"/>
  <c r="BF71" i="1" s="1"/>
  <c r="BD19" i="1"/>
  <c r="BF19" i="1" s="1"/>
  <c r="Z49" i="7"/>
  <c r="N50" i="7" s="1"/>
  <c r="M124" i="1"/>
  <c r="A124" i="1" s="1"/>
  <c r="M134" i="1"/>
  <c r="A134" i="1" s="1"/>
  <c r="M96" i="1"/>
  <c r="A96" i="1" s="1"/>
  <c r="M93" i="1"/>
  <c r="A93" i="1" s="1"/>
  <c r="M109" i="1"/>
  <c r="A109" i="1" s="1"/>
  <c r="M127" i="1"/>
  <c r="A127" i="1" s="1"/>
  <c r="M128" i="1"/>
  <c r="A128" i="1" s="1"/>
  <c r="M100" i="1"/>
  <c r="A100" i="1" s="1"/>
  <c r="M104" i="1"/>
  <c r="A104" i="1" s="1"/>
  <c r="M105" i="1"/>
  <c r="A105" i="1" s="1"/>
  <c r="M94" i="1"/>
  <c r="A94" i="1" s="1"/>
  <c r="M92" i="1"/>
  <c r="A92" i="1" s="1"/>
  <c r="M122" i="1"/>
  <c r="A122" i="1" s="1"/>
  <c r="M99" i="1"/>
  <c r="A99" i="1" s="1"/>
  <c r="M126" i="1"/>
  <c r="A126" i="1" s="1"/>
  <c r="M121" i="1"/>
  <c r="A121" i="1" s="1"/>
  <c r="M130" i="1"/>
  <c r="A130" i="1" s="1"/>
  <c r="M131" i="1"/>
  <c r="A131" i="1" s="1"/>
  <c r="M97" i="1"/>
  <c r="A97" i="1" s="1"/>
  <c r="M98" i="1"/>
  <c r="A98" i="1" s="1"/>
  <c r="M108" i="1"/>
  <c r="A108" i="1" s="1"/>
  <c r="M102" i="1"/>
  <c r="A102" i="1" s="1"/>
  <c r="M136" i="1"/>
  <c r="A136" i="1" s="1"/>
  <c r="M95" i="1"/>
  <c r="A95" i="1" s="1"/>
  <c r="M91" i="1"/>
  <c r="A91" i="1" s="1"/>
  <c r="M106" i="1"/>
  <c r="A106" i="1" s="1"/>
  <c r="M135" i="1"/>
  <c r="A135" i="1" s="1"/>
  <c r="Y85" i="6"/>
  <c r="K72" i="1"/>
  <c r="K129" i="1"/>
  <c r="N129" i="1" s="1"/>
  <c r="K107" i="1"/>
  <c r="N107" i="1" s="1"/>
  <c r="K123" i="1"/>
  <c r="N123" i="1" s="1"/>
  <c r="Z44" i="7"/>
  <c r="V45" i="7" s="1"/>
  <c r="V44" i="7" s="1"/>
  <c r="V40" i="6"/>
  <c r="X167" i="7"/>
  <c r="V143" i="7"/>
  <c r="W71" i="7"/>
  <c r="W4" i="7" s="1"/>
  <c r="L263" i="8"/>
  <c r="X101" i="7" l="1"/>
  <c r="X4" i="7" s="1"/>
  <c r="M125" i="1"/>
  <c r="A125" i="1" s="1"/>
  <c r="V50" i="7"/>
  <c r="V49" i="7" s="1"/>
  <c r="I49" i="7" s="1"/>
  <c r="M129" i="1"/>
  <c r="A129" i="1" s="1"/>
  <c r="M123" i="1"/>
  <c r="A123" i="1" s="1"/>
  <c r="M107" i="1"/>
  <c r="A107" i="1" s="1"/>
  <c r="I40" i="6"/>
  <c r="Y40" i="6"/>
  <c r="Y39" i="6" s="1"/>
  <c r="V39" i="6"/>
  <c r="N45" i="7"/>
  <c r="Y44" i="7"/>
  <c r="I44" i="7"/>
  <c r="H48" i="1"/>
  <c r="Y94" i="1" s="1"/>
  <c r="AC94" i="1" s="1"/>
  <c r="A15" i="13"/>
  <c r="A15" i="14"/>
  <c r="C13" i="14"/>
  <c r="F6" i="14"/>
  <c r="D22" i="14" s="1"/>
  <c r="D6" i="14"/>
  <c r="D4" i="14"/>
  <c r="A21" i="14" s="1"/>
  <c r="C13" i="13"/>
  <c r="F6" i="13"/>
  <c r="D22" i="13" s="1"/>
  <c r="D6" i="13"/>
  <c r="D4" i="13"/>
  <c r="A21" i="13" s="1"/>
  <c r="F6" i="9"/>
  <c r="D18" i="9" s="1"/>
  <c r="D6" i="9"/>
  <c r="C12" i="9"/>
  <c r="D4" i="9"/>
  <c r="A17" i="9" s="1"/>
  <c r="D9" i="4"/>
  <c r="D5" i="4"/>
  <c r="B9" i="3"/>
  <c r="A1" i="16" s="1"/>
  <c r="E2" i="3"/>
  <c r="V156" i="7"/>
  <c r="AH26" i="1"/>
  <c r="L61" i="6"/>
  <c r="AH43" i="1"/>
  <c r="AH54" i="1"/>
  <c r="R158" i="7"/>
  <c r="Y49" i="7" l="1"/>
  <c r="H49" i="1"/>
  <c r="Y95" i="1" s="1"/>
  <c r="AC95" i="1" s="1"/>
  <c r="V43" i="7"/>
  <c r="Y43" i="7" s="1"/>
  <c r="AF11" i="1"/>
  <c r="K48" i="1"/>
  <c r="J40" i="6"/>
  <c r="J39" i="6" s="1"/>
  <c r="G5" i="5" s="1"/>
  <c r="I39" i="6"/>
  <c r="F5" i="5" s="1"/>
  <c r="R161" i="7"/>
  <c r="V161" i="7" s="1"/>
  <c r="AI50" i="1" s="1"/>
  <c r="R160" i="7"/>
  <c r="V160" i="7" s="1"/>
  <c r="AI49" i="1" s="1"/>
  <c r="R163" i="7"/>
  <c r="V163" i="7" s="1"/>
  <c r="AI52" i="1" s="1"/>
  <c r="R159" i="7"/>
  <c r="V159" i="7" s="1"/>
  <c r="AI48" i="1" s="1"/>
  <c r="R162" i="7"/>
  <c r="AI45" i="1"/>
  <c r="L17" i="5"/>
  <c r="J44" i="7"/>
  <c r="J49" i="7"/>
  <c r="I43" i="7"/>
  <c r="L81" i="6"/>
  <c r="L73" i="6"/>
  <c r="L53" i="6"/>
  <c r="A264" i="8"/>
  <c r="Q184" i="6"/>
  <c r="Q305" i="7"/>
  <c r="AD27" i="6"/>
  <c r="AL27" i="6" s="1"/>
  <c r="E17" i="5"/>
  <c r="B24" i="4"/>
  <c r="L18" i="5"/>
  <c r="K49" i="1" l="1"/>
  <c r="AE11" i="1"/>
  <c r="AC100" i="1"/>
  <c r="J43" i="7"/>
  <c r="J38" i="1"/>
  <c r="J37" i="1"/>
  <c r="H8" i="1"/>
  <c r="J35" i="1"/>
  <c r="AD99" i="6" l="1"/>
  <c r="AD12" i="6"/>
  <c r="K35" i="1"/>
  <c r="N35" i="1" s="1"/>
  <c r="K37" i="1"/>
  <c r="N37" i="1" s="1"/>
  <c r="K8" i="1"/>
  <c r="N8" i="1" s="1"/>
  <c r="K38" i="1"/>
  <c r="N38" i="1" s="1"/>
  <c r="M38" i="1" l="1"/>
  <c r="A38" i="1" s="1"/>
  <c r="M8" i="1"/>
  <c r="A8" i="1" s="1"/>
  <c r="M37" i="1"/>
  <c r="A37" i="1" s="1"/>
  <c r="M35" i="1"/>
  <c r="A35" i="1" s="1"/>
  <c r="N89" i="6" l="1"/>
  <c r="X89" i="6" s="1"/>
  <c r="X88" i="6" s="1"/>
  <c r="I88" i="6" s="1"/>
  <c r="J36" i="1" l="1"/>
  <c r="Y88" i="6"/>
  <c r="Y84" i="6" s="1"/>
  <c r="X84" i="6"/>
  <c r="AI89" i="1"/>
  <c r="K36" i="1" l="1"/>
  <c r="N36" i="1" s="1"/>
  <c r="I84" i="6"/>
  <c r="F8" i="5" s="1"/>
  <c r="J88" i="6"/>
  <c r="J84" i="6" s="1"/>
  <c r="G8" i="5" s="1"/>
  <c r="W147" i="6"/>
  <c r="I147" i="6" s="1"/>
  <c r="M36" i="1" l="1"/>
  <c r="A36" i="1" s="1"/>
  <c r="W143" i="6"/>
  <c r="Y147" i="6"/>
  <c r="I33" i="1"/>
  <c r="J147" i="6"/>
  <c r="AD104" i="6" l="1"/>
  <c r="AD17" i="6"/>
  <c r="K33" i="1"/>
  <c r="AH61" i="1" l="1"/>
  <c r="AH62" i="1"/>
  <c r="N281" i="7" l="1"/>
  <c r="V281" i="7" s="1"/>
  <c r="AI69" i="1" s="1"/>
  <c r="AE62" i="1" s="1"/>
  <c r="AE61" i="1" s="1"/>
  <c r="V278" i="7" l="1"/>
  <c r="AI66" i="1" s="1"/>
  <c r="V277" i="7" l="1"/>
  <c r="V276" i="7" l="1"/>
  <c r="I277" i="7"/>
  <c r="Y277" i="7"/>
  <c r="H76" i="1"/>
  <c r="K76" i="1" l="1"/>
  <c r="J277" i="7"/>
  <c r="J276" i="7" s="1"/>
  <c r="I276" i="7"/>
  <c r="Y276" i="7"/>
  <c r="M13" i="5" l="1"/>
  <c r="N13" i="5"/>
  <c r="D26" i="15" l="1"/>
  <c r="D3" i="15"/>
  <c r="T52" i="1" l="1"/>
  <c r="Z196" i="7" s="1"/>
  <c r="N196" i="7" s="1"/>
  <c r="Z172" i="6" l="1"/>
  <c r="N173" i="6" s="1"/>
  <c r="V173" i="6" s="1"/>
  <c r="V172" i="6" s="1"/>
  <c r="I172" i="6" s="1"/>
  <c r="J172" i="6" s="1"/>
  <c r="V196" i="7"/>
  <c r="H27" i="1" l="1"/>
  <c r="Y172" i="6"/>
  <c r="U26" i="1"/>
  <c r="U25" i="1"/>
  <c r="U23" i="1"/>
  <c r="AF22" i="6" s="1"/>
  <c r="AA22" i="6" s="1"/>
  <c r="P13" i="1"/>
  <c r="P15" i="1"/>
  <c r="U15" i="1" s="1"/>
  <c r="P14" i="1"/>
  <c r="U14" i="1" s="1"/>
  <c r="P18" i="1"/>
  <c r="U18" i="1" s="1"/>
  <c r="P16" i="1"/>
  <c r="U16" i="1" s="1"/>
  <c r="P10" i="1"/>
  <c r="U10" i="1" s="1"/>
  <c r="P11" i="1"/>
  <c r="U11" i="1" s="1"/>
  <c r="P8" i="1"/>
  <c r="U8" i="1" s="1"/>
  <c r="P7" i="1"/>
  <c r="AF10" i="6" l="1"/>
  <c r="AA10" i="6" s="1"/>
  <c r="Z10" i="6" s="1"/>
  <c r="AF13" i="6"/>
  <c r="AA13" i="6" s="1"/>
  <c r="Z13" i="6" s="1"/>
  <c r="AF24" i="6"/>
  <c r="AA24" i="6" s="1"/>
  <c r="Z24" i="6" s="1"/>
  <c r="AF9" i="6"/>
  <c r="AA9" i="6" s="1"/>
  <c r="Z9" i="6" s="1"/>
  <c r="AF14" i="6"/>
  <c r="AA14" i="6" s="1"/>
  <c r="AF25" i="6"/>
  <c r="AA25" i="6" s="1"/>
  <c r="Z25" i="6" s="1"/>
  <c r="AF15" i="6"/>
  <c r="AA15" i="6" s="1"/>
  <c r="AF7" i="6"/>
  <c r="AA7" i="6" s="1"/>
  <c r="AF17" i="6"/>
  <c r="AA17" i="6" s="1"/>
  <c r="Z17" i="6" s="1"/>
  <c r="AL13" i="6"/>
  <c r="AL22" i="6"/>
  <c r="K27" i="1"/>
  <c r="U13" i="1"/>
  <c r="AF12" i="6" s="1"/>
  <c r="AA12" i="6" s="1"/>
  <c r="P17" i="1"/>
  <c r="U17" i="1" s="1"/>
  <c r="U7" i="1"/>
  <c r="P9" i="1"/>
  <c r="U9" i="1" s="1"/>
  <c r="AF111" i="6"/>
  <c r="AA111" i="6" s="1"/>
  <c r="AF112" i="6"/>
  <c r="AA112" i="6" s="1"/>
  <c r="U24" i="1"/>
  <c r="AF23" i="6" s="1"/>
  <c r="AA23" i="6" s="1"/>
  <c r="U22" i="1"/>
  <c r="AF21" i="6" s="1"/>
  <c r="AA21" i="6" s="1"/>
  <c r="AF109" i="6"/>
  <c r="AA109" i="6" s="1"/>
  <c r="AF104" i="6"/>
  <c r="AA104" i="6" s="1"/>
  <c r="AF100" i="6"/>
  <c r="AA100" i="6" s="1"/>
  <c r="AF101" i="6"/>
  <c r="AA101" i="6" s="1"/>
  <c r="AF102" i="6"/>
  <c r="AA102" i="6" s="1"/>
  <c r="U12" i="1"/>
  <c r="AF97" i="6"/>
  <c r="AA97" i="6" s="1"/>
  <c r="AF96" i="6"/>
  <c r="AA96" i="6" s="1"/>
  <c r="AF94" i="6"/>
  <c r="AL10" i="6" l="1"/>
  <c r="AL17" i="6"/>
  <c r="AF6" i="6"/>
  <c r="AA6" i="6" s="1"/>
  <c r="Z6" i="6" s="1"/>
  <c r="AF16" i="6"/>
  <c r="AA16" i="6" s="1"/>
  <c r="AA94" i="6"/>
  <c r="AF11" i="6"/>
  <c r="AA11" i="6" s="1"/>
  <c r="Z11" i="6" s="1"/>
  <c r="AL7" i="6"/>
  <c r="AF8" i="6"/>
  <c r="AA8" i="6" s="1"/>
  <c r="Z8" i="6" s="1"/>
  <c r="AL24" i="6"/>
  <c r="AL9" i="6"/>
  <c r="AL109" i="6"/>
  <c r="AL111" i="6"/>
  <c r="Z111" i="6"/>
  <c r="Z112" i="6"/>
  <c r="AL100" i="6"/>
  <c r="AL96" i="6"/>
  <c r="Z96" i="6"/>
  <c r="AL97" i="6"/>
  <c r="Z97" i="6"/>
  <c r="AL23" i="6"/>
  <c r="AL21" i="6"/>
  <c r="AF99" i="6"/>
  <c r="AA99" i="6" s="1"/>
  <c r="Z12" i="6"/>
  <c r="L162" i="7"/>
  <c r="AH51" i="1" s="1"/>
  <c r="P162" i="7"/>
  <c r="AF93" i="6"/>
  <c r="AA93" i="6" s="1"/>
  <c r="AF95" i="6"/>
  <c r="AA95" i="6" s="1"/>
  <c r="AF108" i="6"/>
  <c r="AA108" i="6" s="1"/>
  <c r="AF110" i="6"/>
  <c r="AA110" i="6" s="1"/>
  <c r="AF98" i="6"/>
  <c r="AA98" i="6" s="1"/>
  <c r="AF103" i="6"/>
  <c r="AA103" i="6" s="1"/>
  <c r="AL104" i="6"/>
  <c r="AL94" i="6"/>
  <c r="V162" i="7" l="1"/>
  <c r="AI51" i="1" s="1"/>
  <c r="O162" i="7"/>
  <c r="Z16" i="6"/>
  <c r="Z14" i="6"/>
  <c r="Z15" i="6"/>
  <c r="Z94" i="6"/>
  <c r="Z7" i="6"/>
  <c r="AL6" i="6"/>
  <c r="AL11" i="6"/>
  <c r="AL8" i="6"/>
  <c r="AL108" i="6"/>
  <c r="AL98" i="6"/>
  <c r="Z98" i="6"/>
  <c r="AL93" i="6"/>
  <c r="Z22" i="6"/>
  <c r="AL99" i="6"/>
  <c r="Z21" i="6"/>
  <c r="AL95" i="6"/>
  <c r="Z95" i="6"/>
  <c r="Z23" i="6"/>
  <c r="AL12" i="6"/>
  <c r="AL110" i="6"/>
  <c r="U27" i="1"/>
  <c r="D1" i="15"/>
  <c r="D45" i="15" s="1"/>
  <c r="P78" i="1" s="1"/>
  <c r="Y25" i="1" l="1"/>
  <c r="Y24" i="1" s="1"/>
  <c r="Z54" i="1"/>
  <c r="C44" i="17" s="1"/>
  <c r="AF26" i="6"/>
  <c r="AA26" i="6" s="1"/>
  <c r="Z26" i="6" s="1"/>
  <c r="Z102" i="6"/>
  <c r="Z104" i="6"/>
  <c r="Z103" i="6"/>
  <c r="Z99" i="6"/>
  <c r="Z100" i="6"/>
  <c r="Z101" i="6"/>
  <c r="Z108" i="6"/>
  <c r="Z93" i="6"/>
  <c r="Z109" i="6"/>
  <c r="Z110" i="6"/>
  <c r="D17" i="15"/>
  <c r="P43" i="1" s="1"/>
  <c r="D53" i="15"/>
  <c r="P86" i="1" s="1"/>
  <c r="D51" i="15"/>
  <c r="P84" i="1" s="1"/>
  <c r="D47" i="15"/>
  <c r="P80" i="1" s="1"/>
  <c r="D38" i="15"/>
  <c r="P71" i="1" s="1"/>
  <c r="T78" i="1"/>
  <c r="Z149" i="7" s="1"/>
  <c r="D40" i="15"/>
  <c r="P73" i="1" s="1"/>
  <c r="D54" i="15"/>
  <c r="P87" i="1" s="1"/>
  <c r="D41" i="15"/>
  <c r="P74" i="1" s="1"/>
  <c r="D27" i="15"/>
  <c r="P53" i="1" s="1"/>
  <c r="D65" i="15"/>
  <c r="P98" i="1" s="1"/>
  <c r="D55" i="15"/>
  <c r="P88" i="1" s="1"/>
  <c r="D56" i="15"/>
  <c r="P89" i="1" s="1"/>
  <c r="D6" i="15"/>
  <c r="P34" i="1" s="1"/>
  <c r="D66" i="15"/>
  <c r="P99" i="1" s="1"/>
  <c r="D49" i="15"/>
  <c r="P82" i="1" s="1"/>
  <c r="D23" i="15"/>
  <c r="P49" i="1" s="1"/>
  <c r="T92" i="1"/>
  <c r="Z265" i="7" s="1"/>
  <c r="T94" i="1"/>
  <c r="Z273" i="7" s="1"/>
  <c r="D4" i="15"/>
  <c r="P32" i="1" s="1"/>
  <c r="D30" i="15"/>
  <c r="D29" i="15"/>
  <c r="AB39" i="15"/>
  <c r="D28" i="15"/>
  <c r="D33" i="15"/>
  <c r="AB42" i="15"/>
  <c r="D21" i="15"/>
  <c r="V39" i="15"/>
  <c r="D16" i="15"/>
  <c r="D12" i="15"/>
  <c r="P39" i="1" s="1"/>
  <c r="D34" i="15"/>
  <c r="Y42" i="15"/>
  <c r="D42" i="15" s="1"/>
  <c r="P75" i="1" s="1"/>
  <c r="D31" i="15"/>
  <c r="D13" i="15"/>
  <c r="D10" i="15"/>
  <c r="P37" i="1" s="1"/>
  <c r="Y39" i="15"/>
  <c r="D39" i="15" s="1"/>
  <c r="P72" i="1" s="1"/>
  <c r="Y46" i="15"/>
  <c r="D46" i="15" s="1"/>
  <c r="P79" i="1" s="1"/>
  <c r="Y43" i="15"/>
  <c r="D43" i="15" s="1"/>
  <c r="P76" i="1" s="1"/>
  <c r="D25" i="15"/>
  <c r="L103" i="6"/>
  <c r="AF113" i="6"/>
  <c r="Y48" i="15"/>
  <c r="D48" i="15" s="1"/>
  <c r="P81" i="1" s="1"/>
  <c r="D2" i="15"/>
  <c r="V43" i="15"/>
  <c r="D11" i="15"/>
  <c r="P38" i="1" s="1"/>
  <c r="D15" i="15"/>
  <c r="D22" i="15"/>
  <c r="D9" i="15"/>
  <c r="P36" i="1" s="1"/>
  <c r="D5" i="15"/>
  <c r="P33" i="1" s="1"/>
  <c r="T97" i="1"/>
  <c r="Z293" i="7" s="1"/>
  <c r="V296" i="7" s="1"/>
  <c r="D20" i="15"/>
  <c r="P46" i="1" s="1"/>
  <c r="T90" i="1"/>
  <c r="Z258" i="7" s="1"/>
  <c r="D14" i="15"/>
  <c r="D8" i="15"/>
  <c r="P35" i="1" s="1"/>
  <c r="D24" i="15"/>
  <c r="P50" i="1" s="1"/>
  <c r="D18" i="15"/>
  <c r="P44" i="1" s="1"/>
  <c r="D19" i="15"/>
  <c r="P45" i="1" s="1"/>
  <c r="D35" i="15"/>
  <c r="D36" i="15"/>
  <c r="AB43" i="15"/>
  <c r="V42" i="15"/>
  <c r="V48" i="15"/>
  <c r="D7" i="15"/>
  <c r="D37" i="15"/>
  <c r="D32" i="15"/>
  <c r="Y44" i="15"/>
  <c r="D44" i="15" s="1"/>
  <c r="P77" i="1" s="1"/>
  <c r="C4" i="17" l="1"/>
  <c r="T57" i="1"/>
  <c r="Z76" i="6" s="1"/>
  <c r="AC74" i="1" s="1"/>
  <c r="AC75" i="1" s="1"/>
  <c r="N77" i="6" s="1"/>
  <c r="W77" i="6" s="1"/>
  <c r="W76" i="6" s="1"/>
  <c r="T98" i="1"/>
  <c r="Z298" i="7" s="1"/>
  <c r="N299" i="7" s="1"/>
  <c r="V299" i="7" s="1"/>
  <c r="V298" i="7" s="1"/>
  <c r="I298" i="7" s="1"/>
  <c r="T86" i="1"/>
  <c r="Z232" i="7" s="1"/>
  <c r="N233" i="7" s="1"/>
  <c r="V233" i="7" s="1"/>
  <c r="V232" i="7" s="1"/>
  <c r="T89" i="1"/>
  <c r="T88" i="1"/>
  <c r="T50" i="1"/>
  <c r="V161" i="6" s="1"/>
  <c r="V160" i="6" s="1"/>
  <c r="T49" i="1"/>
  <c r="V157" i="6" s="1"/>
  <c r="V156" i="6" s="1"/>
  <c r="T45" i="1"/>
  <c r="N132" i="6" s="1"/>
  <c r="V132" i="6" s="1"/>
  <c r="V131" i="6" s="1"/>
  <c r="T44" i="1"/>
  <c r="N128" i="6" s="1"/>
  <c r="V128" i="6" s="1"/>
  <c r="V127" i="6" s="1"/>
  <c r="T39" i="1"/>
  <c r="T38" i="1"/>
  <c r="T37" i="1"/>
  <c r="T36" i="1"/>
  <c r="T35" i="1"/>
  <c r="N45" i="6" s="1"/>
  <c r="V45" i="6" s="1"/>
  <c r="V44" i="6" s="1"/>
  <c r="T33" i="1"/>
  <c r="N34" i="6" s="1"/>
  <c r="V34" i="6" s="1"/>
  <c r="V33" i="6" s="1"/>
  <c r="T32" i="1"/>
  <c r="N31" i="6" s="1"/>
  <c r="V31" i="6" s="1"/>
  <c r="V30" i="6" s="1"/>
  <c r="T81" i="1"/>
  <c r="Z173" i="7" s="1"/>
  <c r="AC50" i="1" s="1"/>
  <c r="AC51" i="1" s="1"/>
  <c r="T79" i="1"/>
  <c r="Z154" i="7" s="1"/>
  <c r="AI43" i="1" s="1"/>
  <c r="T74" i="1"/>
  <c r="Z102" i="7" s="1"/>
  <c r="AC34" i="1" s="1"/>
  <c r="T71" i="1"/>
  <c r="Z72" i="7" s="1"/>
  <c r="AI35" i="1" s="1"/>
  <c r="T75" i="1"/>
  <c r="Z112" i="7" s="1"/>
  <c r="Y42" i="1" s="1"/>
  <c r="Y44" i="1" s="1"/>
  <c r="T82" i="1"/>
  <c r="Z186" i="7" s="1"/>
  <c r="N187" i="7" s="1"/>
  <c r="V187" i="7" s="1"/>
  <c r="V186" i="7" s="1"/>
  <c r="T87" i="1"/>
  <c r="Z238" i="7" s="1"/>
  <c r="AI54" i="1" s="1"/>
  <c r="T80" i="1"/>
  <c r="Z168" i="7" s="1"/>
  <c r="N169" i="7" s="1"/>
  <c r="V169" i="7" s="1"/>
  <c r="V168" i="7" s="1"/>
  <c r="Y30" i="1"/>
  <c r="C55" i="17"/>
  <c r="T77" i="1"/>
  <c r="Z139" i="7" s="1"/>
  <c r="AE42" i="1" s="1"/>
  <c r="AE44" i="1" s="1"/>
  <c r="T51" i="1"/>
  <c r="N164" i="6" s="1"/>
  <c r="V164" i="6" s="1"/>
  <c r="V163" i="6" s="1"/>
  <c r="T99" i="1"/>
  <c r="Z301" i="7" s="1"/>
  <c r="T73" i="1"/>
  <c r="Z91" i="7" s="1"/>
  <c r="AA34" i="1" s="1"/>
  <c r="AA35" i="1" s="1"/>
  <c r="N92" i="7" s="1"/>
  <c r="T84" i="1"/>
  <c r="Z206" i="7" s="1"/>
  <c r="AE50" i="1" s="1"/>
  <c r="AE52" i="1" s="1"/>
  <c r="H26" i="17"/>
  <c r="L13" i="6"/>
  <c r="Q13" i="6" s="1"/>
  <c r="L10" i="6"/>
  <c r="T10" i="6" s="1"/>
  <c r="L14" i="6"/>
  <c r="T14" i="6" s="1"/>
  <c r="L15" i="6"/>
  <c r="N15" i="6" s="1"/>
  <c r="L8" i="6"/>
  <c r="O8" i="6" s="1"/>
  <c r="L6" i="6"/>
  <c r="M6" i="6" s="1"/>
  <c r="L12" i="6"/>
  <c r="M12" i="6" s="1"/>
  <c r="L11" i="6"/>
  <c r="T11" i="6" s="1"/>
  <c r="L9" i="6"/>
  <c r="M9" i="6" s="1"/>
  <c r="L7" i="6"/>
  <c r="P7" i="6" s="1"/>
  <c r="AA113" i="6"/>
  <c r="Z113" i="6" s="1"/>
  <c r="Z116" i="6"/>
  <c r="P31" i="1"/>
  <c r="T31" i="1" s="1"/>
  <c r="B13" i="17" s="1"/>
  <c r="Y52" i="15"/>
  <c r="AB52" i="15"/>
  <c r="G52" i="15"/>
  <c r="V52" i="15"/>
  <c r="M52" i="15"/>
  <c r="J52" i="15"/>
  <c r="S52" i="15"/>
  <c r="P52" i="15"/>
  <c r="T53" i="1"/>
  <c r="Z175" i="6" s="1"/>
  <c r="AI26" i="1" s="1"/>
  <c r="AE25" i="1" s="1"/>
  <c r="T55" i="1" s="1"/>
  <c r="Z56" i="6" s="1"/>
  <c r="AA74" i="1" s="1"/>
  <c r="AA75" i="1" s="1"/>
  <c r="N57" i="6" s="1"/>
  <c r="W57" i="6" s="1"/>
  <c r="W56" i="6" s="1"/>
  <c r="T72" i="1"/>
  <c r="Z82" i="7" s="1"/>
  <c r="N259" i="7"/>
  <c r="V259" i="7" s="1"/>
  <c r="V258" i="7" s="1"/>
  <c r="N274" i="7"/>
  <c r="V274" i="7" s="1"/>
  <c r="V273" i="7" s="1"/>
  <c r="N150" i="7"/>
  <c r="V150" i="7" s="1"/>
  <c r="V149" i="7" s="1"/>
  <c r="N266" i="7"/>
  <c r="V266" i="7" s="1"/>
  <c r="V265" i="7" s="1"/>
  <c r="T76" i="1"/>
  <c r="Z122" i="7" s="1"/>
  <c r="AC42" i="1" s="1"/>
  <c r="N175" i="7"/>
  <c r="V175" i="7" s="1"/>
  <c r="T34" i="1"/>
  <c r="N37" i="6" s="1"/>
  <c r="V37" i="6" s="1"/>
  <c r="V36" i="6" s="1"/>
  <c r="M103" i="6"/>
  <c r="P103" i="6"/>
  <c r="R103" i="6"/>
  <c r="N103" i="6"/>
  <c r="Q103" i="6"/>
  <c r="O103" i="6"/>
  <c r="T103" i="6"/>
  <c r="V293" i="7"/>
  <c r="I296" i="7"/>
  <c r="H78" i="1"/>
  <c r="P28" i="6"/>
  <c r="O28" i="6" s="1"/>
  <c r="Y64" i="1" l="1"/>
  <c r="Y63" i="1"/>
  <c r="Y45" i="1"/>
  <c r="V93" i="7" s="1"/>
  <c r="I56" i="6"/>
  <c r="J56" i="6" s="1"/>
  <c r="I30" i="1"/>
  <c r="K30" i="1" s="1"/>
  <c r="Y56" i="6"/>
  <c r="I76" i="6"/>
  <c r="J76" i="6" s="1"/>
  <c r="Y76" i="6"/>
  <c r="I32" i="1"/>
  <c r="K32" i="1" s="1"/>
  <c r="AE24" i="1"/>
  <c r="T54" i="1" s="1"/>
  <c r="Z48" i="6" s="1"/>
  <c r="Y74" i="1" s="1"/>
  <c r="Y75" i="1" s="1"/>
  <c r="N49" i="6" s="1"/>
  <c r="W49" i="6" s="1"/>
  <c r="W48" i="6" s="1"/>
  <c r="N65" i="6"/>
  <c r="W65" i="6" s="1"/>
  <c r="W64" i="6" s="1"/>
  <c r="N202" i="7"/>
  <c r="W202" i="7" s="1"/>
  <c r="W201" i="7" s="1"/>
  <c r="H25" i="1"/>
  <c r="K25" i="1" s="1"/>
  <c r="N25" i="1" s="1"/>
  <c r="I160" i="6"/>
  <c r="J160" i="6" s="1"/>
  <c r="Y160" i="6"/>
  <c r="I156" i="6"/>
  <c r="H24" i="1"/>
  <c r="K24" i="1" s="1"/>
  <c r="N24" i="1" s="1"/>
  <c r="Y156" i="6"/>
  <c r="H20" i="1"/>
  <c r="K20" i="1" s="1"/>
  <c r="N20" i="1" s="1"/>
  <c r="Y131" i="6"/>
  <c r="I131" i="6"/>
  <c r="J131" i="6" s="1"/>
  <c r="Y127" i="6"/>
  <c r="I127" i="6"/>
  <c r="J127" i="6" s="1"/>
  <c r="H19" i="1"/>
  <c r="K19" i="1" s="1"/>
  <c r="N19" i="1" s="1"/>
  <c r="AC29" i="1"/>
  <c r="N81" i="6" s="1"/>
  <c r="V81" i="6" s="1"/>
  <c r="V80" i="6" s="1"/>
  <c r="AC28" i="1" s="1"/>
  <c r="Z80" i="6"/>
  <c r="AA29" i="1"/>
  <c r="N73" i="6" s="1"/>
  <c r="V73" i="6" s="1"/>
  <c r="V72" i="6" s="1"/>
  <c r="AA28" i="1" s="1"/>
  <c r="Z72" i="6"/>
  <c r="AC25" i="1"/>
  <c r="N61" i="6" s="1"/>
  <c r="V61" i="6" s="1"/>
  <c r="V60" i="6" s="1"/>
  <c r="AC24" i="1" s="1"/>
  <c r="Z60" i="6"/>
  <c r="AA25" i="1"/>
  <c r="N53" i="6" s="1"/>
  <c r="V53" i="6" s="1"/>
  <c r="V52" i="6" s="1"/>
  <c r="AA24" i="1" s="1"/>
  <c r="Z52" i="6"/>
  <c r="V43" i="6"/>
  <c r="H9" i="1"/>
  <c r="K9" i="1" s="1"/>
  <c r="N9" i="1" s="1"/>
  <c r="I44" i="6"/>
  <c r="J44" i="6" s="1"/>
  <c r="J43" i="6" s="1"/>
  <c r="G6" i="5" s="1"/>
  <c r="Y44" i="6"/>
  <c r="Y43" i="6" s="1"/>
  <c r="H6" i="1"/>
  <c r="K6" i="1" s="1"/>
  <c r="I33" i="6"/>
  <c r="J33" i="6" s="1"/>
  <c r="Y33" i="6"/>
  <c r="Y30" i="6"/>
  <c r="H5" i="1"/>
  <c r="K5" i="1" s="1"/>
  <c r="I30" i="6"/>
  <c r="J30" i="6" s="1"/>
  <c r="Y46" i="1"/>
  <c r="AE53" i="1"/>
  <c r="N209" i="7" s="1"/>
  <c r="V209" i="7" s="1"/>
  <c r="H26" i="1"/>
  <c r="K26" i="1" s="1"/>
  <c r="Y163" i="6"/>
  <c r="I163" i="6"/>
  <c r="J163" i="6" s="1"/>
  <c r="N13" i="6"/>
  <c r="N208" i="7"/>
  <c r="V208" i="7" s="1"/>
  <c r="H42" i="17"/>
  <c r="AE43" i="1"/>
  <c r="H34" i="17"/>
  <c r="V92" i="7"/>
  <c r="N74" i="7"/>
  <c r="Y34" i="1"/>
  <c r="Y35" i="1" s="1"/>
  <c r="N83" i="7" s="1"/>
  <c r="V83" i="7" s="1"/>
  <c r="V82" i="7" s="1"/>
  <c r="AC35" i="1"/>
  <c r="N103" i="7" s="1"/>
  <c r="V103" i="7" s="1"/>
  <c r="V102" i="7" s="1"/>
  <c r="I102" i="7" s="1"/>
  <c r="J102" i="7" s="1"/>
  <c r="P8" i="6"/>
  <c r="T8" i="6"/>
  <c r="O13" i="6"/>
  <c r="T9" i="6"/>
  <c r="R14" i="6"/>
  <c r="A34" i="17"/>
  <c r="B34" i="17"/>
  <c r="N10" i="6"/>
  <c r="AA43" i="1"/>
  <c r="Q10" i="6"/>
  <c r="R8" i="6"/>
  <c r="O9" i="6"/>
  <c r="N9" i="6"/>
  <c r="R13" i="6"/>
  <c r="P13" i="6"/>
  <c r="Q8" i="6"/>
  <c r="M8" i="6"/>
  <c r="R9" i="6"/>
  <c r="P9" i="6"/>
  <c r="T13" i="6"/>
  <c r="M13" i="6"/>
  <c r="Q9" i="6"/>
  <c r="O14" i="6"/>
  <c r="R12" i="6"/>
  <c r="R10" i="6"/>
  <c r="M14" i="6"/>
  <c r="O12" i="6"/>
  <c r="Q14" i="6"/>
  <c r="T12" i="6"/>
  <c r="M10" i="6"/>
  <c r="O10" i="6"/>
  <c r="Q7" i="6"/>
  <c r="M7" i="6"/>
  <c r="P10" i="6"/>
  <c r="O7" i="6"/>
  <c r="T7" i="6"/>
  <c r="R15" i="6"/>
  <c r="Q11" i="6"/>
  <c r="P15" i="6"/>
  <c r="N11" i="6"/>
  <c r="O11" i="6"/>
  <c r="P11" i="6"/>
  <c r="N14" i="6"/>
  <c r="P14" i="6"/>
  <c r="T15" i="6"/>
  <c r="N12" i="6"/>
  <c r="P12" i="6"/>
  <c r="R11" i="6"/>
  <c r="M11" i="6"/>
  <c r="Q15" i="6"/>
  <c r="M15" i="6"/>
  <c r="O15" i="6"/>
  <c r="Q12" i="6"/>
  <c r="R7" i="6"/>
  <c r="L99" i="6"/>
  <c r="O99" i="6" s="1"/>
  <c r="L100" i="6"/>
  <c r="N100" i="6" s="1"/>
  <c r="L97" i="6"/>
  <c r="P97" i="6" s="1"/>
  <c r="L102" i="6"/>
  <c r="M102" i="6" s="1"/>
  <c r="L93" i="6"/>
  <c r="P93" i="6" s="1"/>
  <c r="L95" i="6"/>
  <c r="P95" i="6" s="1"/>
  <c r="L98" i="6"/>
  <c r="T98" i="6" s="1"/>
  <c r="L94" i="6"/>
  <c r="L96" i="6"/>
  <c r="P96" i="6" s="1"/>
  <c r="L101" i="6"/>
  <c r="P101" i="6" s="1"/>
  <c r="O6" i="6"/>
  <c r="T6" i="6"/>
  <c r="Q6" i="6"/>
  <c r="R6" i="6"/>
  <c r="P6" i="6"/>
  <c r="N114" i="7"/>
  <c r="V114" i="7" s="1"/>
  <c r="K78" i="1"/>
  <c r="N78" i="1" s="1"/>
  <c r="V176" i="6"/>
  <c r="AI27" i="1" s="1"/>
  <c r="N134" i="7"/>
  <c r="V134" i="7" s="1"/>
  <c r="N135" i="7"/>
  <c r="V135" i="7" s="1"/>
  <c r="N136" i="7"/>
  <c r="V136" i="7" s="1"/>
  <c r="N127" i="7"/>
  <c r="V127" i="7" s="1"/>
  <c r="N128" i="7"/>
  <c r="V128" i="7" s="1"/>
  <c r="N129" i="7"/>
  <c r="V129" i="7" s="1"/>
  <c r="N119" i="7"/>
  <c r="V119" i="7" s="1"/>
  <c r="P158" i="7"/>
  <c r="N118" i="7"/>
  <c r="V118" i="7" s="1"/>
  <c r="N117" i="7"/>
  <c r="V117" i="7" s="1"/>
  <c r="N141" i="7"/>
  <c r="V141" i="7" s="1"/>
  <c r="T151" i="1"/>
  <c r="AB194" i="7" s="1"/>
  <c r="I168" i="7"/>
  <c r="J168" i="7" s="1"/>
  <c r="Y168" i="7"/>
  <c r="H61" i="1"/>
  <c r="K61" i="1" s="1"/>
  <c r="Y273" i="7"/>
  <c r="H75" i="1"/>
  <c r="Y186" i="7"/>
  <c r="H63" i="1"/>
  <c r="H71" i="1"/>
  <c r="K71" i="1" s="1"/>
  <c r="N71" i="1" s="1"/>
  <c r="I258" i="7"/>
  <c r="J258" i="7" s="1"/>
  <c r="J257" i="7" s="1"/>
  <c r="N10" i="5" s="1"/>
  <c r="Y258" i="7"/>
  <c r="V257" i="7"/>
  <c r="Y257" i="7" s="1"/>
  <c r="I273" i="7"/>
  <c r="J273" i="7" s="1"/>
  <c r="Y265" i="7"/>
  <c r="H73" i="1"/>
  <c r="K73" i="1" s="1"/>
  <c r="N73" i="1" s="1"/>
  <c r="V264" i="7"/>
  <c r="Y264" i="7" s="1"/>
  <c r="I265" i="7"/>
  <c r="J265" i="7" s="1"/>
  <c r="J264" i="7" s="1"/>
  <c r="N11" i="5" s="1"/>
  <c r="Y232" i="7"/>
  <c r="I232" i="7"/>
  <c r="J232" i="7" s="1"/>
  <c r="H67" i="1"/>
  <c r="K67" i="1" s="1"/>
  <c r="N67" i="1" s="1"/>
  <c r="I149" i="7"/>
  <c r="J149" i="7" s="1"/>
  <c r="H59" i="1"/>
  <c r="K59" i="1" s="1"/>
  <c r="Y149" i="7"/>
  <c r="I186" i="7"/>
  <c r="J186" i="7" s="1"/>
  <c r="N302" i="7"/>
  <c r="V302" i="7" s="1"/>
  <c r="V301" i="7" s="1"/>
  <c r="H79" i="1"/>
  <c r="D52" i="15"/>
  <c r="P85" i="1" s="1"/>
  <c r="Y298" i="7"/>
  <c r="N174" i="7"/>
  <c r="V174" i="7" s="1"/>
  <c r="V173" i="7" s="1"/>
  <c r="V167" i="7" s="1"/>
  <c r="Y167" i="7" s="1"/>
  <c r="J296" i="7"/>
  <c r="N28" i="6"/>
  <c r="V28" i="6" s="1"/>
  <c r="V27" i="6" s="1"/>
  <c r="V289" i="7"/>
  <c r="V103" i="6"/>
  <c r="H7" i="1"/>
  <c r="I36" i="6"/>
  <c r="J36" i="6" s="1"/>
  <c r="Y36" i="6"/>
  <c r="J298" i="7"/>
  <c r="A35" i="17" l="1"/>
  <c r="B35" i="17"/>
  <c r="Y43" i="1"/>
  <c r="N113" i="7" s="1"/>
  <c r="V113" i="7" s="1"/>
  <c r="N115" i="7"/>
  <c r="V115" i="7" s="1"/>
  <c r="V91" i="7"/>
  <c r="I91" i="7" s="1"/>
  <c r="J91" i="7" s="1"/>
  <c r="I48" i="6"/>
  <c r="J48" i="6" s="1"/>
  <c r="I29" i="1"/>
  <c r="Y48" i="6"/>
  <c r="N32" i="1"/>
  <c r="M32" i="1"/>
  <c r="A32" i="1" s="1"/>
  <c r="N30" i="1"/>
  <c r="M30" i="1"/>
  <c r="A30" i="1" s="1"/>
  <c r="AD113" i="6"/>
  <c r="AL113" i="6" s="1"/>
  <c r="AD26" i="6"/>
  <c r="AL26" i="6" s="1"/>
  <c r="AD112" i="6"/>
  <c r="AL112" i="6" s="1"/>
  <c r="AD25" i="6"/>
  <c r="AL25" i="6" s="1"/>
  <c r="I201" i="7"/>
  <c r="J201" i="7" s="1"/>
  <c r="W193" i="7"/>
  <c r="W192" i="7" s="1"/>
  <c r="W191" i="7" s="1"/>
  <c r="I103" i="1"/>
  <c r="Y201" i="7"/>
  <c r="AI78" i="1"/>
  <c r="V158" i="7"/>
  <c r="AI47" i="1" s="1"/>
  <c r="Y51" i="1" s="1"/>
  <c r="Y50" i="1" s="1"/>
  <c r="O158" i="7"/>
  <c r="H13" i="1"/>
  <c r="P40" i="1" s="1"/>
  <c r="Y60" i="6"/>
  <c r="J156" i="6"/>
  <c r="H12" i="1"/>
  <c r="K12" i="1" s="1"/>
  <c r="N12" i="1" s="1"/>
  <c r="I43" i="6"/>
  <c r="F6" i="5" s="1"/>
  <c r="Y52" i="6"/>
  <c r="Y72" i="6"/>
  <c r="H10" i="1"/>
  <c r="K10" i="1" s="1"/>
  <c r="N10" i="1" s="1"/>
  <c r="I72" i="6"/>
  <c r="J72" i="6" s="1"/>
  <c r="I52" i="6"/>
  <c r="J52" i="6" s="1"/>
  <c r="I60" i="6"/>
  <c r="J60" i="6" s="1"/>
  <c r="V47" i="6"/>
  <c r="Y80" i="6"/>
  <c r="I80" i="6"/>
  <c r="J80" i="6" s="1"/>
  <c r="H11" i="1"/>
  <c r="K11" i="1" s="1"/>
  <c r="N11" i="1" s="1"/>
  <c r="N116" i="7"/>
  <c r="V116" i="7" s="1"/>
  <c r="B36" i="17"/>
  <c r="A36" i="17"/>
  <c r="H43" i="17"/>
  <c r="AE51" i="1"/>
  <c r="N207" i="7" s="1"/>
  <c r="V207" i="7" s="1"/>
  <c r="V206" i="7" s="1"/>
  <c r="I206" i="7" s="1"/>
  <c r="J206" i="7" s="1"/>
  <c r="T85" i="1"/>
  <c r="Z219" i="7" s="1"/>
  <c r="AC61" i="1" s="1"/>
  <c r="H55" i="1"/>
  <c r="K55" i="1" s="1"/>
  <c r="Y102" i="7"/>
  <c r="I82" i="7"/>
  <c r="J82" i="7" s="1"/>
  <c r="Y82" i="7"/>
  <c r="V74" i="7"/>
  <c r="AI37" i="1" s="1"/>
  <c r="H53" i="1"/>
  <c r="K53" i="1" s="1"/>
  <c r="AA45" i="1"/>
  <c r="V10" i="6"/>
  <c r="AC43" i="1"/>
  <c r="P99" i="6"/>
  <c r="V9" i="6"/>
  <c r="M99" i="6"/>
  <c r="R97" i="6"/>
  <c r="Q95" i="6"/>
  <c r="R99" i="6"/>
  <c r="N99" i="6"/>
  <c r="Q99" i="6"/>
  <c r="T99" i="6"/>
  <c r="T97" i="6"/>
  <c r="O97" i="6"/>
  <c r="N97" i="6"/>
  <c r="M97" i="6"/>
  <c r="Q97" i="6"/>
  <c r="V11" i="6"/>
  <c r="T101" i="6"/>
  <c r="M101" i="6"/>
  <c r="R95" i="6"/>
  <c r="R101" i="6"/>
  <c r="O100" i="6"/>
  <c r="O95" i="6"/>
  <c r="N101" i="6"/>
  <c r="O101" i="6"/>
  <c r="Q101" i="6"/>
  <c r="M95" i="6"/>
  <c r="M100" i="6"/>
  <c r="P100" i="6"/>
  <c r="Q100" i="6"/>
  <c r="T100" i="6"/>
  <c r="Q93" i="6"/>
  <c r="R100" i="6"/>
  <c r="R102" i="6"/>
  <c r="P102" i="6"/>
  <c r="T95" i="6"/>
  <c r="O98" i="6"/>
  <c r="N98" i="6"/>
  <c r="M98" i="6"/>
  <c r="Q98" i="6"/>
  <c r="T102" i="6"/>
  <c r="R98" i="6"/>
  <c r="O102" i="6"/>
  <c r="N102" i="6"/>
  <c r="O94" i="6"/>
  <c r="P98" i="6"/>
  <c r="Q102" i="6"/>
  <c r="P94" i="6"/>
  <c r="R94" i="6"/>
  <c r="M94" i="6"/>
  <c r="T94" i="6"/>
  <c r="Q94" i="6"/>
  <c r="T93" i="6"/>
  <c r="M93" i="6"/>
  <c r="Q96" i="6"/>
  <c r="R93" i="6"/>
  <c r="T96" i="6"/>
  <c r="O93" i="6"/>
  <c r="O96" i="6"/>
  <c r="M96" i="6"/>
  <c r="R96" i="6"/>
  <c r="N96" i="6"/>
  <c r="M67" i="1"/>
  <c r="A67" i="1" s="1"/>
  <c r="M73" i="1"/>
  <c r="A73" i="1" s="1"/>
  <c r="M78" i="1"/>
  <c r="A78" i="1" s="1"/>
  <c r="M25" i="1"/>
  <c r="A25" i="1" s="1"/>
  <c r="M24" i="1"/>
  <c r="A24" i="1" s="1"/>
  <c r="M19" i="1"/>
  <c r="A19" i="1" s="1"/>
  <c r="M71" i="1"/>
  <c r="A71" i="1" s="1"/>
  <c r="M20" i="1"/>
  <c r="A20" i="1" s="1"/>
  <c r="M9" i="1"/>
  <c r="A9" i="1" s="1"/>
  <c r="P247" i="7"/>
  <c r="P243" i="7"/>
  <c r="P246" i="7"/>
  <c r="P245" i="7"/>
  <c r="P244" i="7"/>
  <c r="P242" i="7"/>
  <c r="P248" i="7"/>
  <c r="K75" i="1"/>
  <c r="N75" i="1" s="1"/>
  <c r="C9" i="13"/>
  <c r="K79" i="1"/>
  <c r="N79" i="1" s="1"/>
  <c r="K63" i="1"/>
  <c r="K7" i="1"/>
  <c r="V175" i="6"/>
  <c r="V159" i="6" s="1"/>
  <c r="I257" i="7"/>
  <c r="M10" i="5" s="1"/>
  <c r="N140" i="7"/>
  <c r="V140" i="7" s="1"/>
  <c r="V139" i="7" s="1"/>
  <c r="I139" i="7" s="1"/>
  <c r="J139" i="7" s="1"/>
  <c r="I264" i="7"/>
  <c r="M11" i="5" s="1"/>
  <c r="N200" i="7"/>
  <c r="X200" i="7" s="1"/>
  <c r="V297" i="7"/>
  <c r="Y297" i="7" s="1"/>
  <c r="I301" i="7"/>
  <c r="J301" i="7" s="1"/>
  <c r="J297" i="7" s="1"/>
  <c r="N15" i="5" s="1"/>
  <c r="H80" i="1"/>
  <c r="Y301" i="7"/>
  <c r="Y173" i="7"/>
  <c r="H62" i="1"/>
  <c r="I173" i="7"/>
  <c r="J173" i="7" s="1"/>
  <c r="J167" i="7" s="1"/>
  <c r="N7" i="5" s="1"/>
  <c r="I27" i="6"/>
  <c r="Y27" i="6"/>
  <c r="H4" i="1"/>
  <c r="AC64" i="1" l="1"/>
  <c r="AC63" i="1"/>
  <c r="K13" i="1"/>
  <c r="N13" i="1" s="1"/>
  <c r="T40" i="1"/>
  <c r="N115" i="6" s="1"/>
  <c r="V115" i="6" s="1"/>
  <c r="V114" i="6" s="1"/>
  <c r="V112" i="7"/>
  <c r="I112" i="7" s="1"/>
  <c r="J112" i="7" s="1"/>
  <c r="H54" i="1"/>
  <c r="K54" i="1" s="1"/>
  <c r="Y91" i="7"/>
  <c r="K29" i="1"/>
  <c r="N29" i="1" s="1"/>
  <c r="K103" i="1"/>
  <c r="I64" i="6"/>
  <c r="J64" i="6" s="1"/>
  <c r="J47" i="6" s="1"/>
  <c r="G7" i="5" s="1"/>
  <c r="AI77" i="1"/>
  <c r="Y64" i="6"/>
  <c r="Y47" i="6" s="1"/>
  <c r="I31" i="1"/>
  <c r="P59" i="1" s="1"/>
  <c r="W47" i="6"/>
  <c r="V242" i="7"/>
  <c r="AI58" i="1" s="1"/>
  <c r="O242" i="7"/>
  <c r="V243" i="7"/>
  <c r="AI59" i="1" s="1"/>
  <c r="O243" i="7"/>
  <c r="V244" i="7"/>
  <c r="AI60" i="1" s="1"/>
  <c r="O244" i="7"/>
  <c r="V247" i="7"/>
  <c r="AI63" i="1" s="1"/>
  <c r="O247" i="7"/>
  <c r="V245" i="7"/>
  <c r="AI61" i="1" s="1"/>
  <c r="O245" i="7"/>
  <c r="V248" i="7"/>
  <c r="AI64" i="1" s="1"/>
  <c r="O248" i="7"/>
  <c r="V246" i="7"/>
  <c r="AI62" i="1" s="1"/>
  <c r="O246" i="7"/>
  <c r="M12" i="1"/>
  <c r="AE35" i="1"/>
  <c r="M11" i="1"/>
  <c r="M10" i="1"/>
  <c r="H65" i="1"/>
  <c r="K65" i="1" s="1"/>
  <c r="V98" i="6"/>
  <c r="D35" i="17"/>
  <c r="C35" i="17"/>
  <c r="C36" i="17"/>
  <c r="D36" i="17"/>
  <c r="AC46" i="1"/>
  <c r="N133" i="7" s="1"/>
  <c r="V133" i="7" s="1"/>
  <c r="AC45" i="1"/>
  <c r="N132" i="7" s="1"/>
  <c r="V132" i="7" s="1"/>
  <c r="N125" i="7"/>
  <c r="V125" i="7" s="1"/>
  <c r="AA44" i="1"/>
  <c r="V101" i="6"/>
  <c r="V99" i="6"/>
  <c r="V97" i="6"/>
  <c r="N155" i="7"/>
  <c r="V155" i="7" s="1"/>
  <c r="V100" i="6"/>
  <c r="V102" i="6"/>
  <c r="V96" i="6"/>
  <c r="A10" i="1"/>
  <c r="A12" i="1"/>
  <c r="A11" i="1"/>
  <c r="M79" i="1"/>
  <c r="A79" i="1" s="1"/>
  <c r="M75" i="1"/>
  <c r="A75" i="1" s="1"/>
  <c r="C9" i="14"/>
  <c r="K80" i="1"/>
  <c r="K62" i="1"/>
  <c r="K4" i="1"/>
  <c r="Y175" i="6"/>
  <c r="H28" i="1"/>
  <c r="I175" i="6"/>
  <c r="J175" i="6" s="1"/>
  <c r="H58" i="1"/>
  <c r="Y139" i="7"/>
  <c r="X194" i="7"/>
  <c r="X193" i="7" s="1"/>
  <c r="J132" i="1"/>
  <c r="I200" i="7"/>
  <c r="J200" i="7" s="1"/>
  <c r="I297" i="7"/>
  <c r="M15" i="5" s="1"/>
  <c r="I167" i="7"/>
  <c r="M7" i="5" s="1"/>
  <c r="J27" i="6"/>
  <c r="M13" i="1" l="1"/>
  <c r="A13" i="1"/>
  <c r="H15" i="1"/>
  <c r="P42" i="1" s="1"/>
  <c r="I114" i="6"/>
  <c r="J114" i="6" s="1"/>
  <c r="Y114" i="6"/>
  <c r="I47" i="6"/>
  <c r="F7" i="5" s="1"/>
  <c r="H56" i="1"/>
  <c r="K56" i="1" s="1"/>
  <c r="Y112" i="7"/>
  <c r="N6" i="1"/>
  <c r="M6" i="1"/>
  <c r="A6" i="1" s="1"/>
  <c r="N5" i="1"/>
  <c r="M5" i="1"/>
  <c r="A5" i="1" s="1"/>
  <c r="M29" i="1"/>
  <c r="A29" i="1" s="1"/>
  <c r="AE34" i="1"/>
  <c r="T64" i="1" s="1"/>
  <c r="X151" i="6" s="1"/>
  <c r="X150" i="6" s="1"/>
  <c r="P122" i="1"/>
  <c r="T122" i="1" s="1"/>
  <c r="AA201" i="7" s="1"/>
  <c r="K31" i="1"/>
  <c r="T56" i="1"/>
  <c r="Z64" i="6" s="1"/>
  <c r="T59" i="1"/>
  <c r="N167" i="6" s="1"/>
  <c r="W167" i="6" s="1"/>
  <c r="W166" i="6" s="1"/>
  <c r="M7" i="1"/>
  <c r="N7" i="1"/>
  <c r="AC44" i="1"/>
  <c r="N131" i="7" s="1"/>
  <c r="V131" i="7" s="1"/>
  <c r="V130" i="7" s="1"/>
  <c r="F36" i="17"/>
  <c r="E36" i="17"/>
  <c r="F35" i="17"/>
  <c r="E35" i="17"/>
  <c r="AI44" i="1"/>
  <c r="V154" i="7"/>
  <c r="K58" i="1"/>
  <c r="K132" i="1"/>
  <c r="N132" i="1" s="1"/>
  <c r="K28" i="1"/>
  <c r="K15" i="1" l="1"/>
  <c r="T42" i="1"/>
  <c r="N121" i="6" s="1"/>
  <c r="V121" i="6" s="1"/>
  <c r="V120" i="6" s="1"/>
  <c r="I150" i="6"/>
  <c r="J150" i="6" s="1"/>
  <c r="Y150" i="6"/>
  <c r="X143" i="6"/>
  <c r="J39" i="1"/>
  <c r="I166" i="6"/>
  <c r="W159" i="6"/>
  <c r="W183" i="6" s="1"/>
  <c r="AB16" i="1" s="1"/>
  <c r="Y166" i="6"/>
  <c r="I34" i="1"/>
  <c r="Y154" i="7"/>
  <c r="I154" i="7"/>
  <c r="J154" i="7" s="1"/>
  <c r="H60" i="1"/>
  <c r="K60" i="1" s="1"/>
  <c r="M132" i="1"/>
  <c r="A132" i="1" s="1"/>
  <c r="P65" i="1" l="1"/>
  <c r="T65" i="1" s="1"/>
  <c r="N170" i="6" s="1"/>
  <c r="X170" i="6" s="1"/>
  <c r="X169" i="6" s="1"/>
  <c r="H17" i="1"/>
  <c r="K17" i="1" s="1"/>
  <c r="Y120" i="6"/>
  <c r="I120" i="6"/>
  <c r="J120" i="6" s="1"/>
  <c r="N15" i="1"/>
  <c r="M15" i="1"/>
  <c r="A15" i="1" s="1"/>
  <c r="K39" i="1"/>
  <c r="P129" i="1"/>
  <c r="T129" i="1" s="1"/>
  <c r="AA293" i="7" s="1"/>
  <c r="W294" i="7" s="1"/>
  <c r="W293" i="7" s="1"/>
  <c r="K34" i="1"/>
  <c r="I41" i="1"/>
  <c r="J166" i="6"/>
  <c r="Z254" i="7"/>
  <c r="N255" i="7" s="1"/>
  <c r="V255" i="7" s="1"/>
  <c r="V254" i="7" s="1"/>
  <c r="Z251" i="7"/>
  <c r="N252" i="7" s="1"/>
  <c r="V252" i="7" s="1"/>
  <c r="V251" i="7" s="1"/>
  <c r="I169" i="6" l="1"/>
  <c r="X159" i="6"/>
  <c r="X183" i="6" s="1"/>
  <c r="AE16" i="1" s="1"/>
  <c r="Y169" i="6"/>
  <c r="Y159" i="6" s="1"/>
  <c r="J40" i="1"/>
  <c r="K40" i="1" s="1"/>
  <c r="N17" i="1"/>
  <c r="M17" i="1"/>
  <c r="A17" i="1" s="1"/>
  <c r="T46" i="1"/>
  <c r="N138" i="6" s="1"/>
  <c r="V138" i="6" s="1"/>
  <c r="V137" i="6" s="1"/>
  <c r="N39" i="1"/>
  <c r="M39" i="1"/>
  <c r="A39" i="1" s="1"/>
  <c r="W289" i="7"/>
  <c r="I110" i="1"/>
  <c r="I293" i="7"/>
  <c r="Y293" i="7"/>
  <c r="A31" i="1"/>
  <c r="M31" i="1"/>
  <c r="N31" i="1"/>
  <c r="M27" i="1"/>
  <c r="A27" i="1" s="1"/>
  <c r="N27" i="1"/>
  <c r="Y254" i="7"/>
  <c r="I254" i="7"/>
  <c r="J254" i="7" s="1"/>
  <c r="H69" i="1"/>
  <c r="I251" i="7"/>
  <c r="J251" i="7" s="1"/>
  <c r="Y251" i="7"/>
  <c r="H70" i="1"/>
  <c r="J41" i="1" l="1"/>
  <c r="J169" i="6"/>
  <c r="J159" i="6" s="1"/>
  <c r="G13" i="5" s="1"/>
  <c r="I159" i="6"/>
  <c r="F13" i="5" s="1"/>
  <c r="I137" i="6"/>
  <c r="Y137" i="6"/>
  <c r="Y130" i="6" s="1"/>
  <c r="H21" i="1"/>
  <c r="K21" i="1" s="1"/>
  <c r="V130" i="6"/>
  <c r="J293" i="7"/>
  <c r="J289" i="7" s="1"/>
  <c r="N14" i="5" s="1"/>
  <c r="I289" i="7"/>
  <c r="M14" i="5" s="1"/>
  <c r="K110" i="1"/>
  <c r="I138" i="1"/>
  <c r="I139" i="1" s="1"/>
  <c r="W304" i="7"/>
  <c r="AB17" i="1" s="1"/>
  <c r="AB18" i="1" s="1"/>
  <c r="Y289" i="7"/>
  <c r="K70" i="1"/>
  <c r="K69" i="1"/>
  <c r="T152" i="1"/>
  <c r="AB206" i="7" s="1"/>
  <c r="AD102" i="6" l="1"/>
  <c r="AD15" i="6"/>
  <c r="I130" i="6"/>
  <c r="F11" i="5" s="1"/>
  <c r="J137" i="6"/>
  <c r="J130" i="6" s="1"/>
  <c r="G11" i="5" s="1"/>
  <c r="N218" i="7"/>
  <c r="X218" i="7" s="1"/>
  <c r="AL15" i="6" l="1"/>
  <c r="N7" i="6"/>
  <c r="V7" i="6" s="1"/>
  <c r="AL102" i="6"/>
  <c r="N94" i="6"/>
  <c r="V94" i="6" s="1"/>
  <c r="J133" i="1"/>
  <c r="I218" i="7"/>
  <c r="J218" i="7" s="1"/>
  <c r="X206" i="7"/>
  <c r="X192" i="7" s="1"/>
  <c r="K133" i="1" l="1"/>
  <c r="N133" i="1" s="1"/>
  <c r="Y206" i="7"/>
  <c r="J138" i="1"/>
  <c r="J139" i="1" s="1"/>
  <c r="X191" i="7"/>
  <c r="M133" i="1" l="1"/>
  <c r="A133" i="1" s="1"/>
  <c r="X304" i="7"/>
  <c r="AE17" i="1" s="1"/>
  <c r="T47" i="1" l="1"/>
  <c r="V145" i="6" s="1"/>
  <c r="V144" i="6" s="1"/>
  <c r="AE18" i="1"/>
  <c r="H22" i="1" l="1"/>
  <c r="K22" i="1" s="1"/>
  <c r="I144" i="6"/>
  <c r="J144" i="6" s="1"/>
  <c r="Y144" i="6"/>
  <c r="T48" i="1"/>
  <c r="V154" i="6" s="1"/>
  <c r="V153" i="6" s="1"/>
  <c r="N60" i="7"/>
  <c r="V60" i="7" s="1"/>
  <c r="N58" i="7"/>
  <c r="V58" i="7" s="1"/>
  <c r="N57" i="7"/>
  <c r="V57" i="7" s="1"/>
  <c r="N59" i="7"/>
  <c r="V59" i="7" s="1"/>
  <c r="I79" i="8"/>
  <c r="I62" i="8"/>
  <c r="I69" i="8"/>
  <c r="I70" i="8"/>
  <c r="I64" i="8"/>
  <c r="I68" i="8"/>
  <c r="I78" i="8"/>
  <c r="I65" i="8"/>
  <c r="I75" i="8"/>
  <c r="I71" i="8"/>
  <c r="M76" i="8"/>
  <c r="I80" i="8"/>
  <c r="I74" i="8"/>
  <c r="M70" i="8"/>
  <c r="I66" i="8"/>
  <c r="I63" i="8"/>
  <c r="I73" i="8"/>
  <c r="I67" i="8"/>
  <c r="I76" i="8"/>
  <c r="I72" i="8"/>
  <c r="I77" i="8"/>
  <c r="N56" i="7"/>
  <c r="V56" i="7" s="1"/>
  <c r="V143" i="6" l="1"/>
  <c r="I153" i="6"/>
  <c r="J153" i="6" s="1"/>
  <c r="J143" i="6" s="1"/>
  <c r="G12" i="5" s="1"/>
  <c r="H23" i="1"/>
  <c r="Y153" i="6"/>
  <c r="Y143" i="6" s="1"/>
  <c r="I61" i="8"/>
  <c r="I262" i="8" s="1"/>
  <c r="AA2" i="8" s="1"/>
  <c r="M73" i="8"/>
  <c r="M80" i="8"/>
  <c r="M79" i="8"/>
  <c r="M75" i="8"/>
  <c r="M71" i="8"/>
  <c r="M65" i="8"/>
  <c r="M74" i="8"/>
  <c r="M64" i="8"/>
  <c r="M77" i="8"/>
  <c r="M72" i="8"/>
  <c r="M67" i="8"/>
  <c r="M63" i="8"/>
  <c r="M68" i="8"/>
  <c r="M78" i="8"/>
  <c r="M66" i="8"/>
  <c r="M69" i="8"/>
  <c r="V55" i="7"/>
  <c r="K23" i="1" l="1"/>
  <c r="N23" i="1" s="1"/>
  <c r="P83" i="1"/>
  <c r="T83" i="1" s="1"/>
  <c r="Z194" i="7" s="1"/>
  <c r="N195" i="7" s="1"/>
  <c r="I143" i="6"/>
  <c r="F12" i="5" s="1"/>
  <c r="AA88" i="1"/>
  <c r="BD65" i="1"/>
  <c r="BD13" i="1"/>
  <c r="Z11" i="7"/>
  <c r="N12" i="7" s="1"/>
  <c r="M262" i="8"/>
  <c r="BE65" i="1" s="1"/>
  <c r="I263" i="8"/>
  <c r="Y55" i="7"/>
  <c r="H50" i="1"/>
  <c r="Y96" i="1" s="1"/>
  <c r="I55" i="7"/>
  <c r="M23" i="1" l="1"/>
  <c r="A23" i="1" s="1"/>
  <c r="V195" i="7"/>
  <c r="V194" i="7" s="1"/>
  <c r="I194" i="7" s="1"/>
  <c r="AB2" i="8"/>
  <c r="AC2" i="8" s="1"/>
  <c r="BE13" i="1"/>
  <c r="BF13" i="1" s="1"/>
  <c r="AA96" i="1"/>
  <c r="AC96" i="1" s="1"/>
  <c r="BF65" i="1"/>
  <c r="K50" i="1"/>
  <c r="V12" i="7"/>
  <c r="V11" i="7" s="1"/>
  <c r="H42" i="1" s="1"/>
  <c r="Y88" i="1" s="1"/>
  <c r="AC88" i="1" s="1"/>
  <c r="Z55" i="7"/>
  <c r="J55" i="7"/>
  <c r="AF13" i="1"/>
  <c r="H64" i="1" l="1"/>
  <c r="K64" i="1" s="1"/>
  <c r="V193" i="7"/>
  <c r="Y194" i="7"/>
  <c r="Y193" i="7" s="1"/>
  <c r="I193" i="7"/>
  <c r="J194" i="7"/>
  <c r="V6" i="7"/>
  <c r="I11" i="7"/>
  <c r="I10" i="7" s="1"/>
  <c r="V10" i="7"/>
  <c r="Y10" i="7" s="1"/>
  <c r="Y11" i="7"/>
  <c r="Y6" i="7" s="1"/>
  <c r="K42" i="1"/>
  <c r="J193" i="7" l="1"/>
  <c r="Y14" i="1"/>
  <c r="I6" i="7"/>
  <c r="J6" i="7" s="1"/>
  <c r="J11" i="7"/>
  <c r="J10" i="7" s="1"/>
  <c r="AF4" i="8" l="1"/>
  <c r="AR7" i="1"/>
  <c r="Q7" i="8"/>
  <c r="AD103" i="6" l="1"/>
  <c r="AD16" i="6"/>
  <c r="AL16" i="6" l="1"/>
  <c r="N8" i="6"/>
  <c r="V8" i="6" s="1"/>
  <c r="AL103" i="6"/>
  <c r="N95" i="6"/>
  <c r="V95" i="6" s="1"/>
  <c r="N124" i="7"/>
  <c r="V124" i="7" s="1"/>
  <c r="N126" i="7"/>
  <c r="V126" i="7" s="1"/>
  <c r="V123" i="7" l="1"/>
  <c r="V122" i="7" s="1"/>
  <c r="I122" i="7" s="1"/>
  <c r="H57" i="1" l="1"/>
  <c r="V101" i="7"/>
  <c r="Y122" i="7"/>
  <c r="I101" i="7"/>
  <c r="J122" i="7"/>
  <c r="J101" i="7" s="1"/>
  <c r="K57" i="1" l="1"/>
  <c r="Y101" i="7"/>
  <c r="N6" i="5"/>
  <c r="M6" i="5"/>
  <c r="N70" i="1" l="1"/>
  <c r="M70" i="1"/>
  <c r="M69" i="1"/>
  <c r="N69" i="1"/>
  <c r="A69" i="1" l="1"/>
  <c r="A70" i="1"/>
  <c r="B139" i="18"/>
  <c r="B88" i="18"/>
  <c r="B102" i="18"/>
  <c r="B50" i="18"/>
  <c r="B15" i="18"/>
  <c r="B61" i="18"/>
  <c r="B17" i="18"/>
  <c r="B115" i="18"/>
  <c r="B142" i="18"/>
  <c r="B60" i="18"/>
  <c r="B63" i="18"/>
  <c r="B120" i="18"/>
  <c r="B18" i="18"/>
  <c r="B114" i="18"/>
  <c r="B99" i="18"/>
  <c r="B22" i="18"/>
  <c r="B146" i="18"/>
  <c r="B153" i="18"/>
  <c r="B134" i="18"/>
  <c r="B5" i="18"/>
  <c r="B12" i="18"/>
  <c r="B200" i="18"/>
  <c r="B170" i="18"/>
  <c r="B131" i="18"/>
  <c r="B35" i="18"/>
  <c r="B148" i="18"/>
  <c r="B64" i="18"/>
  <c r="B149" i="18"/>
  <c r="B177" i="18"/>
  <c r="B14" i="18"/>
  <c r="B188" i="18"/>
  <c r="B119" i="18"/>
  <c r="B156" i="18"/>
  <c r="B87" i="18"/>
  <c r="B66" i="18"/>
  <c r="B199" i="18"/>
  <c r="B110" i="18"/>
  <c r="B154" i="18"/>
  <c r="B100" i="18"/>
  <c r="B95" i="18"/>
  <c r="B178" i="18"/>
  <c r="B174" i="18"/>
  <c r="B90" i="18"/>
  <c r="B75" i="18"/>
  <c r="B43" i="18"/>
  <c r="B34" i="18"/>
  <c r="B197" i="18"/>
  <c r="B161" i="18"/>
  <c r="B69" i="18"/>
  <c r="B68" i="18"/>
  <c r="B85" i="18"/>
  <c r="B169" i="18"/>
  <c r="B158" i="18"/>
  <c r="B171" i="18"/>
  <c r="B38" i="18"/>
  <c r="B72" i="18"/>
  <c r="B147" i="18"/>
  <c r="B52" i="18"/>
  <c r="B28" i="18"/>
  <c r="B109" i="18"/>
  <c r="B25" i="18"/>
  <c r="B101" i="18"/>
  <c r="B20" i="18"/>
  <c r="B57" i="18"/>
  <c r="B189" i="18"/>
  <c r="B121" i="18"/>
  <c r="B183" i="18"/>
  <c r="B159" i="18"/>
  <c r="B136" i="18"/>
  <c r="B140" i="18"/>
  <c r="B182" i="18"/>
  <c r="B86" i="18"/>
  <c r="B29" i="18"/>
  <c r="B113" i="18"/>
  <c r="B23" i="18"/>
  <c r="B82" i="18"/>
  <c r="B21" i="18"/>
  <c r="B7" i="18"/>
  <c r="B157" i="18"/>
  <c r="B19" i="18"/>
  <c r="B164" i="18"/>
  <c r="B81" i="18"/>
  <c r="B33" i="18"/>
  <c r="B160" i="18"/>
  <c r="B31" i="18"/>
  <c r="B166" i="18"/>
  <c r="B3" i="18"/>
  <c r="B6" i="18"/>
  <c r="B16" i="18"/>
  <c r="B24" i="18"/>
  <c r="B111" i="18"/>
  <c r="B92" i="18"/>
  <c r="B71" i="18"/>
  <c r="B127" i="18"/>
  <c r="B130" i="18"/>
  <c r="B67" i="18"/>
  <c r="B4" i="18"/>
  <c r="B8" i="18"/>
  <c r="B13" i="18"/>
  <c r="B9" i="18"/>
  <c r="B152" i="18"/>
  <c r="B83" i="18"/>
  <c r="B65" i="18"/>
  <c r="B117" i="18"/>
  <c r="B10" i="18"/>
  <c r="B79" i="18"/>
  <c r="B106" i="18"/>
  <c r="B45" i="18"/>
  <c r="B30" i="18"/>
  <c r="B125" i="18"/>
  <c r="B172" i="18"/>
  <c r="B80" i="18"/>
  <c r="B145" i="18"/>
  <c r="B84" i="18"/>
  <c r="B49" i="18"/>
  <c r="B47" i="18"/>
  <c r="B143" i="18"/>
  <c r="B27" i="18"/>
  <c r="B195" i="18"/>
  <c r="B39" i="18"/>
  <c r="B126" i="18"/>
  <c r="B42" i="18"/>
  <c r="B185" i="18"/>
  <c r="B11" i="18"/>
  <c r="B78" i="18"/>
  <c r="B32" i="18"/>
  <c r="B40" i="18"/>
  <c r="B150" i="18"/>
  <c r="B59" i="18"/>
  <c r="B122" i="18"/>
  <c r="B186" i="18"/>
  <c r="B70" i="18"/>
  <c r="B108" i="18"/>
  <c r="B128" i="18"/>
  <c r="B37" i="18"/>
  <c r="B184" i="18"/>
  <c r="B167" i="18"/>
  <c r="B141" i="18"/>
  <c r="B36" i="18"/>
  <c r="B201" i="18"/>
  <c r="B165" i="18"/>
  <c r="B123" i="18"/>
  <c r="B55" i="18"/>
  <c r="B132" i="18"/>
  <c r="B73" i="18"/>
  <c r="B93" i="18"/>
  <c r="B26" i="18"/>
  <c r="B107" i="18"/>
  <c r="B97" i="18"/>
  <c r="B58" i="18"/>
  <c r="B51" i="18"/>
  <c r="B89" i="18"/>
  <c r="B118" i="18"/>
  <c r="B175" i="18"/>
  <c r="B194" i="18"/>
  <c r="B48" i="18"/>
  <c r="B162" i="18"/>
  <c r="B168" i="18"/>
  <c r="B193" i="18"/>
  <c r="B105" i="18"/>
  <c r="B46" i="18"/>
  <c r="B173" i="18"/>
  <c r="B96" i="18"/>
  <c r="B180" i="18"/>
  <c r="B103" i="18"/>
  <c r="B44" i="18"/>
  <c r="B181" i="18"/>
  <c r="B129" i="18"/>
  <c r="B135" i="18"/>
  <c r="B116" i="18"/>
  <c r="B198" i="18"/>
  <c r="B179" i="18"/>
  <c r="B112" i="18"/>
  <c r="B187" i="18"/>
  <c r="B77" i="18"/>
  <c r="B54" i="18"/>
  <c r="B56" i="18"/>
  <c r="B76" i="18"/>
  <c r="B163" i="18"/>
  <c r="B144" i="18"/>
  <c r="B192" i="18"/>
  <c r="B138" i="18"/>
  <c r="B124" i="18"/>
  <c r="B196" i="18"/>
  <c r="B91" i="18"/>
  <c r="B74" i="18"/>
  <c r="B151" i="18"/>
  <c r="B176" i="18"/>
  <c r="B133" i="18"/>
  <c r="B98" i="18"/>
  <c r="B94" i="18"/>
  <c r="B190" i="18"/>
  <c r="B41" i="18"/>
  <c r="B191" i="18"/>
  <c r="B137" i="18"/>
  <c r="B202" i="18"/>
  <c r="B62" i="18"/>
  <c r="B104" i="18"/>
  <c r="B155" i="18"/>
  <c r="B53" i="18"/>
  <c r="A4" i="17" l="1"/>
  <c r="D4" i="17"/>
  <c r="N73" i="7" l="1"/>
  <c r="V73" i="7" s="1"/>
  <c r="AI36" i="1" l="1"/>
  <c r="V72" i="7"/>
  <c r="H52" i="1" l="1"/>
  <c r="V71" i="7"/>
  <c r="I72" i="7"/>
  <c r="Y72" i="7"/>
  <c r="J72" i="7" l="1"/>
  <c r="J71" i="7" s="1"/>
  <c r="I71" i="7"/>
  <c r="Y71" i="7"/>
  <c r="K52" i="1"/>
  <c r="M80" i="1" l="1"/>
  <c r="A80" i="1" s="1"/>
  <c r="N80" i="1"/>
  <c r="M5" i="5"/>
  <c r="N5" i="5"/>
  <c r="N67" i="7" l="1"/>
  <c r="V67" i="7" s="1"/>
  <c r="N66" i="7"/>
  <c r="V66" i="7" s="1"/>
  <c r="AW46" i="1"/>
  <c r="AX46" i="1" s="1"/>
  <c r="W46" i="8" s="1"/>
  <c r="N68" i="7"/>
  <c r="V68" i="7" s="1"/>
  <c r="AW39" i="1"/>
  <c r="V39" i="8" s="1"/>
  <c r="AW53" i="1"/>
  <c r="AX53" i="1" s="1"/>
  <c r="W53" i="8" s="1"/>
  <c r="AW33" i="1"/>
  <c r="AX33" i="1" s="1"/>
  <c r="W33" i="8" s="1"/>
  <c r="AW31" i="1"/>
  <c r="AX31" i="1" s="1"/>
  <c r="W31" i="8" s="1"/>
  <c r="N65" i="7"/>
  <c r="V65" i="7" s="1"/>
  <c r="AW22" i="1"/>
  <c r="AX22" i="1" s="1"/>
  <c r="W22" i="8" s="1"/>
  <c r="AW18" i="1"/>
  <c r="V18" i="8" s="1"/>
  <c r="AW38" i="1"/>
  <c r="AX38" i="1" s="1"/>
  <c r="W38" i="8" s="1"/>
  <c r="AW20" i="1"/>
  <c r="AX20" i="1" s="1"/>
  <c r="W20" i="8" s="1"/>
  <c r="AW55" i="1"/>
  <c r="AX55" i="1" s="1"/>
  <c r="W55" i="8" s="1"/>
  <c r="AW42" i="1"/>
  <c r="V42" i="8" s="1"/>
  <c r="AW14" i="1"/>
  <c r="V14" i="8" s="1"/>
  <c r="AW17" i="1"/>
  <c r="AX17" i="1" s="1"/>
  <c r="W17" i="8" s="1"/>
  <c r="AW34" i="1"/>
  <c r="V34" i="8" s="1"/>
  <c r="AW36" i="1"/>
  <c r="AX36" i="1" s="1"/>
  <c r="W36" i="8" s="1"/>
  <c r="AW21" i="1"/>
  <c r="AX21" i="1" s="1"/>
  <c r="W21" i="8" s="1"/>
  <c r="AW56" i="1"/>
  <c r="V56" i="8" s="1"/>
  <c r="AW50" i="1"/>
  <c r="V50" i="8" s="1"/>
  <c r="AW57" i="1"/>
  <c r="V57" i="8" s="1"/>
  <c r="AW24" i="1"/>
  <c r="V24" i="8" s="1"/>
  <c r="AW59" i="1"/>
  <c r="V59" i="8" s="1"/>
  <c r="AW43" i="1"/>
  <c r="AX43" i="1" s="1"/>
  <c r="W43" i="8" s="1"/>
  <c r="AW35" i="1"/>
  <c r="V35" i="8" s="1"/>
  <c r="AW51" i="1"/>
  <c r="AW49" i="1"/>
  <c r="V49" i="8" s="1"/>
  <c r="AW27" i="1"/>
  <c r="V27" i="8" s="1"/>
  <c r="AW25" i="1"/>
  <c r="V25" i="8" s="1"/>
  <c r="AW44" i="1"/>
  <c r="V44" i="8" s="1"/>
  <c r="AW47" i="1"/>
  <c r="V47" i="8" s="1"/>
  <c r="AW52" i="1"/>
  <c r="AX52" i="1" s="1"/>
  <c r="W52" i="8" s="1"/>
  <c r="AW30" i="1"/>
  <c r="AX30" i="1" s="1"/>
  <c r="W30" i="8" s="1"/>
  <c r="AW40" i="1"/>
  <c r="AX40" i="1" s="1"/>
  <c r="W40" i="8" s="1"/>
  <c r="AW32" i="1"/>
  <c r="AX32" i="1" s="1"/>
  <c r="W32" i="8" s="1"/>
  <c r="AW58" i="1"/>
  <c r="V58" i="8" s="1"/>
  <c r="AW16" i="1"/>
  <c r="V16" i="8" s="1"/>
  <c r="AW23" i="1"/>
  <c r="V23" i="8" s="1"/>
  <c r="AW15" i="1"/>
  <c r="V15" i="8" s="1"/>
  <c r="AS15" i="17" s="1"/>
  <c r="AW54" i="1"/>
  <c r="V54" i="8" s="1"/>
  <c r="AW41" i="1"/>
  <c r="V41" i="8" s="1"/>
  <c r="AW29" i="1"/>
  <c r="V29" i="8" s="1"/>
  <c r="AW45" i="1"/>
  <c r="V45" i="8" s="1"/>
  <c r="AW11" i="1"/>
  <c r="AX11" i="1" s="1"/>
  <c r="AW60" i="1"/>
  <c r="V60" i="8" s="1"/>
  <c r="AW28" i="1"/>
  <c r="AW19" i="1"/>
  <c r="V19" i="8" s="1"/>
  <c r="AW26" i="1"/>
  <c r="V26" i="8" s="1"/>
  <c r="AW48" i="1"/>
  <c r="V48" i="8" s="1"/>
  <c r="AW12" i="1"/>
  <c r="V12" i="8" s="1"/>
  <c r="AS12" i="17" s="1"/>
  <c r="AW13" i="1"/>
  <c r="V13" i="8" s="1"/>
  <c r="AW37" i="1"/>
  <c r="V37" i="8" s="1"/>
  <c r="N64" i="7"/>
  <c r="V64" i="7" s="1"/>
  <c r="W11" i="8" l="1"/>
  <c r="V20" i="8"/>
  <c r="AS20" i="17" s="1"/>
  <c r="AX37" i="1"/>
  <c r="W37" i="8" s="1"/>
  <c r="AX49" i="1"/>
  <c r="W49" i="8" s="1"/>
  <c r="V31" i="8"/>
  <c r="M31" i="8" s="1"/>
  <c r="AX12" i="1"/>
  <c r="W12" i="8" s="1"/>
  <c r="A12" i="8" s="1"/>
  <c r="AX19" i="1"/>
  <c r="W19" i="8" s="1"/>
  <c r="AX60" i="1"/>
  <c r="W60" i="8" s="1"/>
  <c r="AX45" i="1"/>
  <c r="W45" i="8" s="1"/>
  <c r="AX16" i="1"/>
  <c r="W16" i="8" s="1"/>
  <c r="AX44" i="1"/>
  <c r="W44" i="8" s="1"/>
  <c r="AX27" i="1"/>
  <c r="W27" i="8" s="1"/>
  <c r="AX56" i="1"/>
  <c r="W56" i="8" s="1"/>
  <c r="AX34" i="1"/>
  <c r="W34" i="8" s="1"/>
  <c r="AX42" i="1"/>
  <c r="W42" i="8" s="1"/>
  <c r="AX39" i="1"/>
  <c r="W39" i="8" s="1"/>
  <c r="AX15" i="1"/>
  <c r="W15" i="8" s="1"/>
  <c r="V46" i="8"/>
  <c r="AS46" i="17" s="1"/>
  <c r="V55" i="8"/>
  <c r="V63" i="7"/>
  <c r="Y63" i="7" s="1"/>
  <c r="Y8" i="7" s="1"/>
  <c r="Y5" i="7" s="1"/>
  <c r="AA102" i="1" s="1"/>
  <c r="AS13" i="17"/>
  <c r="M13" i="8"/>
  <c r="M48" i="8"/>
  <c r="AS48" i="17"/>
  <c r="V28" i="8"/>
  <c r="AX28" i="1"/>
  <c r="W28" i="8" s="1"/>
  <c r="M37" i="8"/>
  <c r="AS37" i="17"/>
  <c r="AX13" i="1"/>
  <c r="W13" i="8" s="1"/>
  <c r="AX48" i="1"/>
  <c r="W48" i="8" s="1"/>
  <c r="AT11" i="17"/>
  <c r="M26" i="8"/>
  <c r="AS26" i="17"/>
  <c r="AS19" i="17"/>
  <c r="M19" i="8"/>
  <c r="M60" i="8"/>
  <c r="AS60" i="17"/>
  <c r="AX26" i="1"/>
  <c r="W26" i="8" s="1"/>
  <c r="AW61" i="1"/>
  <c r="AW264" i="1" s="1"/>
  <c r="V11" i="8"/>
  <c r="AT32" i="17"/>
  <c r="M47" i="8"/>
  <c r="AS47" i="17"/>
  <c r="M45" i="8"/>
  <c r="AS45" i="17"/>
  <c r="AX29" i="1"/>
  <c r="W29" i="8" s="1"/>
  <c r="AS29" i="17"/>
  <c r="M29" i="8"/>
  <c r="M44" i="8"/>
  <c r="AS44" i="17"/>
  <c r="AS25" i="17"/>
  <c r="M25" i="8"/>
  <c r="AS23" i="17"/>
  <c r="M23" i="8"/>
  <c r="AT40" i="17"/>
  <c r="AT30" i="17"/>
  <c r="AT52" i="17"/>
  <c r="AX51" i="1"/>
  <c r="W51" i="8" s="1"/>
  <c r="V51" i="8"/>
  <c r="AS35" i="17"/>
  <c r="M35" i="8"/>
  <c r="AS59" i="17"/>
  <c r="M59" i="8"/>
  <c r="AS24" i="17"/>
  <c r="M24" i="8"/>
  <c r="AX25" i="1"/>
  <c r="W25" i="8" s="1"/>
  <c r="AS57" i="17"/>
  <c r="M57" i="8"/>
  <c r="M50" i="8"/>
  <c r="AS50" i="17"/>
  <c r="AT36" i="17"/>
  <c r="M14" i="8"/>
  <c r="AS14" i="17"/>
  <c r="AT38" i="17"/>
  <c r="AT31" i="17"/>
  <c r="AX41" i="1"/>
  <c r="W41" i="8" s="1"/>
  <c r="AX54" i="1"/>
  <c r="W54" i="8" s="1"/>
  <c r="M16" i="8"/>
  <c r="AS16" i="17"/>
  <c r="AT55" i="17"/>
  <c r="AS18" i="17"/>
  <c r="M18" i="8"/>
  <c r="AT53" i="17"/>
  <c r="AS41" i="17"/>
  <c r="M41" i="8"/>
  <c r="AS54" i="17"/>
  <c r="M54" i="8"/>
  <c r="AX58" i="1"/>
  <c r="W58" i="8" s="1"/>
  <c r="AS27" i="17"/>
  <c r="M27" i="8"/>
  <c r="M49" i="8"/>
  <c r="AS49" i="17"/>
  <c r="V43" i="8"/>
  <c r="AX47" i="1"/>
  <c r="W47" i="8" s="1"/>
  <c r="V32" i="8"/>
  <c r="M15" i="8"/>
  <c r="AS56" i="17"/>
  <c r="M56" i="8"/>
  <c r="M34" i="8"/>
  <c r="AS34" i="17"/>
  <c r="AS42" i="17"/>
  <c r="M42" i="8"/>
  <c r="AT22" i="17"/>
  <c r="AT46" i="17"/>
  <c r="AX23" i="1"/>
  <c r="W23" i="8" s="1"/>
  <c r="AS58" i="17"/>
  <c r="M58" i="8"/>
  <c r="V40" i="8"/>
  <c r="V30" i="8"/>
  <c r="V52" i="8"/>
  <c r="AX35" i="1"/>
  <c r="W35" i="8" s="1"/>
  <c r="AT43" i="17"/>
  <c r="AX59" i="1"/>
  <c r="W59" i="8" s="1"/>
  <c r="AX24" i="1"/>
  <c r="W24" i="8" s="1"/>
  <c r="AX57" i="1"/>
  <c r="W57" i="8" s="1"/>
  <c r="AX50" i="1"/>
  <c r="W50" i="8" s="1"/>
  <c r="AT21" i="17"/>
  <c r="AT17" i="17"/>
  <c r="AT20" i="17"/>
  <c r="AT33" i="17"/>
  <c r="AS39" i="17"/>
  <c r="M39" i="8"/>
  <c r="V17" i="8"/>
  <c r="AX14" i="1"/>
  <c r="W14" i="8" s="1"/>
  <c r="V38" i="8"/>
  <c r="V53" i="8"/>
  <c r="V36" i="8"/>
  <c r="V33" i="8"/>
  <c r="V21" i="8"/>
  <c r="AX18" i="1"/>
  <c r="W18" i="8" s="1"/>
  <c r="V22" i="8"/>
  <c r="W262" i="8" l="1"/>
  <c r="AX61" i="1"/>
  <c r="AX264" i="1" s="1"/>
  <c r="A11" i="8"/>
  <c r="W261" i="8"/>
  <c r="M20" i="8"/>
  <c r="A13" i="8"/>
  <c r="A14" i="8"/>
  <c r="A15" i="8"/>
  <c r="A16" i="8"/>
  <c r="A17" i="8"/>
  <c r="A18" i="8"/>
  <c r="A19" i="8"/>
  <c r="A38" i="8"/>
  <c r="A50" i="8"/>
  <c r="A58" i="8"/>
  <c r="A41" i="8"/>
  <c r="A39" i="8"/>
  <c r="A27" i="8"/>
  <c r="A60" i="8"/>
  <c r="A49" i="8"/>
  <c r="A20" i="8"/>
  <c r="A22" i="8"/>
  <c r="A46" i="8"/>
  <c r="A31" i="8"/>
  <c r="A57" i="8"/>
  <c r="A35" i="8"/>
  <c r="A42" i="8"/>
  <c r="A44" i="8"/>
  <c r="A37" i="8"/>
  <c r="A55" i="8"/>
  <c r="A33" i="8"/>
  <c r="A25" i="8"/>
  <c r="A51" i="8"/>
  <c r="A29" i="8"/>
  <c r="A26" i="8"/>
  <c r="A48" i="8"/>
  <c r="A28" i="8"/>
  <c r="A34" i="8"/>
  <c r="A61" i="8"/>
  <c r="A32" i="8"/>
  <c r="A43" i="8"/>
  <c r="A36" i="8"/>
  <c r="A21" i="8"/>
  <c r="A24" i="8"/>
  <c r="A47" i="8"/>
  <c r="A59" i="8"/>
  <c r="A23" i="8"/>
  <c r="A54" i="8"/>
  <c r="A56" i="8"/>
  <c r="A45" i="8"/>
  <c r="A53" i="8"/>
  <c r="A52" i="8"/>
  <c r="A30" i="8"/>
  <c r="A40" i="8"/>
  <c r="AT15" i="17"/>
  <c r="AT56" i="17"/>
  <c r="AT45" i="17"/>
  <c r="AT39" i="17"/>
  <c r="AT49" i="17"/>
  <c r="AT27" i="17"/>
  <c r="AT42" i="17"/>
  <c r="AT44" i="17"/>
  <c r="AT19" i="17"/>
  <c r="AT37" i="17"/>
  <c r="AT60" i="17"/>
  <c r="AT34" i="17"/>
  <c r="AT16" i="17"/>
  <c r="AT12" i="17"/>
  <c r="AS31" i="17"/>
  <c r="M46" i="8"/>
  <c r="M55" i="8"/>
  <c r="AS55" i="17"/>
  <c r="A177" i="8"/>
  <c r="H51" i="1"/>
  <c r="Y97" i="1" s="1"/>
  <c r="A90" i="8"/>
  <c r="A150" i="8"/>
  <c r="I63" i="7"/>
  <c r="I54" i="7" s="1"/>
  <c r="V54" i="7"/>
  <c r="Y54" i="7" s="1"/>
  <c r="V8" i="7"/>
  <c r="V5" i="7" s="1"/>
  <c r="V4" i="7" s="1"/>
  <c r="Y4" i="7" s="1"/>
  <c r="AT58" i="17"/>
  <c r="A200" i="8"/>
  <c r="A124" i="8"/>
  <c r="A157" i="8"/>
  <c r="A180" i="8"/>
  <c r="AS53" i="17"/>
  <c r="M53" i="8"/>
  <c r="M52" i="8"/>
  <c r="AS52" i="17"/>
  <c r="M38" i="8"/>
  <c r="AS38" i="17"/>
  <c r="AT24" i="17"/>
  <c r="AT35" i="17"/>
  <c r="AS30" i="17"/>
  <c r="M30" i="8"/>
  <c r="AT23" i="17"/>
  <c r="M43" i="8"/>
  <c r="AS43" i="17"/>
  <c r="AT54" i="17"/>
  <c r="AS11" i="17"/>
  <c r="M11" i="8"/>
  <c r="M12" i="8"/>
  <c r="AK4" i="18" s="1"/>
  <c r="V261" i="8"/>
  <c r="V263" i="8" s="1"/>
  <c r="A62" i="8"/>
  <c r="A87" i="8"/>
  <c r="A105" i="8"/>
  <c r="A77" i="8"/>
  <c r="A189" i="8"/>
  <c r="A249" i="8"/>
  <c r="A132" i="8"/>
  <c r="A158" i="8"/>
  <c r="A168" i="8"/>
  <c r="A218" i="8"/>
  <c r="A121" i="8"/>
  <c r="A225" i="8"/>
  <c r="A235" i="8"/>
  <c r="A171" i="8"/>
  <c r="A181" i="8"/>
  <c r="A229" i="8"/>
  <c r="A172" i="8"/>
  <c r="A83" i="8"/>
  <c r="A236" i="8"/>
  <c r="A182" i="8"/>
  <c r="A99" i="8"/>
  <c r="A228" i="8"/>
  <c r="A119" i="8"/>
  <c r="A258" i="8"/>
  <c r="A71" i="8"/>
  <c r="A193" i="8"/>
  <c r="A253" i="8"/>
  <c r="A147" i="8"/>
  <c r="A207" i="8"/>
  <c r="A141" i="8"/>
  <c r="A135" i="8"/>
  <c r="A66" i="8"/>
  <c r="A243" i="8"/>
  <c r="A159" i="8"/>
  <c r="A215" i="8"/>
  <c r="A125" i="8"/>
  <c r="A206" i="8"/>
  <c r="A179" i="8"/>
  <c r="A230" i="8"/>
  <c r="A64" i="8"/>
  <c r="A116" i="8"/>
  <c r="A144" i="8"/>
  <c r="A161" i="8"/>
  <c r="A128" i="8"/>
  <c r="A95" i="8"/>
  <c r="A109" i="8"/>
  <c r="A100" i="8"/>
  <c r="A254" i="8"/>
  <c r="A98" i="8"/>
  <c r="AT48" i="17"/>
  <c r="AT28" i="17"/>
  <c r="M40" i="8"/>
  <c r="AS40" i="17"/>
  <c r="A114" i="8"/>
  <c r="A251" i="8"/>
  <c r="A237" i="8"/>
  <c r="A199" i="8"/>
  <c r="A164" i="8"/>
  <c r="A245" i="8"/>
  <c r="A222" i="8"/>
  <c r="A146" i="8"/>
  <c r="A75" i="8"/>
  <c r="A94" i="8"/>
  <c r="A191" i="8"/>
  <c r="A163" i="8"/>
  <c r="A186" i="8"/>
  <c r="A136" i="8"/>
  <c r="A78" i="8"/>
  <c r="A255" i="8"/>
  <c r="A205" i="8"/>
  <c r="A234" i="8"/>
  <c r="A84" i="8"/>
  <c r="A232" i="8"/>
  <c r="A82" i="8"/>
  <c r="A221" i="8"/>
  <c r="A247" i="8"/>
  <c r="A242" i="8"/>
  <c r="A102" i="8"/>
  <c r="A113" i="8"/>
  <c r="A238" i="8"/>
  <c r="A85" i="8"/>
  <c r="A208" i="8"/>
  <c r="A68" i="8"/>
  <c r="A260" i="8"/>
  <c r="A112" i="8"/>
  <c r="A187" i="8"/>
  <c r="A152" i="8"/>
  <c r="A110" i="8"/>
  <c r="AT13" i="17"/>
  <c r="M28" i="8"/>
  <c r="AS28" i="17"/>
  <c r="AC4" i="18"/>
  <c r="AB3" i="18"/>
  <c r="AD4" i="18"/>
  <c r="AI3" i="18"/>
  <c r="AH4" i="18"/>
  <c r="AJ4" i="18"/>
  <c r="AD3" i="18"/>
  <c r="AH3" i="18"/>
  <c r="AG3" i="18"/>
  <c r="AJ3" i="18"/>
  <c r="AI4" i="18"/>
  <c r="AC3" i="18"/>
  <c r="AB4" i="18"/>
  <c r="AE4" i="18"/>
  <c r="AE3" i="18"/>
  <c r="AG4" i="18"/>
  <c r="A151" i="8"/>
  <c r="A133" i="8"/>
  <c r="A244" i="8"/>
  <c r="A174" i="8"/>
  <c r="AT18" i="17"/>
  <c r="AS36" i="17"/>
  <c r="M36" i="8"/>
  <c r="AT14" i="17"/>
  <c r="AT50" i="17"/>
  <c r="M32" i="8"/>
  <c r="AS32" i="17"/>
  <c r="AT25" i="17"/>
  <c r="AT51" i="17"/>
  <c r="AT26" i="17"/>
  <c r="A92" i="8"/>
  <c r="A231" i="8"/>
  <c r="A76" i="8"/>
  <c r="A223" i="8"/>
  <c r="A69" i="8"/>
  <c r="A241" i="8"/>
  <c r="A143" i="8"/>
  <c r="A176" i="8"/>
  <c r="A96" i="8"/>
  <c r="A188" i="8"/>
  <c r="A123" i="8"/>
  <c r="A153" i="8"/>
  <c r="A183" i="8"/>
  <c r="A211" i="8"/>
  <c r="A162" i="8"/>
  <c r="A257" i="8"/>
  <c r="A226" i="8"/>
  <c r="A192" i="8"/>
  <c r="A233" i="8"/>
  <c r="A131" i="8"/>
  <c r="A248" i="8"/>
  <c r="A118" i="8"/>
  <c r="A217" i="8"/>
  <c r="A204" i="8"/>
  <c r="A140" i="8"/>
  <c r="A219" i="8"/>
  <c r="A160" i="8"/>
  <c r="A173" i="8"/>
  <c r="A213" i="8"/>
  <c r="A129" i="8"/>
  <c r="A149" i="8"/>
  <c r="A252" i="8"/>
  <c r="A203" i="8"/>
  <c r="A156" i="8"/>
  <c r="A155" i="8"/>
  <c r="A169" i="8"/>
  <c r="A246" i="8"/>
  <c r="A202" i="8"/>
  <c r="A216" i="8"/>
  <c r="A197" i="8"/>
  <c r="A170" i="8"/>
  <c r="A214" i="8"/>
  <c r="A167" i="8"/>
  <c r="A126" i="8"/>
  <c r="A106" i="8"/>
  <c r="A91" i="8"/>
  <c r="A103" i="8"/>
  <c r="A196" i="8"/>
  <c r="A195" i="8"/>
  <c r="A115" i="8"/>
  <c r="M22" i="8"/>
  <c r="AS22" i="17"/>
  <c r="M33" i="8"/>
  <c r="AS33" i="17"/>
  <c r="AT59" i="17"/>
  <c r="AT41" i="17"/>
  <c r="M51" i="8"/>
  <c r="AS51" i="17"/>
  <c r="A101" i="8"/>
  <c r="A73" i="8"/>
  <c r="A111" i="8"/>
  <c r="A65" i="8"/>
  <c r="AS21" i="17"/>
  <c r="M21" i="8"/>
  <c r="M17" i="8"/>
  <c r="AS17" i="17"/>
  <c r="AT57" i="17"/>
  <c r="AT47" i="17"/>
  <c r="AT29" i="17"/>
  <c r="A185" i="8"/>
  <c r="A240" i="8"/>
  <c r="A175" i="8"/>
  <c r="A93" i="8"/>
  <c r="A194" i="8"/>
  <c r="A63" i="8"/>
  <c r="A145" i="8"/>
  <c r="A137" i="8"/>
  <c r="A89" i="8"/>
  <c r="A72" i="8"/>
  <c r="A184" i="8"/>
  <c r="A220" i="8"/>
  <c r="A74" i="8"/>
  <c r="A122" i="8"/>
  <c r="A212" i="8"/>
  <c r="A227" i="8"/>
  <c r="A165" i="8"/>
  <c r="A127" i="8"/>
  <c r="A190" i="8"/>
  <c r="A148" i="8"/>
  <c r="A142" i="8"/>
  <c r="A201" i="8"/>
  <c r="A117" i="8"/>
  <c r="A86" i="8"/>
  <c r="A166" i="8"/>
  <c r="A80" i="8"/>
  <c r="A138" i="8"/>
  <c r="A256" i="8"/>
  <c r="A104" i="8"/>
  <c r="A88" i="8"/>
  <c r="A134" i="8"/>
  <c r="A107" i="8"/>
  <c r="A250" i="8"/>
  <c r="A139" i="8"/>
  <c r="A198" i="8"/>
  <c r="A79" i="8"/>
  <c r="A67" i="8"/>
  <c r="A239" i="8"/>
  <c r="A259" i="8"/>
  <c r="A70" i="8"/>
  <c r="A178" i="8"/>
  <c r="A154" i="8"/>
  <c r="A120" i="8"/>
  <c r="A210" i="8"/>
  <c r="A130" i="8"/>
  <c r="A81" i="8"/>
  <c r="A209" i="8"/>
  <c r="A97" i="8"/>
  <c r="A108" i="8"/>
  <c r="A224" i="8"/>
  <c r="W263" i="8" l="1"/>
  <c r="AT61" i="17"/>
  <c r="AT264" i="17" s="1"/>
  <c r="Q4" i="10"/>
  <c r="W5" i="10"/>
  <c r="U4" i="10"/>
  <c r="T4" i="10"/>
  <c r="O4" i="10"/>
  <c r="P4" i="10"/>
  <c r="W4" i="10"/>
  <c r="R4" i="10"/>
  <c r="V4" i="10"/>
  <c r="R3" i="10"/>
  <c r="O3" i="10"/>
  <c r="V3" i="10"/>
  <c r="W3" i="10"/>
  <c r="X3" i="10"/>
  <c r="P3" i="10"/>
  <c r="U3" i="10"/>
  <c r="Q3" i="10"/>
  <c r="T3" i="10"/>
  <c r="AK3" i="18"/>
  <c r="AC5" i="18"/>
  <c r="AI5" i="18"/>
  <c r="Q5" i="10"/>
  <c r="AE5" i="18"/>
  <c r="AD5" i="18"/>
  <c r="AH5" i="18"/>
  <c r="X4" i="10"/>
  <c r="AG5" i="18"/>
  <c r="AK5" i="18"/>
  <c r="AB5" i="18"/>
  <c r="AJ5" i="18"/>
  <c r="V5" i="10"/>
  <c r="R5" i="10"/>
  <c r="U5" i="10"/>
  <c r="O5" i="10"/>
  <c r="P5" i="10"/>
  <c r="T5" i="10"/>
  <c r="AE13" i="1"/>
  <c r="K51" i="1"/>
  <c r="I8" i="7"/>
  <c r="I5" i="7" s="1"/>
  <c r="J63" i="7"/>
  <c r="J54" i="7" s="1"/>
  <c r="X5" i="10"/>
  <c r="V181" i="10"/>
  <c r="R131" i="10"/>
  <c r="Q136" i="10"/>
  <c r="U11" i="10"/>
  <c r="T107" i="10"/>
  <c r="P179" i="10"/>
  <c r="V174" i="10"/>
  <c r="T32" i="10"/>
  <c r="V134" i="10"/>
  <c r="AJ148" i="18"/>
  <c r="P113" i="10"/>
  <c r="AH171" i="18"/>
  <c r="AI132" i="18"/>
  <c r="Q138" i="10"/>
  <c r="O146" i="10"/>
  <c r="T15" i="10"/>
  <c r="X21" i="10"/>
  <c r="AK100" i="18"/>
  <c r="AD177" i="18"/>
  <c r="AK83" i="18"/>
  <c r="V130" i="10"/>
  <c r="Q70" i="10"/>
  <c r="T185" i="10"/>
  <c r="O10" i="10"/>
  <c r="P32" i="10"/>
  <c r="Q9" i="10"/>
  <c r="O47" i="10"/>
  <c r="AC124" i="18"/>
  <c r="U31" i="10"/>
  <c r="U56" i="10"/>
  <c r="T74" i="10"/>
  <c r="U132" i="10"/>
  <c r="T87" i="10"/>
  <c r="V73" i="10"/>
  <c r="V161" i="10"/>
  <c r="U177" i="10"/>
  <c r="Q144" i="10"/>
  <c r="R130" i="10"/>
  <c r="T148" i="10"/>
  <c r="O202" i="10"/>
  <c r="AI170" i="18"/>
  <c r="V143" i="10"/>
  <c r="U143" i="10"/>
  <c r="Q142" i="10"/>
  <c r="P58" i="10"/>
  <c r="X37" i="10"/>
  <c r="U87" i="10"/>
  <c r="X142" i="10"/>
  <c r="U186" i="10"/>
  <c r="P123" i="10"/>
  <c r="W104" i="10"/>
  <c r="AC142" i="18"/>
  <c r="U174" i="10"/>
  <c r="P54" i="10"/>
  <c r="P46" i="10"/>
  <c r="P71" i="10"/>
  <c r="O92" i="10"/>
  <c r="P26" i="10"/>
  <c r="O162" i="10"/>
  <c r="X133" i="10"/>
  <c r="P120" i="10"/>
  <c r="AH10" i="18"/>
  <c r="AH107" i="18"/>
  <c r="AI189" i="18"/>
  <c r="AB143" i="18"/>
  <c r="X144" i="10"/>
  <c r="U172" i="10"/>
  <c r="Q186" i="10"/>
  <c r="AG114" i="18"/>
  <c r="X70" i="10"/>
  <c r="R155" i="10"/>
  <c r="Q69" i="10"/>
  <c r="AJ113" i="18"/>
  <c r="AE107" i="18"/>
  <c r="V128" i="10"/>
  <c r="AE173" i="18"/>
  <c r="P101" i="10"/>
  <c r="P156" i="10"/>
  <c r="AC126" i="18"/>
  <c r="T157" i="10"/>
  <c r="Q68" i="10"/>
  <c r="AH69" i="18"/>
  <c r="U79" i="10"/>
  <c r="W105" i="10"/>
  <c r="U120" i="10"/>
  <c r="W156" i="10"/>
  <c r="R49" i="10"/>
  <c r="X148" i="10"/>
  <c r="AI176" i="18"/>
  <c r="R89" i="10"/>
  <c r="T6" i="10"/>
  <c r="W22" i="10"/>
  <c r="W94" i="10"/>
  <c r="Q78" i="10"/>
  <c r="P187" i="10"/>
  <c r="U193" i="10"/>
  <c r="W58" i="10"/>
  <c r="Q28" i="10"/>
  <c r="T140" i="10"/>
  <c r="V89" i="10"/>
  <c r="W13" i="10"/>
  <c r="AJ86" i="18"/>
  <c r="V47" i="10"/>
  <c r="W155" i="10"/>
  <c r="O22" i="10"/>
  <c r="O56" i="10"/>
  <c r="R99" i="10"/>
  <c r="AI111" i="18"/>
  <c r="P126" i="10"/>
  <c r="Q74" i="10"/>
  <c r="P43" i="10"/>
  <c r="AG159" i="18"/>
  <c r="R116" i="10"/>
  <c r="P124" i="10"/>
  <c r="Q53" i="10"/>
  <c r="R82" i="10"/>
  <c r="AK79" i="18"/>
  <c r="U47" i="10"/>
  <c r="W6" i="10"/>
  <c r="W132" i="10"/>
  <c r="X94" i="10"/>
  <c r="X195" i="10"/>
  <c r="AC97" i="18"/>
  <c r="O62" i="10"/>
  <c r="R173" i="10"/>
  <c r="P128" i="10"/>
  <c r="Q165" i="10"/>
  <c r="AE134" i="18"/>
  <c r="W171" i="10"/>
  <c r="T77" i="10"/>
  <c r="Q161" i="10"/>
  <c r="R90" i="10"/>
  <c r="P160" i="10"/>
  <c r="AC139" i="18"/>
  <c r="AC130" i="18"/>
  <c r="W154" i="10"/>
  <c r="U33" i="10"/>
  <c r="W158" i="10"/>
  <c r="U103" i="10"/>
  <c r="O106" i="10"/>
  <c r="V151" i="10"/>
  <c r="U65" i="10"/>
  <c r="AE18" i="18"/>
  <c r="Q198" i="10"/>
  <c r="X13" i="10"/>
  <c r="Q163" i="10"/>
  <c r="AB63" i="18"/>
  <c r="V24" i="10"/>
  <c r="AB188" i="18"/>
  <c r="O183" i="10"/>
  <c r="U133" i="10"/>
  <c r="R25" i="10"/>
  <c r="W118" i="10"/>
  <c r="AJ108" i="18"/>
  <c r="X131" i="10"/>
  <c r="Q49" i="10"/>
  <c r="R72" i="10"/>
  <c r="V172" i="10"/>
  <c r="W81" i="10"/>
  <c r="AD94" i="18"/>
  <c r="U71" i="10"/>
  <c r="V119" i="10"/>
  <c r="Q65" i="10"/>
  <c r="P87" i="10"/>
  <c r="O176" i="10"/>
  <c r="Q33" i="10"/>
  <c r="W170" i="10"/>
  <c r="X169" i="10"/>
  <c r="AE112" i="18"/>
  <c r="U155" i="10"/>
  <c r="R77" i="10"/>
  <c r="AK182" i="18"/>
  <c r="W185" i="10"/>
  <c r="W71" i="10"/>
  <c r="P16" i="10"/>
  <c r="X68" i="10"/>
  <c r="Q111" i="10"/>
  <c r="AK80" i="18"/>
  <c r="U141" i="10"/>
  <c r="X18" i="10"/>
  <c r="R53" i="10"/>
  <c r="AH144" i="18"/>
  <c r="Q178" i="10"/>
  <c r="V62" i="10"/>
  <c r="AG98" i="18"/>
  <c r="P103" i="10"/>
  <c r="AE133" i="18"/>
  <c r="O30" i="10"/>
  <c r="AJ53" i="18"/>
  <c r="AJ169" i="18"/>
  <c r="AJ92" i="18"/>
  <c r="V72" i="10"/>
  <c r="X170" i="10"/>
  <c r="U27" i="10"/>
  <c r="U41" i="10"/>
  <c r="T133" i="10"/>
  <c r="V166" i="10"/>
  <c r="AC145" i="18"/>
  <c r="V116" i="10"/>
  <c r="X28" i="10"/>
  <c r="AK150" i="18"/>
  <c r="T70" i="10"/>
  <c r="X11" i="10"/>
  <c r="U99" i="10"/>
  <c r="O142" i="10"/>
  <c r="Q108" i="10"/>
  <c r="Q118" i="10"/>
  <c r="P35" i="10"/>
  <c r="U135" i="10"/>
  <c r="AB141" i="18"/>
  <c r="P150" i="10"/>
  <c r="P195" i="10"/>
  <c r="V157" i="10"/>
  <c r="R149" i="10"/>
  <c r="V43" i="10"/>
  <c r="AK159" i="18"/>
  <c r="R102" i="10"/>
  <c r="P172" i="10"/>
  <c r="X99" i="10"/>
  <c r="R58" i="10"/>
  <c r="V155" i="10"/>
  <c r="W202" i="10"/>
  <c r="U86" i="10"/>
  <c r="W177" i="10"/>
  <c r="V147" i="10"/>
  <c r="W37" i="10"/>
  <c r="O201" i="10"/>
  <c r="V66" i="10"/>
  <c r="O13" i="10"/>
  <c r="T44" i="10"/>
  <c r="P152" i="10"/>
  <c r="AE187" i="18"/>
  <c r="P81" i="10"/>
  <c r="W130" i="10"/>
  <c r="P63" i="10"/>
  <c r="AH193" i="18"/>
  <c r="R171" i="10"/>
  <c r="O27" i="10"/>
  <c r="W70" i="10"/>
  <c r="AH163" i="18"/>
  <c r="AB106" i="18"/>
  <c r="AC96" i="18"/>
  <c r="W49" i="10"/>
  <c r="W16" i="10"/>
  <c r="AJ49" i="18"/>
  <c r="V102" i="10"/>
  <c r="P74" i="10"/>
  <c r="X47" i="10"/>
  <c r="AG132" i="18"/>
  <c r="W28" i="10"/>
  <c r="R138" i="10"/>
  <c r="U53" i="10"/>
  <c r="AC132" i="18"/>
  <c r="AI126" i="18"/>
  <c r="AI175" i="18"/>
  <c r="Q152" i="10"/>
  <c r="R153" i="10"/>
  <c r="X191" i="10"/>
  <c r="AJ152" i="18"/>
  <c r="U167" i="10"/>
  <c r="AB144" i="18"/>
  <c r="AC41" i="18"/>
  <c r="V96" i="10"/>
  <c r="T121" i="10"/>
  <c r="U44" i="10"/>
  <c r="X150" i="10"/>
  <c r="O180" i="10"/>
  <c r="W167" i="10"/>
  <c r="AH106" i="18"/>
  <c r="T78" i="10"/>
  <c r="R167" i="10"/>
  <c r="U168" i="10"/>
  <c r="V106" i="10"/>
  <c r="O87" i="10"/>
  <c r="X98" i="10"/>
  <c r="Q115" i="10"/>
  <c r="AJ95" i="18"/>
  <c r="AC95" i="18"/>
  <c r="W41" i="10"/>
  <c r="AK105" i="18"/>
  <c r="Q164" i="10"/>
  <c r="O200" i="10"/>
  <c r="Q84" i="10"/>
  <c r="AI109" i="18"/>
  <c r="Q199" i="10"/>
  <c r="X154" i="10"/>
  <c r="X83" i="10"/>
  <c r="W145" i="10"/>
  <c r="O88" i="10"/>
  <c r="O69" i="10"/>
  <c r="R199" i="10"/>
  <c r="T63" i="10"/>
  <c r="T99" i="10"/>
  <c r="Q106" i="10"/>
  <c r="AI195" i="18"/>
  <c r="O130" i="10"/>
  <c r="T41" i="10"/>
  <c r="X66" i="10"/>
  <c r="AJ143" i="18"/>
  <c r="V111" i="10"/>
  <c r="X67" i="10"/>
  <c r="AG118" i="18"/>
  <c r="V79" i="10"/>
  <c r="AC174" i="18"/>
  <c r="AD164" i="18"/>
  <c r="U183" i="10"/>
  <c r="V148" i="10"/>
  <c r="Q12" i="10"/>
  <c r="V138" i="10"/>
  <c r="AE19" i="18"/>
  <c r="V170" i="10"/>
  <c r="P143" i="10"/>
  <c r="T50" i="10"/>
  <c r="AK52" i="18"/>
  <c r="O138" i="10"/>
  <c r="W60" i="10"/>
  <c r="AC175" i="18"/>
  <c r="AK72" i="18"/>
  <c r="AJ147" i="18"/>
  <c r="O174" i="10"/>
  <c r="P117" i="10"/>
  <c r="P116" i="10"/>
  <c r="T19" i="10"/>
  <c r="R139" i="10"/>
  <c r="W72" i="10"/>
  <c r="V142" i="10"/>
  <c r="AI180" i="18"/>
  <c r="O148" i="10"/>
  <c r="X190" i="10"/>
  <c r="V90" i="10"/>
  <c r="Q174" i="10"/>
  <c r="AJ75" i="18"/>
  <c r="AB19" i="18"/>
  <c r="T79" i="10"/>
  <c r="T190" i="10"/>
  <c r="R158" i="10"/>
  <c r="W21" i="10"/>
  <c r="U55" i="10"/>
  <c r="X121" i="10"/>
  <c r="AG182" i="18"/>
  <c r="W65" i="10"/>
  <c r="Q194" i="10"/>
  <c r="W97" i="10"/>
  <c r="AD111" i="18"/>
  <c r="AG197" i="18"/>
  <c r="O97" i="10"/>
  <c r="T48" i="10"/>
  <c r="AE60" i="18"/>
  <c r="R122" i="10"/>
  <c r="AI85" i="18"/>
  <c r="U52" i="10"/>
  <c r="AK145" i="18"/>
  <c r="AH102" i="18"/>
  <c r="AK37" i="18"/>
  <c r="X141" i="10"/>
  <c r="O63" i="10"/>
  <c r="Q183" i="10"/>
  <c r="O99" i="10"/>
  <c r="V200" i="10"/>
  <c r="Q166" i="10"/>
  <c r="U200" i="10"/>
  <c r="Q158" i="10"/>
  <c r="Q128" i="10"/>
  <c r="AK123" i="18"/>
  <c r="P64" i="10"/>
  <c r="X90" i="10"/>
  <c r="Q6" i="10"/>
  <c r="T117" i="10"/>
  <c r="AJ29" i="18"/>
  <c r="V51" i="10"/>
  <c r="X42" i="10"/>
  <c r="U97" i="10"/>
  <c r="AC117" i="18"/>
  <c r="AB136" i="18"/>
  <c r="X186" i="10"/>
  <c r="T68" i="10"/>
  <c r="AI168" i="18"/>
  <c r="W157" i="10"/>
  <c r="AH131" i="18"/>
  <c r="X39" i="10"/>
  <c r="AK118" i="18"/>
  <c r="V104" i="10"/>
  <c r="X45" i="10"/>
  <c r="AI56" i="18"/>
  <c r="P85" i="10"/>
  <c r="R156" i="10"/>
  <c r="T175" i="10"/>
  <c r="Q157" i="10"/>
  <c r="R100" i="10"/>
  <c r="AC103" i="18"/>
  <c r="O160" i="10"/>
  <c r="AH166" i="18"/>
  <c r="AC118" i="18"/>
  <c r="AE186" i="18"/>
  <c r="AG69" i="18"/>
  <c r="AJ21" i="18"/>
  <c r="AJ6" i="18"/>
  <c r="AG10" i="18"/>
  <c r="AJ28" i="18"/>
  <c r="AE15" i="18"/>
  <c r="AI60" i="18"/>
  <c r="AH123" i="18"/>
  <c r="AG53" i="18"/>
  <c r="AI138" i="18"/>
  <c r="AC13" i="18"/>
  <c r="AK43" i="18"/>
  <c r="AI167" i="18"/>
  <c r="AC192" i="18"/>
  <c r="AJ50" i="18"/>
  <c r="AJ8" i="18"/>
  <c r="V13" i="10"/>
  <c r="O165" i="10"/>
  <c r="AI179" i="18"/>
  <c r="O149" i="10"/>
  <c r="AE65" i="18"/>
  <c r="AD38" i="18"/>
  <c r="AH133" i="18"/>
  <c r="AG104" i="18"/>
  <c r="AI31" i="18"/>
  <c r="AH199" i="18"/>
  <c r="AC7" i="18"/>
  <c r="AJ58" i="18"/>
  <c r="AI44" i="18"/>
  <c r="V70" i="10"/>
  <c r="AK57" i="18"/>
  <c r="AC68" i="18"/>
  <c r="T90" i="10"/>
  <c r="T193" i="10"/>
  <c r="U24" i="10"/>
  <c r="AH13" i="18"/>
  <c r="AB81" i="18"/>
  <c r="O100" i="10"/>
  <c r="AI39" i="18"/>
  <c r="AH128" i="18"/>
  <c r="AG35" i="18"/>
  <c r="O187" i="10"/>
  <c r="AG136" i="18"/>
  <c r="AB86" i="18"/>
  <c r="AH44" i="18"/>
  <c r="AK58" i="18"/>
  <c r="U16" i="10"/>
  <c r="AC104" i="18"/>
  <c r="X115" i="10"/>
  <c r="O179" i="10"/>
  <c r="AJ10" i="18"/>
  <c r="V192" i="10"/>
  <c r="AJ51" i="18"/>
  <c r="AG41" i="18"/>
  <c r="AJ178" i="18"/>
  <c r="AG18" i="18"/>
  <c r="AG20" i="18"/>
  <c r="AK119" i="18"/>
  <c r="AJ94" i="18"/>
  <c r="AG22" i="18"/>
  <c r="R109" i="10"/>
  <c r="AE49" i="18"/>
  <c r="AE9" i="18"/>
  <c r="AE17" i="18"/>
  <c r="V187" i="10"/>
  <c r="P178" i="10"/>
  <c r="O145" i="10"/>
  <c r="AE137" i="18"/>
  <c r="AI26" i="18"/>
  <c r="AE59" i="18"/>
  <c r="AD165" i="18"/>
  <c r="AB70" i="18"/>
  <c r="AH43" i="18"/>
  <c r="AE22" i="18"/>
  <c r="AI30" i="18"/>
  <c r="AI38" i="18"/>
  <c r="AD46" i="18"/>
  <c r="AE196" i="18"/>
  <c r="AI71" i="18"/>
  <c r="AC113" i="18"/>
  <c r="AJ191" i="18"/>
  <c r="Q93" i="10"/>
  <c r="T30" i="10"/>
  <c r="AJ40" i="18"/>
  <c r="AD45" i="18"/>
  <c r="AJ44" i="18"/>
  <c r="AJ48" i="18"/>
  <c r="O75" i="10"/>
  <c r="AE108" i="18"/>
  <c r="AK155" i="18"/>
  <c r="V190" i="10"/>
  <c r="AK59" i="18"/>
  <c r="AE183" i="18"/>
  <c r="AD52" i="18"/>
  <c r="AD102" i="18"/>
  <c r="AB13" i="18"/>
  <c r="AB59" i="18"/>
  <c r="AI53" i="18"/>
  <c r="AB41" i="18"/>
  <c r="R7" i="10"/>
  <c r="AG134" i="18"/>
  <c r="AI118" i="18"/>
  <c r="AJ140" i="18"/>
  <c r="T162" i="10"/>
  <c r="AG189" i="18"/>
  <c r="AH99" i="18"/>
  <c r="U48" i="10"/>
  <c r="AG103" i="18"/>
  <c r="U76" i="10"/>
  <c r="W7" i="10"/>
  <c r="AH53" i="18"/>
  <c r="O185" i="10"/>
  <c r="AD107" i="18"/>
  <c r="AJ170" i="18"/>
  <c r="P121" i="10"/>
  <c r="Q85" i="10"/>
  <c r="AC195" i="18"/>
  <c r="X138" i="10"/>
  <c r="AG68" i="18"/>
  <c r="AJ60" i="18"/>
  <c r="AC140" i="18"/>
  <c r="AG127" i="18"/>
  <c r="AB51" i="18"/>
  <c r="AE138" i="18"/>
  <c r="AB135" i="18"/>
  <c r="P79" i="10"/>
  <c r="AH52" i="18"/>
  <c r="AD125" i="18"/>
  <c r="AI15" i="18"/>
  <c r="AG55" i="18"/>
  <c r="AB114" i="18"/>
  <c r="Q119" i="10"/>
  <c r="AK202" i="18"/>
  <c r="AE99" i="18"/>
  <c r="W162" i="10"/>
  <c r="AG70" i="18"/>
  <c r="AB195" i="18"/>
  <c r="AH142" i="18"/>
  <c r="X129" i="10"/>
  <c r="X145" i="10"/>
  <c r="AK82" i="18"/>
  <c r="AK192" i="18"/>
  <c r="AE106" i="18"/>
  <c r="AE128" i="18"/>
  <c r="AK41" i="18"/>
  <c r="AH141" i="18"/>
  <c r="AJ119" i="18"/>
  <c r="AD117" i="18"/>
  <c r="AK185" i="18"/>
  <c r="AC188" i="18"/>
  <c r="AB107" i="18"/>
  <c r="AJ65" i="18"/>
  <c r="AE114" i="18"/>
  <c r="P199" i="10"/>
  <c r="AH27" i="18"/>
  <c r="AI184" i="18"/>
  <c r="W14" i="10"/>
  <c r="U169" i="10"/>
  <c r="AD74" i="18"/>
  <c r="AB22" i="18"/>
  <c r="AC49" i="18"/>
  <c r="P175" i="10"/>
  <c r="AD59" i="18"/>
  <c r="AD146" i="18"/>
  <c r="W44" i="10"/>
  <c r="T94" i="10"/>
  <c r="AI92" i="18"/>
  <c r="AH54" i="18"/>
  <c r="AG54" i="18"/>
  <c r="Q14" i="10"/>
  <c r="X72" i="10"/>
  <c r="AJ162" i="18"/>
  <c r="AH152" i="18"/>
  <c r="R200" i="10"/>
  <c r="AC143" i="18"/>
  <c r="U17" i="10"/>
  <c r="W116" i="10"/>
  <c r="AB199" i="18"/>
  <c r="X107" i="10"/>
  <c r="T108" i="10"/>
  <c r="AE202" i="18"/>
  <c r="AH139" i="18"/>
  <c r="AD6" i="18"/>
  <c r="AD161" i="18"/>
  <c r="AB35" i="18"/>
  <c r="V110" i="10"/>
  <c r="AH46" i="18"/>
  <c r="AI69" i="18"/>
  <c r="AG110" i="18"/>
  <c r="W148" i="10"/>
  <c r="AE35" i="18"/>
  <c r="AC128" i="18"/>
  <c r="T57" i="10"/>
  <c r="AK27" i="18"/>
  <c r="AK116" i="18"/>
  <c r="AB160" i="18"/>
  <c r="AE75" i="18"/>
  <c r="O119" i="10"/>
  <c r="T169" i="10"/>
  <c r="U78" i="10"/>
  <c r="AD147" i="18"/>
  <c r="AK39" i="18"/>
  <c r="AC116" i="18"/>
  <c r="AJ20" i="18"/>
  <c r="AC93" i="18"/>
  <c r="AI90" i="18"/>
  <c r="AH34" i="18"/>
  <c r="AH9" i="18"/>
  <c r="AI14" i="18"/>
  <c r="AC77" i="18"/>
  <c r="AB104" i="18"/>
  <c r="AD54" i="18"/>
  <c r="AJ154" i="18"/>
  <c r="V36" i="10"/>
  <c r="AC163" i="18"/>
  <c r="AI190" i="18"/>
  <c r="P78" i="10"/>
  <c r="O113" i="10"/>
  <c r="AI95" i="18"/>
  <c r="AI70" i="18"/>
  <c r="AK144" i="18"/>
  <c r="AC147" i="18"/>
  <c r="V64" i="10"/>
  <c r="AG51" i="18"/>
  <c r="AE85" i="18"/>
  <c r="U116" i="10"/>
  <c r="AE8" i="18"/>
  <c r="AH147" i="18"/>
  <c r="AG150" i="18"/>
  <c r="AE40" i="18"/>
  <c r="AC172" i="18"/>
  <c r="AI106" i="18"/>
  <c r="AJ132" i="18"/>
  <c r="AJ43" i="18"/>
  <c r="AC105" i="18"/>
  <c r="AJ139" i="18"/>
  <c r="AD138" i="18"/>
  <c r="AD118" i="18"/>
  <c r="AE14" i="18"/>
  <c r="R105" i="10"/>
  <c r="AB170" i="18"/>
  <c r="Q175" i="10"/>
  <c r="AH202" i="18"/>
  <c r="R123" i="10"/>
  <c r="AD80" i="18"/>
  <c r="Q16" i="10"/>
  <c r="AG143" i="18"/>
  <c r="AE166" i="18"/>
  <c r="T116" i="10"/>
  <c r="AG170" i="18"/>
  <c r="AE58" i="18"/>
  <c r="AB46" i="18"/>
  <c r="T95" i="10"/>
  <c r="AC40" i="18"/>
  <c r="AJ159" i="18"/>
  <c r="W19" i="10"/>
  <c r="AK28" i="18"/>
  <c r="O123" i="10"/>
  <c r="AB165" i="18"/>
  <c r="V122" i="10"/>
  <c r="AI160" i="18"/>
  <c r="X26" i="10"/>
  <c r="V137" i="10"/>
  <c r="V125" i="10"/>
  <c r="AG75" i="18"/>
  <c r="AI74" i="18"/>
  <c r="V165" i="10"/>
  <c r="T100" i="10"/>
  <c r="AH63" i="18"/>
  <c r="T14" i="10"/>
  <c r="AD23" i="18"/>
  <c r="AD9" i="18"/>
  <c r="U195" i="10"/>
  <c r="AI68" i="18"/>
  <c r="AI50" i="18"/>
  <c r="AC46" i="18"/>
  <c r="AK75" i="18"/>
  <c r="R45" i="10"/>
  <c r="AE111" i="18"/>
  <c r="AJ202" i="18"/>
  <c r="V32" i="10"/>
  <c r="AC157" i="18"/>
  <c r="AI98" i="18"/>
  <c r="AI49" i="18"/>
  <c r="AK65" i="18"/>
  <c r="U162" i="10"/>
  <c r="O177" i="10"/>
  <c r="AI185" i="18"/>
  <c r="W38" i="10"/>
  <c r="AJ184" i="18"/>
  <c r="AC33" i="18"/>
  <c r="AB96" i="18"/>
  <c r="AC198" i="18"/>
  <c r="AG63" i="18"/>
  <c r="AC185" i="18"/>
  <c r="AH21" i="18"/>
  <c r="W160" i="10"/>
  <c r="AG138" i="18"/>
  <c r="AD178" i="18"/>
  <c r="V114" i="10"/>
  <c r="AC155" i="18"/>
  <c r="V105" i="10"/>
  <c r="V164" i="10"/>
  <c r="R175" i="10"/>
  <c r="AE182" i="18"/>
  <c r="AG95" i="18"/>
  <c r="AJ109" i="18"/>
  <c r="AK137" i="18"/>
  <c r="W115" i="10"/>
  <c r="X183" i="10"/>
  <c r="AG97" i="18"/>
  <c r="Q156" i="10"/>
  <c r="Q190" i="10"/>
  <c r="AE6" i="18"/>
  <c r="X153" i="10"/>
  <c r="W24" i="10"/>
  <c r="AB58" i="18"/>
  <c r="AH195" i="18"/>
  <c r="AD30" i="18"/>
  <c r="AJ103" i="18"/>
  <c r="W142" i="10"/>
  <c r="AD37" i="18"/>
  <c r="AE26" i="18"/>
  <c r="Q8" i="10"/>
  <c r="AH67" i="18"/>
  <c r="AD11" i="18"/>
  <c r="AD69" i="18"/>
  <c r="P95" i="10"/>
  <c r="AJ31" i="18"/>
  <c r="AD92" i="18"/>
  <c r="X152" i="10"/>
  <c r="X128" i="10"/>
  <c r="R85" i="10"/>
  <c r="AE158" i="18"/>
  <c r="AD35" i="18"/>
  <c r="Q167" i="10"/>
  <c r="AK15" i="18"/>
  <c r="AJ80" i="18"/>
  <c r="AB201" i="18"/>
  <c r="AG195" i="18"/>
  <c r="AK102" i="18"/>
  <c r="AG16" i="18"/>
  <c r="AB12" i="18"/>
  <c r="AH31" i="18"/>
  <c r="AC100" i="18"/>
  <c r="AE52" i="18"/>
  <c r="AC62" i="18"/>
  <c r="AE69" i="18"/>
  <c r="AG23" i="18"/>
  <c r="AH120" i="18"/>
  <c r="AD29" i="18"/>
  <c r="AI7" i="18"/>
  <c r="AG99" i="18"/>
  <c r="AK17" i="18"/>
  <c r="AK74" i="18"/>
  <c r="AH23" i="18"/>
  <c r="AD71" i="18"/>
  <c r="AJ149" i="18"/>
  <c r="AC176" i="18"/>
  <c r="AJ72" i="18"/>
  <c r="AH126" i="18"/>
  <c r="AI115" i="18"/>
  <c r="AG43" i="18"/>
  <c r="AJ12" i="18"/>
  <c r="R24" i="10"/>
  <c r="AG80" i="18"/>
  <c r="AH33" i="18"/>
  <c r="AH191" i="18"/>
  <c r="AG191" i="18"/>
  <c r="AB62" i="18"/>
  <c r="AH78" i="18"/>
  <c r="AJ181" i="18"/>
  <c r="P176" i="10"/>
  <c r="R197" i="10"/>
  <c r="AB24" i="18"/>
  <c r="AH130" i="18"/>
  <c r="AB93" i="18"/>
  <c r="AB113" i="18"/>
  <c r="V184" i="10"/>
  <c r="AJ69" i="18"/>
  <c r="AG115" i="18"/>
  <c r="AD155" i="18"/>
  <c r="X27" i="10"/>
  <c r="AH16" i="18"/>
  <c r="AE45" i="18"/>
  <c r="P65" i="10"/>
  <c r="AB87" i="18"/>
  <c r="U196" i="10"/>
  <c r="AC129" i="18"/>
  <c r="AG32" i="18"/>
  <c r="AE7" i="18"/>
  <c r="AK31" i="18"/>
  <c r="AH173" i="18"/>
  <c r="AG121" i="18"/>
  <c r="AJ17" i="18"/>
  <c r="AE74" i="18"/>
  <c r="AB45" i="18"/>
  <c r="AH60" i="18"/>
  <c r="AI55" i="18"/>
  <c r="AK77" i="18"/>
  <c r="AC27" i="18"/>
  <c r="AI21" i="18"/>
  <c r="AB122" i="18"/>
  <c r="AE164" i="18"/>
  <c r="AI114" i="18"/>
  <c r="AE198" i="18"/>
  <c r="AB77" i="18"/>
  <c r="AC22" i="18"/>
  <c r="X136" i="10"/>
  <c r="AE77" i="18"/>
  <c r="AC63" i="18"/>
  <c r="AG84" i="18"/>
  <c r="AK196" i="18"/>
  <c r="AD168" i="18"/>
  <c r="AB158" i="18"/>
  <c r="AJ131" i="18"/>
  <c r="AH76" i="18"/>
  <c r="AE41" i="18"/>
  <c r="AB182" i="18"/>
  <c r="AK181" i="18"/>
  <c r="O60" i="10"/>
  <c r="AE71" i="18"/>
  <c r="AG111" i="18"/>
  <c r="AG91" i="18"/>
  <c r="AJ189" i="18"/>
  <c r="AJ77" i="18"/>
  <c r="AC61" i="18"/>
  <c r="AD201" i="18"/>
  <c r="W68" i="10"/>
  <c r="AH125" i="18"/>
  <c r="AD192" i="18"/>
  <c r="AH200" i="18"/>
  <c r="AG94" i="18"/>
  <c r="P13" i="10"/>
  <c r="AJ112" i="18"/>
  <c r="AJ110" i="18"/>
  <c r="AB17" i="18"/>
  <c r="AK134" i="18"/>
  <c r="AB123" i="18"/>
  <c r="AI72" i="18"/>
  <c r="AC25" i="18"/>
  <c r="O19" i="10"/>
  <c r="AI86" i="18"/>
  <c r="AC154" i="18"/>
  <c r="AH175" i="18"/>
  <c r="AE33" i="18"/>
  <c r="AI23" i="18"/>
  <c r="AG38" i="18"/>
  <c r="T160" i="10"/>
  <c r="AB127" i="18"/>
  <c r="AC123" i="18"/>
  <c r="AB115" i="18"/>
  <c r="W47" i="10"/>
  <c r="P102" i="10"/>
  <c r="AD26" i="18"/>
  <c r="AC167" i="18"/>
  <c r="AK132" i="18"/>
  <c r="R92" i="10"/>
  <c r="X143" i="10"/>
  <c r="AE195" i="18"/>
  <c r="AI144" i="18"/>
  <c r="AC19" i="18"/>
  <c r="Q66" i="10"/>
  <c r="AJ55" i="18"/>
  <c r="AI113" i="18"/>
  <c r="AK122" i="18"/>
  <c r="AK64" i="18"/>
  <c r="AD184" i="18"/>
  <c r="AD139" i="18"/>
  <c r="P72" i="10"/>
  <c r="W33" i="10"/>
  <c r="AD24" i="18"/>
  <c r="O50" i="10"/>
  <c r="AJ23" i="18"/>
  <c r="AI8" i="18"/>
  <c r="T28" i="10"/>
  <c r="P105" i="10"/>
  <c r="AH90" i="18"/>
  <c r="P151" i="10"/>
  <c r="X196" i="10"/>
  <c r="AJ130" i="18"/>
  <c r="AG36" i="18"/>
  <c r="AE156" i="18"/>
  <c r="AK45" i="18"/>
  <c r="V82" i="10"/>
  <c r="AK186" i="18"/>
  <c r="V112" i="10"/>
  <c r="AJ158" i="18"/>
  <c r="AI119" i="18"/>
  <c r="O53" i="10"/>
  <c r="W143" i="10"/>
  <c r="AG25" i="18"/>
  <c r="AC32" i="18"/>
  <c r="V201" i="10"/>
  <c r="AK14" i="18"/>
  <c r="AH104" i="18"/>
  <c r="AE39" i="18"/>
  <c r="W18" i="10"/>
  <c r="AE178" i="18"/>
  <c r="R65" i="10"/>
  <c r="AK169" i="18"/>
  <c r="AE121" i="18"/>
  <c r="AB111" i="18"/>
  <c r="AK44" i="18"/>
  <c r="AE62" i="18"/>
  <c r="AB32" i="18"/>
  <c r="AE170" i="18"/>
  <c r="V75" i="10"/>
  <c r="AK162" i="18"/>
  <c r="AC141" i="18"/>
  <c r="AI174" i="18"/>
  <c r="Q61" i="10"/>
  <c r="T199" i="10"/>
  <c r="AI63" i="18"/>
  <c r="P62" i="10"/>
  <c r="X132" i="10"/>
  <c r="AI140" i="18"/>
  <c r="AH157" i="18"/>
  <c r="AH135" i="18"/>
  <c r="AH15" i="18"/>
  <c r="AE169" i="18"/>
  <c r="AH115" i="18"/>
  <c r="AG26" i="18"/>
  <c r="W92" i="10"/>
  <c r="AB169" i="18"/>
  <c r="AE130" i="18"/>
  <c r="AJ125" i="18"/>
  <c r="AK53" i="18"/>
  <c r="AH194" i="18"/>
  <c r="AG56" i="18"/>
  <c r="X155" i="10"/>
  <c r="P57" i="10"/>
  <c r="AG48" i="18"/>
  <c r="W23" i="10"/>
  <c r="AK198" i="18"/>
  <c r="AC184" i="18"/>
  <c r="AJ144" i="18"/>
  <c r="U164" i="10"/>
  <c r="R75" i="10"/>
  <c r="AC51" i="18"/>
  <c r="AG74" i="18"/>
  <c r="AH17" i="18"/>
  <c r="AE181" i="18"/>
  <c r="AB60" i="18"/>
  <c r="AG72" i="18"/>
  <c r="AB155" i="18"/>
  <c r="AD47" i="18"/>
  <c r="AC55" i="18"/>
  <c r="AI164" i="18"/>
  <c r="AC52" i="18"/>
  <c r="AD41" i="18"/>
  <c r="AH56" i="18"/>
  <c r="T164" i="10"/>
  <c r="AG196" i="18"/>
  <c r="AJ128" i="18"/>
  <c r="AH103" i="18"/>
  <c r="O159" i="10"/>
  <c r="AD109" i="18"/>
  <c r="AI181" i="18"/>
  <c r="X125" i="10"/>
  <c r="AE66" i="18"/>
  <c r="U170" i="10"/>
  <c r="P181" i="10"/>
  <c r="AB54" i="18"/>
  <c r="AE30" i="18"/>
  <c r="AK50" i="18"/>
  <c r="AG145" i="18"/>
  <c r="W117" i="10"/>
  <c r="AJ195" i="18"/>
  <c r="AD167" i="18"/>
  <c r="AG64" i="18"/>
  <c r="R162" i="10"/>
  <c r="AG52" i="18"/>
  <c r="AG59" i="18"/>
  <c r="W169" i="10"/>
  <c r="AE94" i="18"/>
  <c r="W11" i="10"/>
  <c r="W178" i="10"/>
  <c r="W193" i="10"/>
  <c r="O125" i="10"/>
  <c r="R115" i="10"/>
  <c r="AB39" i="18"/>
  <c r="AE23" i="18"/>
  <c r="X58" i="10"/>
  <c r="AJ70" i="18"/>
  <c r="AD88" i="18"/>
  <c r="U57" i="10"/>
  <c r="AC30" i="18"/>
  <c r="X92" i="10"/>
  <c r="AC74" i="18"/>
  <c r="AD136" i="18"/>
  <c r="AI169" i="18"/>
  <c r="R28" i="10"/>
  <c r="T139" i="10"/>
  <c r="Q24" i="10"/>
  <c r="AE31" i="18"/>
  <c r="AG17" i="18"/>
  <c r="AI127" i="18"/>
  <c r="AI108" i="18"/>
  <c r="AC159" i="18"/>
  <c r="AC138" i="18"/>
  <c r="AG183" i="18"/>
  <c r="AH86" i="18"/>
  <c r="AJ141" i="18"/>
  <c r="AI157" i="18"/>
  <c r="P146" i="10"/>
  <c r="AE113" i="18"/>
  <c r="AG176" i="18"/>
  <c r="AB168" i="18"/>
  <c r="AB7" i="18"/>
  <c r="AE116" i="18"/>
  <c r="AG157" i="18"/>
  <c r="AJ186" i="18"/>
  <c r="AD171" i="18"/>
  <c r="AC173" i="18"/>
  <c r="AB200" i="18"/>
  <c r="V76" i="10"/>
  <c r="AI192" i="18"/>
  <c r="AB33" i="18"/>
  <c r="AI43" i="18"/>
  <c r="AK110" i="18"/>
  <c r="X184" i="10"/>
  <c r="AC72" i="18"/>
  <c r="X117" i="10"/>
  <c r="AE179" i="18"/>
  <c r="AE177" i="18"/>
  <c r="V115" i="10"/>
  <c r="AE149" i="18"/>
  <c r="AH72" i="18"/>
  <c r="Q7" i="10"/>
  <c r="AJ101" i="18"/>
  <c r="AB88" i="18"/>
  <c r="T12" i="10"/>
  <c r="AB138" i="18"/>
  <c r="O116" i="10"/>
  <c r="U50" i="10"/>
  <c r="AG124" i="18"/>
  <c r="AB36" i="18"/>
  <c r="AK34" i="18"/>
  <c r="AK131" i="18"/>
  <c r="AD93" i="18"/>
  <c r="X59" i="10"/>
  <c r="AG90" i="18"/>
  <c r="AE105" i="18"/>
  <c r="AH84" i="18"/>
  <c r="R60" i="10"/>
  <c r="P49" i="10"/>
  <c r="W183" i="10"/>
  <c r="P182" i="10"/>
  <c r="AB73" i="18"/>
  <c r="AH89" i="18"/>
  <c r="AC31" i="18"/>
  <c r="AE191" i="18"/>
  <c r="AJ15" i="18"/>
  <c r="U93" i="10"/>
  <c r="AD32" i="18"/>
  <c r="U74" i="10"/>
  <c r="AG86" i="18"/>
  <c r="O190" i="10"/>
  <c r="AG149" i="18"/>
  <c r="R188" i="10"/>
  <c r="AC194" i="18"/>
  <c r="AC53" i="18"/>
  <c r="AJ73" i="18"/>
  <c r="AE98" i="18"/>
  <c r="AH190" i="18"/>
  <c r="AB179" i="18"/>
  <c r="AJ71" i="18"/>
  <c r="AE163" i="18"/>
  <c r="AH111" i="18"/>
  <c r="AG29" i="18"/>
  <c r="AH85" i="18"/>
  <c r="O40" i="10"/>
  <c r="AJ36" i="18"/>
  <c r="AG161" i="18"/>
  <c r="AB139" i="18"/>
  <c r="AI48" i="18"/>
  <c r="AK164" i="18"/>
  <c r="AG19" i="18"/>
  <c r="AB6" i="18"/>
  <c r="AJ34" i="18"/>
  <c r="AK81" i="18"/>
  <c r="AC92" i="18"/>
  <c r="AB173" i="18"/>
  <c r="AI142" i="18"/>
  <c r="AD175" i="18"/>
  <c r="AI36" i="18"/>
  <c r="AK178" i="18"/>
  <c r="AD160" i="18"/>
  <c r="AE10" i="18"/>
  <c r="AI155" i="18"/>
  <c r="AC158" i="18"/>
  <c r="AK6" i="18"/>
  <c r="O94" i="10"/>
  <c r="AG171" i="18"/>
  <c r="AG186" i="18"/>
  <c r="AD63" i="18"/>
  <c r="AE189" i="18"/>
  <c r="AK48" i="18"/>
  <c r="AK68" i="18"/>
  <c r="V193" i="10"/>
  <c r="AD17" i="18"/>
  <c r="AJ38" i="18"/>
  <c r="AI156" i="18"/>
  <c r="V48" i="10"/>
  <c r="AK173" i="18"/>
  <c r="AJ19" i="18"/>
  <c r="AH58" i="18"/>
  <c r="O124" i="10"/>
  <c r="AH145" i="18"/>
  <c r="AB98" i="18"/>
  <c r="AJ182" i="18"/>
  <c r="AK190" i="18"/>
  <c r="AH77" i="18"/>
  <c r="AC45" i="18"/>
  <c r="W53" i="10"/>
  <c r="X127" i="10"/>
  <c r="AI16" i="18"/>
  <c r="AJ68" i="18"/>
  <c r="AK76" i="18"/>
  <c r="W164" i="10"/>
  <c r="AH30" i="18"/>
  <c r="AD151" i="18"/>
  <c r="AE76" i="18"/>
  <c r="U102" i="10"/>
  <c r="AH182" i="18"/>
  <c r="AJ97" i="18"/>
  <c r="AH87" i="18"/>
  <c r="P174" i="10"/>
  <c r="AK60" i="18"/>
  <c r="AI102" i="18"/>
  <c r="AI24" i="18"/>
  <c r="AG87" i="18"/>
  <c r="AG177" i="18"/>
  <c r="AI22" i="18"/>
  <c r="AJ32" i="18"/>
  <c r="R6" i="10"/>
  <c r="W66" i="10"/>
  <c r="AK46" i="18"/>
  <c r="AI13" i="18"/>
  <c r="T34" i="10"/>
  <c r="AK61" i="18"/>
  <c r="AB78" i="18"/>
  <c r="AG6" i="18"/>
  <c r="T39" i="10"/>
  <c r="R64" i="10"/>
  <c r="AE47" i="18"/>
  <c r="AB153" i="18"/>
  <c r="AH66" i="18"/>
  <c r="AI37" i="18"/>
  <c r="AG66" i="18"/>
  <c r="AE171" i="18"/>
  <c r="AD104" i="18"/>
  <c r="AJ120" i="18"/>
  <c r="AB133" i="18"/>
  <c r="P23" i="10"/>
  <c r="AH61" i="18"/>
  <c r="AE155" i="18"/>
  <c r="AK84" i="18"/>
  <c r="AJ91" i="18"/>
  <c r="AH73" i="18"/>
  <c r="AE29" i="18"/>
  <c r="AJ118" i="18"/>
  <c r="T172" i="10"/>
  <c r="P97" i="10"/>
  <c r="AE21" i="18"/>
  <c r="AK8" i="18"/>
  <c r="AG77" i="18"/>
  <c r="AJ137" i="18"/>
  <c r="AD22" i="18"/>
  <c r="AK10" i="18"/>
  <c r="AC34" i="18"/>
  <c r="AG71" i="18"/>
  <c r="AJ175" i="18"/>
  <c r="AH149" i="18"/>
  <c r="AH47" i="18"/>
  <c r="AI61" i="18"/>
  <c r="AH39" i="18"/>
  <c r="AG156" i="18"/>
  <c r="AK54" i="18"/>
  <c r="AI196" i="18"/>
  <c r="AC24" i="18"/>
  <c r="O25" i="10"/>
  <c r="AB185" i="18"/>
  <c r="AI149" i="18"/>
  <c r="AJ171" i="18"/>
  <c r="AD8" i="18"/>
  <c r="AJ39" i="18"/>
  <c r="AD28" i="18"/>
  <c r="U145" i="10"/>
  <c r="AG50" i="18"/>
  <c r="AD172" i="18"/>
  <c r="AD91" i="18"/>
  <c r="R83" i="10"/>
  <c r="AD135" i="18"/>
  <c r="AJ183" i="18"/>
  <c r="AG14" i="18"/>
  <c r="U26" i="10"/>
  <c r="AE43" i="18"/>
  <c r="AB56" i="18"/>
  <c r="AH32" i="18"/>
  <c r="AK71" i="18"/>
  <c r="AG65" i="18"/>
  <c r="AE78" i="18"/>
  <c r="AE126" i="18"/>
  <c r="V12" i="10"/>
  <c r="AJ200" i="18"/>
  <c r="AB52" i="18"/>
  <c r="T104" i="10"/>
  <c r="AH178" i="18"/>
  <c r="AC111" i="18"/>
  <c r="Q35" i="10"/>
  <c r="AK40" i="18"/>
  <c r="AD13" i="18"/>
  <c r="V94" i="10"/>
  <c r="AE90" i="18"/>
  <c r="AD103" i="18"/>
  <c r="AB183" i="18"/>
  <c r="AG199" i="18"/>
  <c r="AC80" i="18"/>
  <c r="AJ163" i="18"/>
  <c r="O153" i="10"/>
  <c r="AH70" i="18"/>
  <c r="AH179" i="18"/>
  <c r="AK146" i="18"/>
  <c r="V20" i="10"/>
  <c r="AK114" i="18"/>
  <c r="O144" i="10"/>
  <c r="O35" i="10"/>
  <c r="AJ196" i="18"/>
  <c r="V146" i="10"/>
  <c r="R118" i="10"/>
  <c r="X180" i="10"/>
  <c r="AK108" i="18"/>
  <c r="U91" i="10"/>
  <c r="AH49" i="18"/>
  <c r="AH57" i="18"/>
  <c r="R37" i="10"/>
  <c r="AG28" i="18"/>
  <c r="AB76" i="18"/>
  <c r="AI163" i="18"/>
  <c r="T131" i="10"/>
  <c r="AB27" i="18"/>
  <c r="U191" i="10"/>
  <c r="U187" i="10"/>
  <c r="AC75" i="18"/>
  <c r="AG73" i="18"/>
  <c r="AK112" i="18"/>
  <c r="AC197" i="18"/>
  <c r="V25" i="10"/>
  <c r="AE36" i="18"/>
  <c r="AG82" i="18"/>
  <c r="AH82" i="18"/>
  <c r="AB120" i="18"/>
  <c r="AG46" i="18"/>
  <c r="AG172" i="18"/>
  <c r="AJ165" i="18"/>
  <c r="AE64" i="18"/>
  <c r="AI27" i="18"/>
  <c r="AG173" i="18"/>
  <c r="AE70" i="18"/>
  <c r="R147" i="10"/>
  <c r="AI99" i="18"/>
  <c r="T134" i="10"/>
  <c r="AK147" i="18"/>
  <c r="AE20" i="18"/>
  <c r="AK101" i="18"/>
  <c r="R68" i="10"/>
  <c r="T124" i="10"/>
  <c r="AE25" i="18"/>
  <c r="AE197" i="18"/>
  <c r="AI17" i="18"/>
  <c r="U189" i="10"/>
  <c r="AI51" i="18"/>
  <c r="AH22" i="18"/>
  <c r="AD78" i="18"/>
  <c r="AC127" i="18"/>
  <c r="T36" i="10"/>
  <c r="AK35" i="18"/>
  <c r="AJ197" i="18"/>
  <c r="AH176" i="18"/>
  <c r="X188" i="10"/>
  <c r="AJ166" i="18"/>
  <c r="AH127" i="18"/>
  <c r="AJ193" i="18"/>
  <c r="T127" i="10"/>
  <c r="AJ41" i="18"/>
  <c r="T35" i="10"/>
  <c r="AG102" i="18"/>
  <c r="AJ153" i="18"/>
  <c r="AK135" i="18"/>
  <c r="AH88" i="18"/>
  <c r="AI34" i="18"/>
  <c r="V98" i="10"/>
  <c r="AK153" i="18"/>
  <c r="X149" i="10"/>
  <c r="AJ30" i="18"/>
  <c r="T102" i="10"/>
  <c r="V21" i="10"/>
  <c r="U62" i="10"/>
  <c r="AD162" i="18"/>
  <c r="AI19" i="18"/>
  <c r="AB53" i="18"/>
  <c r="V101" i="10"/>
  <c r="W191" i="10"/>
  <c r="U197" i="10"/>
  <c r="AH11" i="18"/>
  <c r="AI141" i="18"/>
  <c r="X106" i="10"/>
  <c r="AI136" i="18"/>
  <c r="V59" i="10"/>
  <c r="Q95" i="10"/>
  <c r="AE167" i="18"/>
  <c r="AJ7" i="18"/>
  <c r="AG131" i="18"/>
  <c r="AG100" i="18"/>
  <c r="T189" i="10"/>
  <c r="V78" i="10"/>
  <c r="AI135" i="18"/>
  <c r="AD148" i="18"/>
  <c r="AB69" i="18"/>
  <c r="AK115" i="18"/>
  <c r="AJ67" i="18"/>
  <c r="AG60" i="18"/>
  <c r="AJ138" i="18"/>
  <c r="AH29" i="18"/>
  <c r="Q117" i="10"/>
  <c r="AK129" i="18"/>
  <c r="AH150" i="18"/>
  <c r="AH92" i="18"/>
  <c r="U123" i="10"/>
  <c r="AC119" i="18"/>
  <c r="AJ98" i="18"/>
  <c r="AK18" i="18"/>
  <c r="Q48" i="10"/>
  <c r="R163" i="10"/>
  <c r="AD188" i="18"/>
  <c r="AK78" i="18"/>
  <c r="AC76" i="18"/>
  <c r="X40" i="10"/>
  <c r="AD89" i="18"/>
  <c r="AI120" i="18"/>
  <c r="AJ56" i="18"/>
  <c r="AC73" i="18"/>
  <c r="AK160" i="18"/>
  <c r="O133" i="10"/>
  <c r="AC182" i="18"/>
  <c r="AB103" i="18"/>
  <c r="AG117" i="18"/>
  <c r="AH197" i="18"/>
  <c r="R38" i="10"/>
  <c r="AB150" i="18"/>
  <c r="AE48" i="18"/>
  <c r="AB178" i="18"/>
  <c r="X91" i="10"/>
  <c r="Q27" i="10"/>
  <c r="AH185" i="18"/>
  <c r="R18" i="10"/>
  <c r="AK143" i="18"/>
  <c r="AI178" i="18"/>
  <c r="AB124" i="18"/>
  <c r="AB37" i="18"/>
  <c r="AI101" i="18"/>
  <c r="AH24" i="18"/>
  <c r="AK12" i="18"/>
  <c r="AB191" i="18"/>
  <c r="AC39" i="18"/>
  <c r="O85" i="10"/>
  <c r="AB132" i="18"/>
  <c r="Q83" i="10"/>
  <c r="AE141" i="18"/>
  <c r="AH118" i="18"/>
  <c r="AB50" i="18"/>
  <c r="AI130" i="18"/>
  <c r="AC9" i="18"/>
  <c r="T196" i="10"/>
  <c r="AB101" i="18"/>
  <c r="W9" i="10"/>
  <c r="X57" i="10"/>
  <c r="AJ201" i="18"/>
  <c r="AH79" i="18"/>
  <c r="Q86" i="10"/>
  <c r="O192" i="10"/>
  <c r="V107" i="10"/>
  <c r="R29" i="10"/>
  <c r="AB186" i="18"/>
  <c r="W175" i="10"/>
  <c r="X135" i="10"/>
  <c r="X179" i="10"/>
  <c r="AB97" i="18"/>
  <c r="AG40" i="18"/>
  <c r="AE51" i="18"/>
  <c r="AH198" i="18"/>
  <c r="AC60" i="18"/>
  <c r="AE82" i="18"/>
  <c r="R46" i="10"/>
  <c r="T81" i="10"/>
  <c r="AH40" i="18"/>
  <c r="V160" i="10"/>
  <c r="X123" i="10"/>
  <c r="U81" i="10"/>
  <c r="AH161" i="18"/>
  <c r="O61" i="10"/>
  <c r="AD51" i="18"/>
  <c r="AG194" i="18"/>
  <c r="T176" i="10"/>
  <c r="AG96" i="18"/>
  <c r="X197" i="10"/>
  <c r="AD58" i="18"/>
  <c r="AD180" i="18"/>
  <c r="AK197" i="18"/>
  <c r="AK24" i="18"/>
  <c r="AJ129" i="18"/>
  <c r="AD85" i="18"/>
  <c r="O181" i="10"/>
  <c r="U178" i="10"/>
  <c r="O118" i="10"/>
  <c r="AH101" i="18"/>
  <c r="P52" i="10"/>
  <c r="AB43" i="18"/>
  <c r="W96" i="10"/>
  <c r="P110" i="10"/>
  <c r="V100" i="10"/>
  <c r="AK136" i="18"/>
  <c r="AK148" i="18"/>
  <c r="AB119" i="18"/>
  <c r="AB102" i="18"/>
  <c r="P86" i="10"/>
  <c r="AC89" i="18"/>
  <c r="O105" i="10"/>
  <c r="AJ117" i="18"/>
  <c r="AK193" i="18"/>
  <c r="AK88" i="18"/>
  <c r="AG7" i="18"/>
  <c r="AJ64" i="18"/>
  <c r="AH167" i="18"/>
  <c r="AC14" i="18"/>
  <c r="AK13" i="18"/>
  <c r="AB48" i="18"/>
  <c r="AD57" i="18"/>
  <c r="AD49" i="18"/>
  <c r="AD14" i="18"/>
  <c r="AD77" i="18"/>
  <c r="AJ116" i="18"/>
  <c r="AK20" i="18"/>
  <c r="AC79" i="18"/>
  <c r="AC162" i="18"/>
  <c r="AJ52" i="18"/>
  <c r="AD65" i="18"/>
  <c r="Q122" i="10"/>
  <c r="X15" i="10"/>
  <c r="AK23" i="18"/>
  <c r="AE87" i="18"/>
  <c r="AK38" i="18"/>
  <c r="AK92" i="18"/>
  <c r="AE135" i="18"/>
  <c r="R143" i="10"/>
  <c r="AD34" i="18"/>
  <c r="AD141" i="18"/>
  <c r="AH45" i="18"/>
  <c r="AJ74" i="18"/>
  <c r="AE68" i="18"/>
  <c r="AE89" i="18"/>
  <c r="O86" i="10"/>
  <c r="AC47" i="18"/>
  <c r="AH14" i="18"/>
  <c r="AE146" i="18"/>
  <c r="AJ54" i="18"/>
  <c r="AK49" i="18"/>
  <c r="AJ180" i="18"/>
  <c r="AC26" i="18"/>
  <c r="AG175" i="18"/>
  <c r="AI201" i="18"/>
  <c r="AI193" i="18"/>
  <c r="AJ87" i="18"/>
  <c r="AD105" i="18"/>
  <c r="AB25" i="18"/>
  <c r="AG12" i="18"/>
  <c r="AI107" i="18"/>
  <c r="AE143" i="18"/>
  <c r="AD112" i="18"/>
  <c r="AD170" i="18"/>
  <c r="AH160" i="18"/>
  <c r="X96" i="10"/>
  <c r="U176" i="10"/>
  <c r="AH50" i="18"/>
  <c r="AE153" i="18"/>
  <c r="AD181" i="18"/>
  <c r="AI173" i="18"/>
  <c r="AB28" i="18"/>
  <c r="AK62" i="18"/>
  <c r="AI46" i="18"/>
  <c r="AK199" i="18"/>
  <c r="AG13" i="18"/>
  <c r="AJ63" i="18"/>
  <c r="AK157" i="18"/>
  <c r="AC152" i="18"/>
  <c r="X82" i="10"/>
  <c r="AH184" i="18"/>
  <c r="AI143" i="18"/>
  <c r="AI125" i="18"/>
  <c r="AK121" i="18"/>
  <c r="AC59" i="18"/>
  <c r="AB26" i="18"/>
  <c r="AB128" i="18"/>
  <c r="AJ22" i="18"/>
  <c r="AI28" i="18"/>
  <c r="AJ89" i="18"/>
  <c r="AI76" i="18"/>
  <c r="AK26" i="18"/>
  <c r="AB189" i="18"/>
  <c r="AI145" i="18"/>
  <c r="AI59" i="18"/>
  <c r="U61" i="10"/>
  <c r="Q181" i="10"/>
  <c r="U37" i="10"/>
  <c r="AC67" i="18"/>
  <c r="X160" i="10"/>
  <c r="AK42" i="18"/>
  <c r="AB10" i="18"/>
  <c r="AH35" i="18"/>
  <c r="T96" i="10"/>
  <c r="AG148" i="18"/>
  <c r="AD145" i="18"/>
  <c r="AJ66" i="18"/>
  <c r="AI25" i="18"/>
  <c r="AD72" i="18"/>
  <c r="AE131" i="18"/>
  <c r="AG141" i="18"/>
  <c r="P45" i="10"/>
  <c r="AD169" i="18"/>
  <c r="R201" i="10"/>
  <c r="AK106" i="18"/>
  <c r="Q139" i="10"/>
  <c r="AI77" i="18"/>
  <c r="O71" i="10"/>
  <c r="AB55" i="18"/>
  <c r="AH136" i="18"/>
  <c r="AC202" i="18"/>
  <c r="AB175" i="18"/>
  <c r="P159" i="10"/>
  <c r="AB192" i="18"/>
  <c r="AE13" i="18"/>
  <c r="AK21" i="18"/>
  <c r="AB47" i="18"/>
  <c r="AH169" i="18"/>
  <c r="AC148" i="18"/>
  <c r="AC37" i="18"/>
  <c r="O8" i="10"/>
  <c r="AK98" i="18"/>
  <c r="V117" i="10"/>
  <c r="AD7" i="18"/>
  <c r="AC149" i="18"/>
  <c r="AD157" i="18"/>
  <c r="AC131" i="18"/>
  <c r="AC94" i="18"/>
  <c r="AC151" i="18"/>
  <c r="AE12" i="18"/>
  <c r="AH18" i="18"/>
  <c r="AD133" i="18"/>
  <c r="AE157" i="18"/>
  <c r="AH62" i="18"/>
  <c r="AG174" i="18"/>
  <c r="AK161" i="18"/>
  <c r="V182" i="10"/>
  <c r="P197" i="10"/>
  <c r="AB149" i="18"/>
  <c r="V156" i="10"/>
  <c r="AC193" i="18"/>
  <c r="Q42" i="10"/>
  <c r="AC115" i="18"/>
  <c r="AE83" i="18"/>
  <c r="AI131" i="18"/>
  <c r="AJ111" i="18"/>
  <c r="T191" i="10"/>
  <c r="AB68" i="18"/>
  <c r="AC108" i="18"/>
  <c r="AK166" i="18"/>
  <c r="AI54" i="18"/>
  <c r="P44" i="10"/>
  <c r="AC187" i="18"/>
  <c r="AC65" i="18"/>
  <c r="AJ179" i="18"/>
  <c r="AJ27" i="18"/>
  <c r="AH26" i="18"/>
  <c r="AH25" i="18"/>
  <c r="AJ84" i="18"/>
  <c r="AI91" i="18"/>
  <c r="O79" i="10"/>
  <c r="AE152" i="18"/>
  <c r="X126" i="10"/>
  <c r="U118" i="10"/>
  <c r="W198" i="10"/>
  <c r="Q19" i="10"/>
  <c r="AI122" i="18"/>
  <c r="AC64" i="18"/>
  <c r="AC165" i="18"/>
  <c r="AG57" i="18"/>
  <c r="AJ18" i="18"/>
  <c r="W189" i="10"/>
  <c r="AI47" i="18"/>
  <c r="X63" i="10"/>
  <c r="X84" i="10"/>
  <c r="V185" i="10"/>
  <c r="AE73" i="18"/>
  <c r="AG105" i="18"/>
  <c r="AC16" i="18"/>
  <c r="AB190" i="18"/>
  <c r="X54" i="10"/>
  <c r="U7" i="10"/>
  <c r="AB44" i="18"/>
  <c r="R108" i="10"/>
  <c r="R88" i="10"/>
  <c r="AH159" i="18"/>
  <c r="AI67" i="18"/>
  <c r="AK139" i="18"/>
  <c r="AC66" i="18"/>
  <c r="AB95" i="18"/>
  <c r="AD156" i="18"/>
  <c r="O163" i="10"/>
  <c r="T93" i="10"/>
  <c r="AK188" i="18"/>
  <c r="AI123" i="18"/>
  <c r="AK104" i="18"/>
  <c r="W39" i="10"/>
  <c r="AB49" i="18"/>
  <c r="AD90" i="18"/>
  <c r="AC71" i="18"/>
  <c r="W153" i="10"/>
  <c r="W29" i="10"/>
  <c r="AK103" i="18"/>
  <c r="AB129" i="18"/>
  <c r="AK201" i="18"/>
  <c r="AI6" i="18"/>
  <c r="AH151" i="18"/>
  <c r="AE159" i="18"/>
  <c r="AK33" i="18"/>
  <c r="AB171" i="18"/>
  <c r="AD66" i="18"/>
  <c r="AE161" i="18"/>
  <c r="AE123" i="18"/>
  <c r="AE92" i="18"/>
  <c r="AG140" i="18"/>
  <c r="AK163" i="18"/>
  <c r="W25" i="10"/>
  <c r="R27" i="10"/>
  <c r="X34" i="10"/>
  <c r="AE122" i="18"/>
  <c r="AH113" i="18"/>
  <c r="AD132" i="18"/>
  <c r="AJ151" i="18"/>
  <c r="AG42" i="18"/>
  <c r="V45" i="10"/>
  <c r="AD142" i="18"/>
  <c r="AG129" i="18"/>
  <c r="AB14" i="18"/>
  <c r="AK67" i="18"/>
  <c r="AB42" i="18"/>
  <c r="U110" i="10"/>
  <c r="AE55" i="18"/>
  <c r="U157" i="10"/>
  <c r="AB92" i="18"/>
  <c r="AH158" i="18"/>
  <c r="AC98" i="18"/>
  <c r="AJ96" i="18"/>
  <c r="AG58" i="18"/>
  <c r="V57" i="10"/>
  <c r="AE144" i="18"/>
  <c r="AG120" i="18"/>
  <c r="AC121" i="18"/>
  <c r="AB109" i="18"/>
  <c r="W140" i="10"/>
  <c r="P147" i="10"/>
  <c r="O102" i="10"/>
  <c r="AI153" i="18"/>
  <c r="V140" i="10"/>
  <c r="R120" i="10"/>
  <c r="O78" i="10"/>
  <c r="AC54" i="18"/>
  <c r="AE44" i="18"/>
  <c r="AJ14" i="18"/>
  <c r="AI177" i="18"/>
  <c r="W137" i="10"/>
  <c r="AG169" i="18"/>
  <c r="AK171" i="18"/>
  <c r="U32" i="10"/>
  <c r="AE145" i="18"/>
  <c r="AG101" i="18"/>
  <c r="R70" i="10"/>
  <c r="AD15" i="18"/>
  <c r="T167" i="10"/>
  <c r="W123" i="10"/>
  <c r="W121" i="10"/>
  <c r="AH94" i="18"/>
  <c r="AE109" i="18"/>
  <c r="AI154" i="18"/>
  <c r="V22" i="10"/>
  <c r="AD40" i="18"/>
  <c r="R121" i="10"/>
  <c r="AE28" i="18"/>
  <c r="U161" i="10"/>
  <c r="AC43" i="18"/>
  <c r="AD68" i="18"/>
  <c r="Q56" i="10"/>
  <c r="AK36" i="18"/>
  <c r="AE117" i="18"/>
  <c r="O72" i="10"/>
  <c r="AH154" i="18"/>
  <c r="AD56" i="18"/>
  <c r="AH7" i="18"/>
  <c r="R101" i="10"/>
  <c r="X55" i="10"/>
  <c r="AG15" i="18"/>
  <c r="AG9" i="18"/>
  <c r="AC153" i="18"/>
  <c r="AH42" i="18"/>
  <c r="AD79" i="18"/>
  <c r="AE67" i="18"/>
  <c r="AG47" i="18"/>
  <c r="AG152" i="18"/>
  <c r="T17" i="10"/>
  <c r="AB23" i="18"/>
  <c r="AH187" i="18"/>
  <c r="Q30" i="10"/>
  <c r="O150" i="10"/>
  <c r="R8" i="10"/>
  <c r="AC29" i="18"/>
  <c r="AI117" i="18"/>
  <c r="AG123" i="18"/>
  <c r="O48" i="10"/>
  <c r="AC168" i="18"/>
  <c r="R160" i="10"/>
  <c r="AE175" i="18"/>
  <c r="AE129" i="18"/>
  <c r="AD134" i="18"/>
  <c r="AH138" i="18"/>
  <c r="O46" i="10"/>
  <c r="Q146" i="10"/>
  <c r="AK154" i="18"/>
  <c r="AB80" i="18"/>
  <c r="X122" i="10"/>
  <c r="W56" i="10"/>
  <c r="AI121" i="18"/>
  <c r="P14" i="10"/>
  <c r="AC136" i="18"/>
  <c r="AB9" i="18"/>
  <c r="U130" i="10"/>
  <c r="AJ45" i="18"/>
  <c r="AH119" i="18"/>
  <c r="U150" i="10"/>
  <c r="W119" i="10"/>
  <c r="AD106" i="18"/>
  <c r="AK156" i="18"/>
  <c r="P40" i="10"/>
  <c r="T62" i="10"/>
  <c r="AK16" i="18"/>
  <c r="AH96" i="18"/>
  <c r="T27" i="10"/>
  <c r="AD191" i="18"/>
  <c r="AH71" i="18"/>
  <c r="AE88" i="18"/>
  <c r="AK189" i="18"/>
  <c r="AC133" i="18"/>
  <c r="AH155" i="18"/>
  <c r="AE151" i="18"/>
  <c r="U40" i="10"/>
  <c r="AC58" i="18"/>
  <c r="AB164" i="18"/>
  <c r="AG62" i="18"/>
  <c r="AJ79" i="18"/>
  <c r="AJ81" i="18"/>
  <c r="AE34" i="18"/>
  <c r="AB196" i="18"/>
  <c r="AE193" i="18"/>
  <c r="AK32" i="18"/>
  <c r="V61" i="10"/>
  <c r="AJ176" i="18"/>
  <c r="Q11" i="10"/>
  <c r="AD154" i="18"/>
  <c r="AK128" i="18"/>
  <c r="Q110" i="10"/>
  <c r="U199" i="10"/>
  <c r="T69" i="10"/>
  <c r="R34" i="10"/>
  <c r="AG180" i="18"/>
  <c r="AD96" i="18"/>
  <c r="T56" i="10"/>
  <c r="R47" i="10"/>
  <c r="AK140" i="18"/>
  <c r="V29" i="10"/>
  <c r="T18" i="10"/>
  <c r="W91" i="10"/>
  <c r="AE100" i="18"/>
  <c r="AC70" i="18"/>
  <c r="AE95" i="18"/>
  <c r="AG76" i="18"/>
  <c r="R129" i="10"/>
  <c r="AC56" i="18"/>
  <c r="X124" i="10"/>
  <c r="AD36" i="18"/>
  <c r="AB154" i="18"/>
  <c r="Q149" i="10"/>
  <c r="AI89" i="18"/>
  <c r="AE120" i="18"/>
  <c r="AH117" i="18"/>
  <c r="AD50" i="18"/>
  <c r="AD44" i="18"/>
  <c r="P169" i="10"/>
  <c r="T25" i="10"/>
  <c r="U184" i="10"/>
  <c r="AJ124" i="18"/>
  <c r="AH8" i="18"/>
  <c r="AB105" i="18"/>
  <c r="AD110" i="18"/>
  <c r="AE54" i="18"/>
  <c r="AD120" i="18"/>
  <c r="AH83" i="18"/>
  <c r="P180" i="10"/>
  <c r="R87" i="10"/>
  <c r="R151" i="10"/>
  <c r="P8" i="10"/>
  <c r="AC112" i="18"/>
  <c r="W159" i="10"/>
  <c r="T177" i="10"/>
  <c r="P109" i="10"/>
  <c r="Q37" i="10"/>
  <c r="AI18" i="18"/>
  <c r="AG45" i="18"/>
  <c r="Q176" i="10"/>
  <c r="AB167" i="18"/>
  <c r="AJ142" i="18"/>
  <c r="AH121" i="18"/>
  <c r="AC161" i="18"/>
  <c r="T73" i="10"/>
  <c r="X52" i="10"/>
  <c r="AG178" i="18"/>
  <c r="O15" i="10"/>
  <c r="AK172" i="18"/>
  <c r="W98" i="10"/>
  <c r="AD60" i="18"/>
  <c r="X36" i="10"/>
  <c r="AJ25" i="18"/>
  <c r="AJ126" i="18"/>
  <c r="AI129" i="18"/>
  <c r="AC114" i="18"/>
  <c r="AK183" i="18"/>
  <c r="AK29" i="18"/>
  <c r="AD21" i="18"/>
  <c r="AD144" i="18"/>
  <c r="W168" i="10"/>
  <c r="AC15" i="18"/>
  <c r="AD187" i="18"/>
  <c r="AJ160" i="18"/>
  <c r="P22" i="10"/>
  <c r="V158" i="10"/>
  <c r="U140" i="10"/>
  <c r="AB172" i="18"/>
  <c r="AG188" i="18"/>
  <c r="AE147" i="18"/>
  <c r="AC183" i="18"/>
  <c r="AB134" i="18"/>
  <c r="AI183" i="18"/>
  <c r="U90" i="10"/>
  <c r="AC82" i="18"/>
  <c r="W43" i="10"/>
  <c r="AG168" i="18"/>
  <c r="AD166" i="18"/>
  <c r="T118" i="10"/>
  <c r="AG113" i="18"/>
  <c r="U72" i="10"/>
  <c r="X159" i="10"/>
  <c r="AC42" i="18"/>
  <c r="AI188" i="18"/>
  <c r="R186" i="10"/>
  <c r="Q187" i="10"/>
  <c r="T174" i="10"/>
  <c r="AC48" i="18"/>
  <c r="AK126" i="18"/>
  <c r="AI158" i="18"/>
  <c r="AC109" i="18"/>
  <c r="R20" i="10"/>
  <c r="AH6" i="18"/>
  <c r="W144" i="10"/>
  <c r="P53" i="10"/>
  <c r="W109" i="10"/>
  <c r="AK47" i="18"/>
  <c r="T84" i="10"/>
  <c r="AI182" i="18"/>
  <c r="AB79" i="18"/>
  <c r="AB29" i="18"/>
  <c r="AG185" i="18"/>
  <c r="AC190" i="18"/>
  <c r="AI161" i="18"/>
  <c r="V8" i="10"/>
  <c r="AC186" i="18"/>
  <c r="AI32" i="18"/>
  <c r="U80" i="10"/>
  <c r="W64" i="10"/>
  <c r="V93" i="10"/>
  <c r="AB126" i="18"/>
  <c r="O128" i="10"/>
  <c r="X16" i="10"/>
  <c r="AJ146" i="18"/>
  <c r="AI110" i="18"/>
  <c r="Q96" i="10"/>
  <c r="U106" i="10"/>
  <c r="V27" i="10"/>
  <c r="X198" i="10"/>
  <c r="AK86" i="18"/>
  <c r="W146" i="10"/>
  <c r="X134" i="10"/>
  <c r="R71" i="10"/>
  <c r="AJ33" i="18"/>
  <c r="AI197" i="18"/>
  <c r="AK70" i="18"/>
  <c r="AK11" i="18"/>
  <c r="W180" i="10"/>
  <c r="U14" i="10"/>
  <c r="AC160" i="18"/>
  <c r="AB194" i="18"/>
  <c r="Q155" i="10"/>
  <c r="U9" i="10"/>
  <c r="Q192" i="10"/>
  <c r="V39" i="10"/>
  <c r="AE72" i="18"/>
  <c r="AI200" i="18"/>
  <c r="AG162" i="18"/>
  <c r="AK63" i="18"/>
  <c r="AD76" i="18"/>
  <c r="U77" i="10"/>
  <c r="AI152" i="18"/>
  <c r="T85" i="10"/>
  <c r="W90" i="10"/>
  <c r="U149" i="10"/>
  <c r="AD43" i="18"/>
  <c r="AH180" i="18"/>
  <c r="P106" i="10"/>
  <c r="AE160" i="18"/>
  <c r="Q154" i="10"/>
  <c r="AJ107" i="18"/>
  <c r="T43" i="10"/>
  <c r="AH189" i="18"/>
  <c r="U124" i="10"/>
  <c r="T200" i="10"/>
  <c r="U59" i="10"/>
  <c r="X20" i="10"/>
  <c r="AG137" i="18"/>
  <c r="AK191" i="18"/>
  <c r="W114" i="10"/>
  <c r="AE165" i="18"/>
  <c r="O135" i="10"/>
  <c r="T126" i="10"/>
  <c r="V71" i="10"/>
  <c r="T46" i="10"/>
  <c r="W80" i="10"/>
  <c r="AD131" i="18"/>
  <c r="W192" i="10"/>
  <c r="O43" i="10"/>
  <c r="AD152" i="18"/>
  <c r="AE185" i="18"/>
  <c r="R76" i="10"/>
  <c r="AI81" i="18"/>
  <c r="U125" i="10"/>
  <c r="Q151" i="10"/>
  <c r="AD99" i="18"/>
  <c r="AD20" i="18"/>
  <c r="AI150" i="18"/>
  <c r="W195" i="10"/>
  <c r="O64" i="10"/>
  <c r="AB161" i="18"/>
  <c r="AC107" i="18"/>
  <c r="O104" i="10"/>
  <c r="X50" i="10"/>
  <c r="W199" i="10"/>
  <c r="X12" i="10"/>
  <c r="AK152" i="18"/>
  <c r="AB177" i="18"/>
  <c r="W50" i="10"/>
  <c r="AG8" i="18"/>
  <c r="AH183" i="18"/>
  <c r="R42" i="10"/>
  <c r="X51" i="10"/>
  <c r="R148" i="10"/>
  <c r="X38" i="10"/>
  <c r="Q120" i="10"/>
  <c r="AG144" i="18"/>
  <c r="U156" i="10"/>
  <c r="Q147" i="10"/>
  <c r="Q94" i="10"/>
  <c r="Q188" i="10"/>
  <c r="AI45" i="18"/>
  <c r="P34" i="10"/>
  <c r="R107" i="10"/>
  <c r="V144" i="10"/>
  <c r="O65" i="10"/>
  <c r="U148" i="10"/>
  <c r="W139" i="10"/>
  <c r="Q43" i="10"/>
  <c r="O33" i="10"/>
  <c r="AE119" i="18"/>
  <c r="AB21" i="18"/>
  <c r="AD182" i="18"/>
  <c r="AH64" i="18"/>
  <c r="AC38" i="18"/>
  <c r="AD115" i="18"/>
  <c r="P122" i="10"/>
  <c r="T150" i="10"/>
  <c r="AE150" i="18"/>
  <c r="Q25" i="10"/>
  <c r="O68" i="10"/>
  <c r="R174" i="10"/>
  <c r="R62" i="10"/>
  <c r="AB116" i="18"/>
  <c r="Q107" i="10"/>
  <c r="T154" i="10"/>
  <c r="AJ134" i="18"/>
  <c r="AD10" i="18"/>
  <c r="R168" i="10"/>
  <c r="AG166" i="18"/>
  <c r="AB157" i="18"/>
  <c r="P185" i="10"/>
  <c r="X137" i="10"/>
  <c r="V65" i="10"/>
  <c r="O57" i="10"/>
  <c r="U166" i="10"/>
  <c r="T165" i="10"/>
  <c r="Q200" i="10"/>
  <c r="R74" i="10"/>
  <c r="U75" i="10"/>
  <c r="V17" i="10"/>
  <c r="W125" i="10"/>
  <c r="O77" i="10"/>
  <c r="O172" i="10"/>
  <c r="X167" i="10"/>
  <c r="V176" i="10"/>
  <c r="X104" i="10"/>
  <c r="AC196" i="18"/>
  <c r="AG119" i="18"/>
  <c r="R145" i="10"/>
  <c r="U107" i="10"/>
  <c r="AK56" i="18"/>
  <c r="V85" i="10"/>
  <c r="U147" i="10"/>
  <c r="X164" i="10"/>
  <c r="AH93" i="18"/>
  <c r="O140" i="10"/>
  <c r="T76" i="10"/>
  <c r="U201" i="10"/>
  <c r="P39" i="10"/>
  <c r="R157" i="10"/>
  <c r="AE140" i="18"/>
  <c r="AJ150" i="18"/>
  <c r="R84" i="10"/>
  <c r="P202" i="10"/>
  <c r="Q41" i="10"/>
  <c r="U15" i="10"/>
  <c r="U89" i="10"/>
  <c r="P131" i="10"/>
  <c r="W173" i="10"/>
  <c r="AI97" i="18"/>
  <c r="P36" i="10"/>
  <c r="T66" i="10"/>
  <c r="R113" i="10"/>
  <c r="Q196" i="10"/>
  <c r="X163" i="10"/>
  <c r="AH109" i="18"/>
  <c r="U13" i="10"/>
  <c r="U190" i="10"/>
  <c r="R93" i="10"/>
  <c r="O182" i="10"/>
  <c r="AE96" i="18"/>
  <c r="R31" i="10"/>
  <c r="W172" i="10"/>
  <c r="AH108" i="18"/>
  <c r="R152" i="10"/>
  <c r="X120" i="10"/>
  <c r="X89" i="10"/>
  <c r="T58" i="10"/>
  <c r="P134" i="10"/>
  <c r="P66" i="10"/>
  <c r="P69" i="10"/>
  <c r="P28" i="10"/>
  <c r="X33" i="10"/>
  <c r="Q134" i="10"/>
  <c r="V38" i="10"/>
  <c r="O31" i="10"/>
  <c r="T54" i="10"/>
  <c r="P136" i="10"/>
  <c r="V162" i="10"/>
  <c r="AE125" i="18"/>
  <c r="AH38" i="18"/>
  <c r="U64" i="10"/>
  <c r="W10" i="10"/>
  <c r="W20" i="10"/>
  <c r="W75" i="10"/>
  <c r="R10" i="10"/>
  <c r="AH186" i="18"/>
  <c r="U29" i="10"/>
  <c r="R133" i="10"/>
  <c r="X64" i="10"/>
  <c r="U142" i="10"/>
  <c r="X48" i="10"/>
  <c r="V196" i="10"/>
  <c r="V139" i="10"/>
  <c r="W82" i="10"/>
  <c r="W149" i="10"/>
  <c r="AJ121" i="18"/>
  <c r="W85" i="10"/>
  <c r="U98" i="10"/>
  <c r="P127" i="10"/>
  <c r="AB197" i="18"/>
  <c r="AI62" i="18"/>
  <c r="W161" i="10"/>
  <c r="X87" i="10"/>
  <c r="P132" i="10"/>
  <c r="AD158" i="18"/>
  <c r="Q87" i="10"/>
  <c r="AE11" i="18"/>
  <c r="AE110" i="18"/>
  <c r="W63" i="10"/>
  <c r="V129" i="10"/>
  <c r="W62" i="10"/>
  <c r="T111" i="10"/>
  <c r="AI199" i="18"/>
  <c r="R159" i="10"/>
  <c r="AC180" i="18"/>
  <c r="R142" i="10"/>
  <c r="AD193" i="18"/>
  <c r="AG67" i="18"/>
  <c r="AK91" i="18"/>
  <c r="P130" i="10"/>
  <c r="U180" i="10"/>
  <c r="AG108" i="18"/>
  <c r="AH51" i="18"/>
  <c r="P139" i="10"/>
  <c r="AE37" i="18"/>
  <c r="W26" i="10"/>
  <c r="AC84" i="18"/>
  <c r="AK22" i="18"/>
  <c r="AG83" i="18"/>
  <c r="AJ157" i="18"/>
  <c r="W42" i="10"/>
  <c r="X200" i="10"/>
  <c r="AI40" i="18"/>
  <c r="AB163" i="18"/>
  <c r="AG153" i="18"/>
  <c r="O89" i="10"/>
  <c r="AB147" i="18"/>
  <c r="AJ155" i="18"/>
  <c r="AG39" i="18"/>
  <c r="AB118" i="18"/>
  <c r="T80" i="10"/>
  <c r="P118" i="10"/>
  <c r="Q121" i="10"/>
  <c r="U139" i="10"/>
  <c r="V188" i="10"/>
  <c r="AH98" i="18"/>
  <c r="AB57" i="18"/>
  <c r="AD199" i="18"/>
  <c r="X71" i="10"/>
  <c r="AK89" i="18"/>
  <c r="T178" i="10"/>
  <c r="P171" i="10"/>
  <c r="V189" i="10"/>
  <c r="AE124" i="18"/>
  <c r="AH65" i="18"/>
  <c r="AH68" i="18"/>
  <c r="AC137" i="18"/>
  <c r="AJ9" i="18"/>
  <c r="V34" i="10"/>
  <c r="AI82" i="18"/>
  <c r="AC8" i="18"/>
  <c r="AI65" i="18"/>
  <c r="AB99" i="18"/>
  <c r="AD140" i="18"/>
  <c r="AC36" i="18"/>
  <c r="AD53" i="18"/>
  <c r="AI93" i="18"/>
  <c r="R41" i="10"/>
  <c r="AE174" i="18"/>
  <c r="AI35" i="18"/>
  <c r="AD12" i="18"/>
  <c r="V16" i="10"/>
  <c r="AD86" i="18"/>
  <c r="V123" i="10"/>
  <c r="AJ174" i="18"/>
  <c r="AC17" i="18"/>
  <c r="R140" i="10"/>
  <c r="AE97" i="18"/>
  <c r="AK55" i="18"/>
  <c r="O152" i="10"/>
  <c r="AI64" i="18"/>
  <c r="R135" i="10"/>
  <c r="AE42" i="18"/>
  <c r="X44" i="10"/>
  <c r="T97" i="10"/>
  <c r="AC201" i="18"/>
  <c r="AD73" i="18"/>
  <c r="U21" i="10"/>
  <c r="AH168" i="18"/>
  <c r="AC35" i="18"/>
  <c r="Q150" i="10"/>
  <c r="R33" i="10"/>
  <c r="AE81" i="18"/>
  <c r="W135" i="10"/>
  <c r="AE86" i="18"/>
  <c r="R22" i="10"/>
  <c r="AJ93" i="18"/>
  <c r="AH80" i="18"/>
  <c r="AG11" i="18"/>
  <c r="AD196" i="18"/>
  <c r="AE84" i="18"/>
  <c r="U58" i="10"/>
  <c r="T59" i="10"/>
  <c r="AG184" i="18"/>
  <c r="R12" i="10"/>
  <c r="AI151" i="18"/>
  <c r="AG179" i="18"/>
  <c r="AC200" i="18"/>
  <c r="R124" i="10"/>
  <c r="V149" i="10"/>
  <c r="T98" i="10"/>
  <c r="O84" i="10"/>
  <c r="W147" i="10"/>
  <c r="T146" i="10"/>
  <c r="X140" i="10"/>
  <c r="AK95" i="18"/>
  <c r="V31" i="10"/>
  <c r="AG106" i="18"/>
  <c r="AG139" i="18"/>
  <c r="P108" i="10"/>
  <c r="AD27" i="18"/>
  <c r="AK73" i="18"/>
  <c r="U126" i="10"/>
  <c r="AK96" i="18"/>
  <c r="X103" i="10"/>
  <c r="R26" i="10"/>
  <c r="AI84" i="18"/>
  <c r="P112" i="10"/>
  <c r="O173" i="10"/>
  <c r="AE192" i="18"/>
  <c r="P98" i="10"/>
  <c r="X187" i="10"/>
  <c r="AI146" i="18"/>
  <c r="V179" i="10"/>
  <c r="Q191" i="10"/>
  <c r="O132" i="10"/>
  <c r="V18" i="10"/>
  <c r="AD186" i="18"/>
  <c r="U8" i="10"/>
  <c r="AD159" i="18"/>
  <c r="AI10" i="18"/>
  <c r="O101" i="10"/>
  <c r="X105" i="10"/>
  <c r="AG44" i="18"/>
  <c r="V171" i="10"/>
  <c r="P141" i="10"/>
  <c r="X172" i="10"/>
  <c r="P75" i="10"/>
  <c r="P133" i="10"/>
  <c r="P190" i="10"/>
  <c r="AD126" i="18"/>
  <c r="T53" i="10"/>
  <c r="U22" i="10"/>
  <c r="AE162" i="18"/>
  <c r="AI137" i="18"/>
  <c r="R136" i="10"/>
  <c r="V50" i="10"/>
  <c r="Q92" i="10"/>
  <c r="R128" i="10"/>
  <c r="R32" i="10"/>
  <c r="AB72" i="18"/>
  <c r="AB176" i="18"/>
  <c r="AK165" i="18"/>
  <c r="T26" i="10"/>
  <c r="O6" i="10"/>
  <c r="O193" i="10"/>
  <c r="V37" i="10"/>
  <c r="V56" i="10"/>
  <c r="AD25" i="18"/>
  <c r="AB100" i="18"/>
  <c r="P21" i="10"/>
  <c r="AH116" i="18"/>
  <c r="P68" i="10"/>
  <c r="T37" i="10"/>
  <c r="O58" i="10"/>
  <c r="O54" i="10"/>
  <c r="T143" i="10"/>
  <c r="AB202" i="18"/>
  <c r="Q168" i="10"/>
  <c r="AH192" i="18"/>
  <c r="W34" i="10"/>
  <c r="O170" i="10"/>
  <c r="Q141" i="10"/>
  <c r="AB152" i="18"/>
  <c r="U131" i="10"/>
  <c r="Q29" i="10"/>
  <c r="AD31" i="18"/>
  <c r="AI12" i="18"/>
  <c r="R193" i="10"/>
  <c r="W35" i="10"/>
  <c r="X86" i="10"/>
  <c r="T138" i="10"/>
  <c r="O82" i="10"/>
  <c r="AG79" i="18"/>
  <c r="AK195" i="18"/>
  <c r="AD197" i="18"/>
  <c r="AJ190" i="18"/>
  <c r="T152" i="10"/>
  <c r="T88" i="10"/>
  <c r="O143" i="10"/>
  <c r="AE176" i="18"/>
  <c r="Q104" i="10"/>
  <c r="AG30" i="18"/>
  <c r="AJ135" i="18"/>
  <c r="P153" i="10"/>
  <c r="W31" i="10"/>
  <c r="X108" i="10"/>
  <c r="T168" i="10"/>
  <c r="R40" i="10"/>
  <c r="U49" i="10"/>
  <c r="Q185" i="10"/>
  <c r="Q81" i="10"/>
  <c r="U69" i="10"/>
  <c r="T129" i="10"/>
  <c r="P184" i="10"/>
  <c r="P188" i="10"/>
  <c r="V150" i="10"/>
  <c r="R198" i="10"/>
  <c r="AC83" i="18"/>
  <c r="Q130" i="10"/>
  <c r="W131" i="10"/>
  <c r="AC11" i="18"/>
  <c r="AB16" i="18"/>
  <c r="X189" i="10"/>
  <c r="U119" i="10"/>
  <c r="R190" i="10"/>
  <c r="O28" i="10"/>
  <c r="Q105" i="10"/>
  <c r="AC90" i="18"/>
  <c r="AD179" i="18"/>
  <c r="AH75" i="18"/>
  <c r="AD97" i="18"/>
  <c r="O23" i="10"/>
  <c r="AH41" i="18"/>
  <c r="AJ62" i="18"/>
  <c r="AG142" i="18"/>
  <c r="Q179" i="10"/>
  <c r="R164" i="10"/>
  <c r="W78" i="10"/>
  <c r="R66" i="10"/>
  <c r="AJ177" i="18"/>
  <c r="AB110" i="18"/>
  <c r="P166" i="10"/>
  <c r="AJ156" i="18"/>
  <c r="AD42" i="18"/>
  <c r="O196" i="10"/>
  <c r="Q57" i="10"/>
  <c r="AJ83" i="18"/>
  <c r="Q82" i="10"/>
  <c r="V177" i="10"/>
  <c r="R35" i="10"/>
  <c r="Q21" i="10"/>
  <c r="Q113" i="10"/>
  <c r="U94" i="10"/>
  <c r="P161" i="10"/>
  <c r="AB142" i="18"/>
  <c r="AI57" i="18"/>
  <c r="AJ185" i="18"/>
  <c r="Q145" i="10"/>
  <c r="O93" i="10"/>
  <c r="R59" i="10"/>
  <c r="X8" i="10"/>
  <c r="AB82" i="18"/>
  <c r="AK124" i="18"/>
  <c r="Q143" i="10"/>
  <c r="O32" i="10"/>
  <c r="V19" i="10"/>
  <c r="R166" i="10"/>
  <c r="W48" i="10"/>
  <c r="AJ187" i="18"/>
  <c r="X69" i="10"/>
  <c r="W166" i="10"/>
  <c r="R180" i="10"/>
  <c r="AB181" i="18"/>
  <c r="Q59" i="10"/>
  <c r="V163" i="10"/>
  <c r="T151" i="10"/>
  <c r="X182" i="10"/>
  <c r="W87" i="10"/>
  <c r="AB198" i="18"/>
  <c r="AG37" i="18"/>
  <c r="Q23" i="10"/>
  <c r="P194" i="10"/>
  <c r="P138" i="10"/>
  <c r="U83" i="10"/>
  <c r="T67" i="10"/>
  <c r="AE27" i="18"/>
  <c r="P145" i="10"/>
  <c r="AB20" i="18"/>
  <c r="U122" i="10"/>
  <c r="AB166" i="18"/>
  <c r="U35" i="10"/>
  <c r="Q60" i="10"/>
  <c r="Q51" i="10"/>
  <c r="AG89" i="18"/>
  <c r="W100" i="10"/>
  <c r="O16" i="10"/>
  <c r="AI124" i="18"/>
  <c r="O156" i="10"/>
  <c r="X9" i="10"/>
  <c r="O191" i="10"/>
  <c r="R106" i="10"/>
  <c r="W83" i="10"/>
  <c r="P129" i="10"/>
  <c r="AI191" i="18"/>
  <c r="U92" i="10"/>
  <c r="W163" i="10"/>
  <c r="R80" i="10"/>
  <c r="AH170" i="18"/>
  <c r="AI139" i="18"/>
  <c r="AJ85" i="18"/>
  <c r="AH156" i="18"/>
  <c r="W127" i="10"/>
  <c r="O161" i="10"/>
  <c r="U36" i="10"/>
  <c r="AH55" i="18"/>
  <c r="P19" i="10"/>
  <c r="AB71" i="18"/>
  <c r="V191" i="10"/>
  <c r="U19" i="10"/>
  <c r="P177" i="10"/>
  <c r="O199" i="10"/>
  <c r="W181" i="10"/>
  <c r="X175" i="10"/>
  <c r="O83" i="10"/>
  <c r="X202" i="10"/>
  <c r="O55" i="10"/>
  <c r="T197" i="10"/>
  <c r="O141" i="10"/>
  <c r="AC99" i="18"/>
  <c r="V46" i="10"/>
  <c r="Q88" i="10"/>
  <c r="W15" i="10"/>
  <c r="R56" i="10"/>
  <c r="O59" i="10"/>
  <c r="T125" i="10"/>
  <c r="O52" i="10"/>
  <c r="Q112" i="10"/>
  <c r="W54" i="10"/>
  <c r="P17" i="10"/>
  <c r="U173" i="10"/>
  <c r="AI128" i="18"/>
  <c r="AC12" i="18"/>
  <c r="O112" i="10"/>
  <c r="V60" i="10"/>
  <c r="AH146" i="18"/>
  <c r="X193" i="10"/>
  <c r="U154" i="10"/>
  <c r="R48" i="10"/>
  <c r="V131" i="10"/>
  <c r="R150" i="10"/>
  <c r="AI147" i="18"/>
  <c r="X41" i="10"/>
  <c r="V63" i="10"/>
  <c r="AG61" i="18"/>
  <c r="AK85" i="18"/>
  <c r="AE200" i="18"/>
  <c r="AC125" i="18"/>
  <c r="AI112" i="18"/>
  <c r="AE104" i="18"/>
  <c r="AG165" i="18"/>
  <c r="AG158" i="18"/>
  <c r="AI52" i="18"/>
  <c r="AG202" i="18"/>
  <c r="AB38" i="18"/>
  <c r="AE53" i="18"/>
  <c r="T47" i="10"/>
  <c r="AH153" i="18"/>
  <c r="AH19" i="18"/>
  <c r="AE16" i="18"/>
  <c r="AB34" i="18"/>
  <c r="AJ123" i="18"/>
  <c r="AD61" i="18"/>
  <c r="AG33" i="18"/>
  <c r="AJ13" i="18"/>
  <c r="AK179" i="18"/>
  <c r="AE180" i="18"/>
  <c r="V113" i="10"/>
  <c r="R81" i="10"/>
  <c r="P183" i="10"/>
  <c r="X81" i="10"/>
  <c r="W106" i="10"/>
  <c r="W17" i="10"/>
  <c r="Q182" i="10"/>
  <c r="O37" i="10"/>
  <c r="Q17" i="10"/>
  <c r="Q193" i="10"/>
  <c r="AD163" i="18"/>
  <c r="AI11" i="18"/>
  <c r="T192" i="10"/>
  <c r="AC91" i="18"/>
  <c r="R177" i="10"/>
  <c r="AI116" i="18"/>
  <c r="T115" i="10"/>
  <c r="AJ76" i="18"/>
  <c r="AK30" i="18"/>
  <c r="AI94" i="18"/>
  <c r="AH59" i="18"/>
  <c r="AI87" i="18"/>
  <c r="AJ35" i="18"/>
  <c r="AC10" i="18"/>
  <c r="O186" i="10"/>
  <c r="U137" i="10"/>
  <c r="AK51" i="18"/>
  <c r="AI9" i="18"/>
  <c r="AG49" i="18"/>
  <c r="AI42" i="18"/>
  <c r="AJ59" i="18"/>
  <c r="AE194" i="18"/>
  <c r="AK141" i="18"/>
  <c r="AD18" i="18"/>
  <c r="R125" i="10"/>
  <c r="AH37" i="18"/>
  <c r="AC18" i="18"/>
  <c r="AI75" i="18"/>
  <c r="AD82" i="18"/>
  <c r="AB18" i="18"/>
  <c r="AH122" i="18"/>
  <c r="W59" i="10"/>
  <c r="AC150" i="18"/>
  <c r="Q52" i="10"/>
  <c r="AD194" i="18"/>
  <c r="AC164" i="18"/>
  <c r="R176" i="10"/>
  <c r="AD113" i="18"/>
  <c r="O21" i="10"/>
  <c r="U129" i="10"/>
  <c r="AK19" i="18"/>
  <c r="AH97" i="18"/>
  <c r="W186" i="10"/>
  <c r="Q197" i="10"/>
  <c r="AB31" i="18"/>
  <c r="V88" i="10"/>
  <c r="X14" i="10"/>
  <c r="R191" i="10"/>
  <c r="AK109" i="18"/>
  <c r="R146" i="10"/>
  <c r="AE190" i="18"/>
  <c r="AJ164" i="18"/>
  <c r="AH124" i="18"/>
  <c r="AD129" i="18"/>
  <c r="Q133" i="10"/>
  <c r="AE132" i="18"/>
  <c r="AD123" i="18"/>
  <c r="AH143" i="18"/>
  <c r="T109" i="10"/>
  <c r="AI194" i="18"/>
  <c r="AI83" i="18"/>
  <c r="P83" i="10"/>
  <c r="Q75" i="10"/>
  <c r="U100" i="10"/>
  <c r="AH91" i="18"/>
  <c r="P142" i="10"/>
  <c r="P47" i="10"/>
  <c r="W69" i="10"/>
  <c r="X151" i="10"/>
  <c r="P51" i="10"/>
  <c r="V141" i="10"/>
  <c r="R161" i="10"/>
  <c r="X178" i="10"/>
  <c r="V168" i="10"/>
  <c r="Q116" i="10"/>
  <c r="U96" i="10"/>
  <c r="AJ90" i="18"/>
  <c r="P38" i="10"/>
  <c r="AK177" i="18"/>
  <c r="AD121" i="18"/>
  <c r="P137" i="10"/>
  <c r="AC179" i="18"/>
  <c r="O115" i="10"/>
  <c r="O11" i="10"/>
  <c r="R57" i="10"/>
  <c r="V86" i="10"/>
  <c r="X194" i="10"/>
  <c r="X10" i="10"/>
  <c r="V202" i="10"/>
  <c r="AH177" i="18"/>
  <c r="R110" i="10"/>
  <c r="AG24" i="18"/>
  <c r="V58" i="10"/>
  <c r="Q20" i="10"/>
  <c r="AB90" i="18"/>
  <c r="W110" i="10"/>
  <c r="AB84" i="18"/>
  <c r="V91" i="10"/>
  <c r="T130" i="10"/>
  <c r="X73" i="10"/>
  <c r="P144" i="10"/>
  <c r="W76" i="10"/>
  <c r="AC20" i="18"/>
  <c r="T64" i="10"/>
  <c r="W46" i="10"/>
  <c r="X31" i="10"/>
  <c r="Q114" i="10"/>
  <c r="X56" i="10"/>
  <c r="Q131" i="10"/>
  <c r="X199" i="10"/>
  <c r="AI29" i="18"/>
  <c r="V121" i="10"/>
  <c r="AI73" i="18"/>
  <c r="Q169" i="10"/>
  <c r="Q22" i="10"/>
  <c r="U165" i="10"/>
  <c r="W196" i="10"/>
  <c r="AD137" i="18"/>
  <c r="V11" i="10"/>
  <c r="AG93" i="18"/>
  <c r="O80" i="10"/>
  <c r="U39" i="10"/>
  <c r="P163" i="10"/>
  <c r="Q201" i="10"/>
  <c r="V9" i="10"/>
  <c r="P135" i="10"/>
  <c r="AG27" i="18"/>
  <c r="U45" i="10"/>
  <c r="O188" i="10"/>
  <c r="AB156" i="18"/>
  <c r="AG154" i="18"/>
  <c r="R51" i="10"/>
  <c r="AD100" i="18"/>
  <c r="P173" i="10"/>
  <c r="AD195" i="18"/>
  <c r="P60" i="10"/>
  <c r="T11" i="10"/>
  <c r="W128" i="10"/>
  <c r="R30" i="10"/>
  <c r="AD55" i="18"/>
  <c r="O34" i="10"/>
  <c r="AB89" i="18"/>
  <c r="P84" i="10"/>
  <c r="AI134" i="18"/>
  <c r="U6" i="10"/>
  <c r="AE172" i="18"/>
  <c r="AD176" i="18"/>
  <c r="AJ133" i="18"/>
  <c r="AD16" i="18"/>
  <c r="T158" i="10"/>
  <c r="AH196" i="18"/>
  <c r="Q98" i="10"/>
  <c r="P155" i="10"/>
  <c r="W101" i="10"/>
  <c r="X113" i="10"/>
  <c r="Q159" i="10"/>
  <c r="R172" i="10"/>
  <c r="AC181" i="18"/>
  <c r="AJ136" i="18"/>
  <c r="P10" i="10"/>
  <c r="Q77" i="10"/>
  <c r="R9" i="10"/>
  <c r="AD124" i="18"/>
  <c r="AI159" i="18"/>
  <c r="AG190" i="18"/>
  <c r="Q101" i="10"/>
  <c r="Q148" i="10"/>
  <c r="P96" i="10"/>
  <c r="T29" i="10"/>
  <c r="P24" i="10"/>
  <c r="T75" i="10"/>
  <c r="T145" i="10"/>
  <c r="V54" i="10"/>
  <c r="R182" i="10"/>
  <c r="R50" i="10"/>
  <c r="V10" i="10"/>
  <c r="T155" i="10"/>
  <c r="AB121" i="18"/>
  <c r="AK107" i="18"/>
  <c r="AK120" i="18"/>
  <c r="U152" i="10"/>
  <c r="T201" i="10"/>
  <c r="AC171" i="18"/>
  <c r="U108" i="10"/>
  <c r="W133" i="10"/>
  <c r="X97" i="10"/>
  <c r="Q32" i="10"/>
  <c r="X201" i="10"/>
  <c r="O17" i="10"/>
  <c r="AB108" i="18"/>
  <c r="P90" i="10"/>
  <c r="T123" i="10"/>
  <c r="AD67" i="18"/>
  <c r="X88" i="10"/>
  <c r="R137" i="10"/>
  <c r="AH12" i="18"/>
  <c r="AG155" i="18"/>
  <c r="AJ47" i="18"/>
  <c r="U85" i="10"/>
  <c r="R19" i="10"/>
  <c r="W152" i="10"/>
  <c r="R114" i="10"/>
  <c r="AC85" i="18"/>
  <c r="U73" i="10"/>
  <c r="AK180" i="18"/>
  <c r="AJ192" i="18"/>
  <c r="U34" i="10"/>
  <c r="AE79" i="18"/>
  <c r="U153" i="10"/>
  <c r="W138" i="10"/>
  <c r="AK117" i="18"/>
  <c r="P73" i="10"/>
  <c r="V92" i="10"/>
  <c r="AC88" i="18"/>
  <c r="AJ78" i="18"/>
  <c r="X110" i="10"/>
  <c r="AD64" i="18"/>
  <c r="X32" i="10"/>
  <c r="AH110" i="18"/>
  <c r="AE115" i="18"/>
  <c r="Q100" i="10"/>
  <c r="W95" i="10"/>
  <c r="U128" i="10"/>
  <c r="U67" i="10"/>
  <c r="AI78" i="18"/>
  <c r="X192" i="10"/>
  <c r="W93" i="10"/>
  <c r="P89" i="10"/>
  <c r="W8" i="10"/>
  <c r="O41" i="10"/>
  <c r="AI103" i="18"/>
  <c r="AH81" i="18"/>
  <c r="W179" i="10"/>
  <c r="V198" i="10"/>
  <c r="Q40" i="10"/>
  <c r="V26" i="10"/>
  <c r="W107" i="10"/>
  <c r="T163" i="10"/>
  <c r="Q15" i="10"/>
  <c r="P100" i="10"/>
  <c r="AK111" i="18"/>
  <c r="O151" i="10"/>
  <c r="T10" i="10"/>
  <c r="Q202" i="10"/>
  <c r="V40" i="10"/>
  <c r="X35" i="10"/>
  <c r="W194" i="10"/>
  <c r="AH74" i="18"/>
  <c r="Q129" i="10"/>
  <c r="O12" i="10"/>
  <c r="AI58" i="18"/>
  <c r="T20" i="10"/>
  <c r="AI198" i="18"/>
  <c r="AK194" i="18"/>
  <c r="AD75" i="18"/>
  <c r="P12" i="10"/>
  <c r="R95" i="10"/>
  <c r="V97" i="10"/>
  <c r="U175" i="10"/>
  <c r="X7" i="10"/>
  <c r="AG200" i="18"/>
  <c r="AJ106" i="18"/>
  <c r="AD98" i="18"/>
  <c r="O167" i="10"/>
  <c r="V175" i="10"/>
  <c r="T114" i="10"/>
  <c r="O24" i="10"/>
  <c r="AH137" i="18"/>
  <c r="AJ114" i="18"/>
  <c r="AI100" i="18"/>
  <c r="O96" i="10"/>
  <c r="U46" i="10"/>
  <c r="AK168" i="18"/>
  <c r="Q127" i="10"/>
  <c r="O49" i="10"/>
  <c r="O117" i="10"/>
  <c r="Q125" i="10"/>
  <c r="W73" i="10"/>
  <c r="AH105" i="18"/>
  <c r="R127" i="10"/>
  <c r="AD153" i="18"/>
  <c r="AG135" i="18"/>
  <c r="R103" i="10"/>
  <c r="R192" i="10"/>
  <c r="R178" i="10"/>
  <c r="AB131" i="18"/>
  <c r="AE142" i="18"/>
  <c r="T153" i="10"/>
  <c r="AE80" i="18"/>
  <c r="V109" i="10"/>
  <c r="U104" i="10"/>
  <c r="W184" i="10"/>
  <c r="T101" i="10"/>
  <c r="V41" i="10"/>
  <c r="O42" i="10"/>
  <c r="R132" i="10"/>
  <c r="AB148" i="18"/>
  <c r="P37" i="10"/>
  <c r="V99" i="10"/>
  <c r="O122" i="10"/>
  <c r="X78" i="10"/>
  <c r="W124" i="10"/>
  <c r="P165" i="10"/>
  <c r="Q38" i="10"/>
  <c r="V186" i="10"/>
  <c r="Q91" i="10"/>
  <c r="AJ199" i="18"/>
  <c r="U171" i="10"/>
  <c r="AE199" i="18"/>
  <c r="AG187" i="18"/>
  <c r="AG167" i="18"/>
  <c r="U179" i="10"/>
  <c r="T60" i="10"/>
  <c r="V53" i="10"/>
  <c r="P30" i="10"/>
  <c r="AC166" i="18"/>
  <c r="R119" i="10"/>
  <c r="P148" i="10"/>
  <c r="T187" i="10"/>
  <c r="AB125" i="18"/>
  <c r="AE24" i="18"/>
  <c r="AE148" i="18"/>
  <c r="W77" i="10"/>
  <c r="X130" i="10"/>
  <c r="O110" i="10"/>
  <c r="AD84" i="18"/>
  <c r="AG21" i="18"/>
  <c r="AJ46" i="18"/>
  <c r="AH164" i="18"/>
  <c r="R55" i="10"/>
  <c r="AJ88" i="18"/>
  <c r="AB67" i="18"/>
  <c r="U182" i="10"/>
  <c r="AI187" i="18"/>
  <c r="U138" i="10"/>
  <c r="AC101" i="18"/>
  <c r="AE57" i="18"/>
  <c r="AE50" i="18"/>
  <c r="AC69" i="18"/>
  <c r="AJ11" i="18"/>
  <c r="AG116" i="18"/>
  <c r="T184" i="10"/>
  <c r="AE63" i="18"/>
  <c r="AJ82" i="18"/>
  <c r="AB117" i="18"/>
  <c r="AG81" i="18"/>
  <c r="Q177" i="10"/>
  <c r="P41" i="10"/>
  <c r="AK7" i="18"/>
  <c r="R195" i="10"/>
  <c r="AG31" i="18"/>
  <c r="R170" i="10"/>
  <c r="AK167" i="18"/>
  <c r="V44" i="10"/>
  <c r="T179" i="10"/>
  <c r="AG88" i="18"/>
  <c r="W74" i="10"/>
  <c r="AB162" i="18"/>
  <c r="AK133" i="18"/>
  <c r="V52" i="10"/>
  <c r="P42" i="10"/>
  <c r="AK187" i="18"/>
  <c r="AK149" i="18"/>
  <c r="X85" i="10"/>
  <c r="AJ26" i="18"/>
  <c r="R67" i="10"/>
  <c r="U28" i="10"/>
  <c r="AB85" i="18"/>
  <c r="AC106" i="18"/>
  <c r="AK87" i="18"/>
  <c r="AC135" i="18"/>
  <c r="AK142" i="18"/>
  <c r="P140" i="10"/>
  <c r="AJ172" i="18"/>
  <c r="AG201" i="18"/>
  <c r="AB40" i="18"/>
  <c r="V55" i="10"/>
  <c r="AI41" i="18"/>
  <c r="AD33" i="18"/>
  <c r="R117" i="10"/>
  <c r="T103" i="10"/>
  <c r="AG34" i="18"/>
  <c r="AJ102" i="18"/>
  <c r="AC191" i="18"/>
  <c r="AK90" i="18"/>
  <c r="AH148" i="18"/>
  <c r="AB30" i="18"/>
  <c r="AE32" i="18"/>
  <c r="AJ167" i="18"/>
  <c r="AI166" i="18"/>
  <c r="U23" i="10"/>
  <c r="AC57" i="18"/>
  <c r="AG78" i="18"/>
  <c r="AC144" i="18"/>
  <c r="Q173" i="10"/>
  <c r="AC156" i="18"/>
  <c r="T170" i="10"/>
  <c r="O38" i="10"/>
  <c r="T141" i="10"/>
  <c r="AC21" i="18"/>
  <c r="AC28" i="18"/>
  <c r="X76" i="10"/>
  <c r="AJ100" i="18"/>
  <c r="W174" i="10"/>
  <c r="R187" i="10"/>
  <c r="U146" i="10"/>
  <c r="AH181" i="18"/>
  <c r="AB146" i="18"/>
  <c r="T23" i="10"/>
  <c r="AB91" i="18"/>
  <c r="AD19" i="18"/>
  <c r="AE101" i="18"/>
  <c r="AB174" i="18"/>
  <c r="P196" i="10"/>
  <c r="AC6" i="18"/>
  <c r="AI165" i="18"/>
  <c r="T183" i="10"/>
  <c r="AD190" i="18"/>
  <c r="T92" i="10"/>
  <c r="W99" i="10"/>
  <c r="T65" i="10"/>
  <c r="AK175" i="18"/>
  <c r="W12" i="10"/>
  <c r="T86" i="10"/>
  <c r="O20" i="10"/>
  <c r="T9" i="10"/>
  <c r="O109" i="10"/>
  <c r="AB130" i="18"/>
  <c r="Q31" i="10"/>
  <c r="W111" i="10"/>
  <c r="O127" i="10"/>
  <c r="P157" i="10"/>
  <c r="AD174" i="18"/>
  <c r="AD48" i="18"/>
  <c r="O137" i="10"/>
  <c r="T91" i="10"/>
  <c r="T105" i="10"/>
  <c r="R44" i="10"/>
  <c r="O155" i="10"/>
  <c r="T49" i="10"/>
  <c r="T186" i="10"/>
  <c r="Q90" i="10"/>
  <c r="AE56" i="18"/>
  <c r="P56" i="10"/>
  <c r="V67" i="10"/>
  <c r="V194" i="10"/>
  <c r="T40" i="10"/>
  <c r="O26" i="10"/>
  <c r="W67" i="10"/>
  <c r="AC122" i="18"/>
  <c r="X24" i="10"/>
  <c r="AC23" i="18"/>
  <c r="AI105" i="18"/>
  <c r="Q195" i="10"/>
  <c r="P18" i="10"/>
  <c r="Q44" i="10"/>
  <c r="AE184" i="18"/>
  <c r="X77" i="10"/>
  <c r="AB94" i="18"/>
  <c r="AE118" i="18"/>
  <c r="X43" i="10"/>
  <c r="W165" i="10"/>
  <c r="AK99" i="18"/>
  <c r="V136" i="10"/>
  <c r="T122" i="10"/>
  <c r="AJ173" i="18"/>
  <c r="R14" i="10"/>
  <c r="AG192" i="18"/>
  <c r="W187" i="10"/>
  <c r="T144" i="10"/>
  <c r="O45" i="10"/>
  <c r="W55" i="10"/>
  <c r="AH100" i="18"/>
  <c r="P6" i="10"/>
  <c r="Q170" i="10"/>
  <c r="AI33" i="18"/>
  <c r="AD200" i="18"/>
  <c r="AG164" i="18"/>
  <c r="P92" i="10"/>
  <c r="AG130" i="18"/>
  <c r="V197" i="10"/>
  <c r="T106" i="10"/>
  <c r="AJ24" i="18"/>
  <c r="AK158" i="18"/>
  <c r="V35" i="10"/>
  <c r="W27" i="10"/>
  <c r="Q34" i="10"/>
  <c r="T159" i="10"/>
  <c r="U198" i="10"/>
  <c r="O107" i="10"/>
  <c r="X29" i="10"/>
  <c r="T195" i="10"/>
  <c r="W201" i="10"/>
  <c r="X65" i="10"/>
  <c r="Q36" i="10"/>
  <c r="AC102" i="18"/>
  <c r="U144" i="10"/>
  <c r="AD122" i="18"/>
  <c r="T120" i="10"/>
  <c r="X162" i="10"/>
  <c r="V74" i="10"/>
  <c r="U194" i="10"/>
  <c r="Q184" i="10"/>
  <c r="P158" i="10"/>
  <c r="AD128" i="18"/>
  <c r="T33" i="10"/>
  <c r="AH36" i="18"/>
  <c r="AE188" i="18"/>
  <c r="O120" i="10"/>
  <c r="AD150" i="18"/>
  <c r="Q10" i="10"/>
  <c r="AD202" i="18"/>
  <c r="O198" i="10"/>
  <c r="P31" i="10"/>
  <c r="T45" i="10"/>
  <c r="R63" i="10"/>
  <c r="AB112" i="18"/>
  <c r="AE136" i="18"/>
  <c r="AD183" i="18"/>
  <c r="R91" i="10"/>
  <c r="AB8" i="18"/>
  <c r="AG151" i="18"/>
  <c r="X30" i="10"/>
  <c r="O36" i="10"/>
  <c r="AI148" i="18"/>
  <c r="T182" i="10"/>
  <c r="AG107" i="18"/>
  <c r="AJ145" i="18"/>
  <c r="AE38" i="18"/>
  <c r="O70" i="10"/>
  <c r="AH201" i="18"/>
  <c r="AK151" i="18"/>
  <c r="U112" i="10"/>
  <c r="Q102" i="10"/>
  <c r="AI162" i="18"/>
  <c r="U159" i="10"/>
  <c r="R15" i="10"/>
  <c r="T113" i="10"/>
  <c r="W57" i="10"/>
  <c r="U20" i="10"/>
  <c r="AG122" i="18"/>
  <c r="P149" i="10"/>
  <c r="O67" i="10"/>
  <c r="W30" i="10"/>
  <c r="O197" i="10"/>
  <c r="AB74" i="18"/>
  <c r="AG160" i="18"/>
  <c r="AD39" i="18"/>
  <c r="U151" i="10"/>
  <c r="V153" i="10"/>
  <c r="P115" i="10"/>
  <c r="AI172" i="18"/>
  <c r="O136" i="10"/>
  <c r="AK66" i="18"/>
  <c r="AC170" i="18"/>
  <c r="AC86" i="18"/>
  <c r="AJ161" i="18"/>
  <c r="AK138" i="18"/>
  <c r="AJ104" i="18"/>
  <c r="U10" i="10"/>
  <c r="U25" i="10"/>
  <c r="X119" i="10"/>
  <c r="AK93" i="18"/>
  <c r="AH48" i="18"/>
  <c r="AJ42" i="18"/>
  <c r="AB65" i="18"/>
  <c r="W126" i="10"/>
  <c r="X49" i="10"/>
  <c r="W190" i="10"/>
  <c r="P111" i="10"/>
  <c r="O147" i="10"/>
  <c r="P104" i="10"/>
  <c r="W150" i="10"/>
  <c r="V84" i="10"/>
  <c r="AE201" i="18"/>
  <c r="AB180" i="18"/>
  <c r="O126" i="10"/>
  <c r="AI79" i="18"/>
  <c r="W86" i="10"/>
  <c r="X177" i="10"/>
  <c r="AE168" i="18"/>
  <c r="W89" i="10"/>
  <c r="O178" i="10"/>
  <c r="Q160" i="10"/>
  <c r="P7" i="10"/>
  <c r="Q140" i="10"/>
  <c r="AE102" i="18"/>
  <c r="AH140" i="18"/>
  <c r="V120" i="10"/>
  <c r="P77" i="10"/>
  <c r="V133" i="10"/>
  <c r="O175" i="10"/>
  <c r="AC44" i="18"/>
  <c r="W40" i="10"/>
  <c r="T112" i="10"/>
  <c r="Q124" i="10"/>
  <c r="AI96" i="18"/>
  <c r="R154" i="10"/>
  <c r="W52" i="10"/>
  <c r="AG128" i="18"/>
  <c r="X116" i="10"/>
  <c r="O98" i="10"/>
  <c r="AI133" i="18"/>
  <c r="X22" i="10"/>
  <c r="AJ127" i="18"/>
  <c r="R23" i="10"/>
  <c r="AB83" i="18"/>
  <c r="AC50" i="18"/>
  <c r="AG163" i="18"/>
  <c r="P82" i="10"/>
  <c r="AD114" i="18"/>
  <c r="V30" i="10"/>
  <c r="X185" i="10"/>
  <c r="T38" i="10"/>
  <c r="V132" i="10"/>
  <c r="R69" i="10"/>
  <c r="P15" i="10"/>
  <c r="AB193" i="18"/>
  <c r="O7" i="10"/>
  <c r="R73" i="10"/>
  <c r="Q189" i="10"/>
  <c r="R202" i="10"/>
  <c r="AH28" i="18"/>
  <c r="W51" i="10"/>
  <c r="AD189" i="18"/>
  <c r="AG133" i="18"/>
  <c r="O171" i="10"/>
  <c r="X165" i="10"/>
  <c r="U136" i="10"/>
  <c r="X80" i="10"/>
  <c r="V126" i="10"/>
  <c r="AD143" i="18"/>
  <c r="P61" i="10"/>
  <c r="T173" i="10"/>
  <c r="P70" i="10"/>
  <c r="AC81" i="18"/>
  <c r="R21" i="10"/>
  <c r="V6" i="10"/>
  <c r="X174" i="10"/>
  <c r="T194" i="10"/>
  <c r="T202" i="10"/>
  <c r="P67" i="10"/>
  <c r="V167" i="10"/>
  <c r="T55" i="10"/>
  <c r="AC110" i="18"/>
  <c r="T16" i="10"/>
  <c r="V173" i="10"/>
  <c r="AC120" i="18"/>
  <c r="V108" i="10"/>
  <c r="T171" i="10"/>
  <c r="U82" i="10"/>
  <c r="X147" i="10"/>
  <c r="AJ168" i="18"/>
  <c r="P33" i="10"/>
  <c r="X17" i="10"/>
  <c r="V7" i="10"/>
  <c r="R11" i="10"/>
  <c r="T42" i="10"/>
  <c r="W188" i="10"/>
  <c r="Q62" i="10"/>
  <c r="W112" i="10"/>
  <c r="P162" i="10"/>
  <c r="U192" i="10"/>
  <c r="U188" i="10"/>
  <c r="X61" i="10"/>
  <c r="AJ61" i="18"/>
  <c r="V83" i="10"/>
  <c r="U68" i="10"/>
  <c r="AG146" i="18"/>
  <c r="U84" i="10"/>
  <c r="AE154" i="18"/>
  <c r="P154" i="10"/>
  <c r="U115" i="10"/>
  <c r="AD130" i="18"/>
  <c r="P9" i="10"/>
  <c r="W141" i="10"/>
  <c r="U105" i="10"/>
  <c r="AK113" i="18"/>
  <c r="P192" i="10"/>
  <c r="AB15" i="18"/>
  <c r="Q26" i="10"/>
  <c r="X166" i="10"/>
  <c r="P11" i="10"/>
  <c r="X168" i="10"/>
  <c r="AK9" i="18"/>
  <c r="X109" i="10"/>
  <c r="AJ99" i="18"/>
  <c r="X6" i="10"/>
  <c r="AC87" i="18"/>
  <c r="X173" i="10"/>
  <c r="O139" i="10"/>
  <c r="T71" i="10"/>
  <c r="X93" i="10"/>
  <c r="X146" i="10"/>
  <c r="U181" i="10"/>
  <c r="AB11" i="18"/>
  <c r="U66" i="10"/>
  <c r="P114" i="10"/>
  <c r="W129" i="10"/>
  <c r="U60" i="10"/>
  <c r="U134" i="10"/>
  <c r="V135" i="10"/>
  <c r="Q103" i="10"/>
  <c r="AB66" i="18"/>
  <c r="P94" i="10"/>
  <c r="P167" i="10"/>
  <c r="U163" i="10"/>
  <c r="U63" i="10"/>
  <c r="O157" i="10"/>
  <c r="AI202" i="18"/>
  <c r="V103" i="10"/>
  <c r="AD81" i="18"/>
  <c r="AK176" i="18"/>
  <c r="P168" i="10"/>
  <c r="AD70" i="18"/>
  <c r="T13" i="10"/>
  <c r="X176" i="10"/>
  <c r="AI66" i="18"/>
  <c r="AD62" i="18"/>
  <c r="AD173" i="18"/>
  <c r="AI104" i="18"/>
  <c r="Q137" i="10"/>
  <c r="AC189" i="18"/>
  <c r="AD119" i="18"/>
  <c r="O51" i="10"/>
  <c r="U95" i="10"/>
  <c r="AE127" i="18"/>
  <c r="Q73" i="10"/>
  <c r="U113" i="10"/>
  <c r="V199" i="10"/>
  <c r="Q172" i="10"/>
  <c r="X46" i="10"/>
  <c r="AJ57" i="18"/>
  <c r="AG112" i="18"/>
  <c r="Q58" i="10"/>
  <c r="X171" i="10"/>
  <c r="T161" i="10"/>
  <c r="X100" i="10"/>
  <c r="P189" i="10"/>
  <c r="P191" i="10"/>
  <c r="AB64" i="18"/>
  <c r="V49" i="10"/>
  <c r="U88" i="10"/>
  <c r="AD101" i="18"/>
  <c r="O195" i="10"/>
  <c r="R181" i="10"/>
  <c r="AD198" i="18"/>
  <c r="P164" i="10"/>
  <c r="U121" i="10"/>
  <c r="W84" i="10"/>
  <c r="V154" i="10"/>
  <c r="V14" i="10"/>
  <c r="O39" i="10"/>
  <c r="AH172" i="18"/>
  <c r="AD116" i="18"/>
  <c r="W182" i="10"/>
  <c r="AE139" i="18"/>
  <c r="AK200" i="18"/>
  <c r="O189" i="10"/>
  <c r="T135" i="10"/>
  <c r="R96" i="10"/>
  <c r="O169" i="10"/>
  <c r="X111" i="10"/>
  <c r="X23" i="10"/>
  <c r="V152" i="10"/>
  <c r="R184" i="10"/>
  <c r="O74" i="10"/>
  <c r="X112" i="10"/>
  <c r="P200" i="10"/>
  <c r="O111" i="10"/>
  <c r="AG109" i="18"/>
  <c r="AH112" i="18"/>
  <c r="AH188" i="18"/>
  <c r="O158" i="10"/>
  <c r="X62" i="10"/>
  <c r="P107" i="10"/>
  <c r="X74" i="10"/>
  <c r="T142" i="10"/>
  <c r="AD108" i="18"/>
  <c r="W113" i="10"/>
  <c r="U109" i="10"/>
  <c r="AH134" i="18"/>
  <c r="O95" i="10"/>
  <c r="W108" i="10"/>
  <c r="U12" i="10"/>
  <c r="AG126" i="18"/>
  <c r="AK170" i="18"/>
  <c r="AB184" i="18"/>
  <c r="P193" i="10"/>
  <c r="AB61" i="18"/>
  <c r="X114" i="10"/>
  <c r="O91" i="10"/>
  <c r="AJ105" i="18"/>
  <c r="X102" i="10"/>
  <c r="W102" i="10"/>
  <c r="W61" i="10"/>
  <c r="AD95" i="18"/>
  <c r="V28" i="10"/>
  <c r="P25" i="10"/>
  <c r="T188" i="10"/>
  <c r="O184" i="10"/>
  <c r="R86" i="10"/>
  <c r="X75" i="10"/>
  <c r="AC178" i="18"/>
  <c r="R196" i="10"/>
  <c r="Q45" i="10"/>
  <c r="Q47" i="10"/>
  <c r="T128" i="10"/>
  <c r="R185" i="10"/>
  <c r="R16" i="10"/>
  <c r="R13" i="10"/>
  <c r="O114" i="10"/>
  <c r="O66" i="10"/>
  <c r="V87" i="10"/>
  <c r="AE93" i="18"/>
  <c r="T24" i="10"/>
  <c r="Q76" i="10"/>
  <c r="R54" i="10"/>
  <c r="P27" i="10"/>
  <c r="AG85" i="18"/>
  <c r="U38" i="10"/>
  <c r="AC199" i="18"/>
  <c r="Q132" i="10"/>
  <c r="Q80" i="10"/>
  <c r="W200" i="10"/>
  <c r="R78" i="10"/>
  <c r="AC78" i="18"/>
  <c r="AC177" i="18"/>
  <c r="AH165" i="18"/>
  <c r="U70" i="10"/>
  <c r="Q13" i="10"/>
  <c r="AI88" i="18"/>
  <c r="V124" i="10"/>
  <c r="V42" i="10"/>
  <c r="AD83" i="18"/>
  <c r="R194" i="10"/>
  <c r="AJ194" i="18"/>
  <c r="O134" i="10"/>
  <c r="O44" i="10"/>
  <c r="Q79" i="10"/>
  <c r="T132" i="10"/>
  <c r="X25" i="10"/>
  <c r="AK127" i="18"/>
  <c r="AD87" i="18"/>
  <c r="AB145" i="18"/>
  <c r="Q162" i="10"/>
  <c r="Q180" i="10"/>
  <c r="AE91" i="18"/>
  <c r="R98" i="10"/>
  <c r="V15" i="10"/>
  <c r="R36" i="10"/>
  <c r="P99" i="10"/>
  <c r="X161" i="10"/>
  <c r="AI80" i="18"/>
  <c r="AH132" i="18"/>
  <c r="Q54" i="10"/>
  <c r="P201" i="10"/>
  <c r="V183" i="10"/>
  <c r="U18" i="10"/>
  <c r="W176" i="10"/>
  <c r="W120" i="10"/>
  <c r="U114" i="10"/>
  <c r="U51" i="10"/>
  <c r="P50" i="10"/>
  <c r="AH174" i="18"/>
  <c r="V118" i="10"/>
  <c r="W36" i="10"/>
  <c r="Q171" i="10"/>
  <c r="X157" i="10"/>
  <c r="AC134" i="18"/>
  <c r="W122" i="10"/>
  <c r="T72" i="10"/>
  <c r="Q109" i="10"/>
  <c r="Q67" i="10"/>
  <c r="U101" i="10"/>
  <c r="X53" i="10"/>
  <c r="AI171" i="18"/>
  <c r="V95" i="10"/>
  <c r="V178" i="10"/>
  <c r="P55" i="10"/>
  <c r="O166" i="10"/>
  <c r="X139" i="10"/>
  <c r="W136" i="10"/>
  <c r="V159" i="10"/>
  <c r="AJ198" i="18"/>
  <c r="W79" i="10"/>
  <c r="AD149" i="18"/>
  <c r="AK94" i="18"/>
  <c r="P29" i="10"/>
  <c r="AD185" i="18"/>
  <c r="Q71" i="10"/>
  <c r="T156" i="10"/>
  <c r="AH129" i="18"/>
  <c r="Q126" i="10"/>
  <c r="T31" i="10"/>
  <c r="AC169" i="18"/>
  <c r="T181" i="10"/>
  <c r="P186" i="10"/>
  <c r="U127" i="10"/>
  <c r="Q64" i="10"/>
  <c r="X156" i="10"/>
  <c r="O18" i="10"/>
  <c r="AE103" i="18"/>
  <c r="P88" i="10"/>
  <c r="AG193" i="18"/>
  <c r="R111" i="10"/>
  <c r="P48" i="10"/>
  <c r="R126" i="10"/>
  <c r="AC146" i="18"/>
  <c r="AG125" i="18"/>
  <c r="X79" i="10"/>
  <c r="AK130" i="18"/>
  <c r="O81" i="10"/>
  <c r="R79" i="10"/>
  <c r="T61" i="10"/>
  <c r="AB137" i="18"/>
  <c r="U160" i="10"/>
  <c r="O121" i="10"/>
  <c r="U30" i="10"/>
  <c r="P93" i="10"/>
  <c r="T136" i="10"/>
  <c r="T89" i="10"/>
  <c r="U117" i="10"/>
  <c r="AH20" i="18"/>
  <c r="Q39" i="10"/>
  <c r="P80" i="10"/>
  <c r="V145" i="10"/>
  <c r="AH95" i="18"/>
  <c r="X60" i="10"/>
  <c r="T110" i="10"/>
  <c r="Q123" i="10"/>
  <c r="W88" i="10"/>
  <c r="T180" i="10"/>
  <c r="AJ37" i="18"/>
  <c r="P170" i="10"/>
  <c r="V80" i="10"/>
  <c r="P20" i="10"/>
  <c r="W134" i="10"/>
  <c r="AD127" i="18"/>
  <c r="T149" i="10"/>
  <c r="AK184" i="18"/>
  <c r="X181" i="10"/>
  <c r="V68" i="10"/>
  <c r="R43" i="10"/>
  <c r="T52" i="10"/>
  <c r="R134" i="10"/>
  <c r="W103" i="10"/>
  <c r="V81" i="10"/>
  <c r="O164" i="10"/>
  <c r="P59" i="10"/>
  <c r="AJ16" i="18"/>
  <c r="O129" i="10"/>
  <c r="T147" i="10"/>
  <c r="T22" i="10"/>
  <c r="AB187" i="18"/>
  <c r="R112" i="10"/>
  <c r="W45" i="10"/>
  <c r="R52" i="10"/>
  <c r="Q153" i="10"/>
  <c r="AB140" i="18"/>
  <c r="R104" i="10"/>
  <c r="T82" i="10"/>
  <c r="R141" i="10"/>
  <c r="X101" i="10"/>
  <c r="AG181" i="18"/>
  <c r="T7" i="10"/>
  <c r="X95" i="10"/>
  <c r="O108" i="10"/>
  <c r="T198" i="10"/>
  <c r="AI20" i="18"/>
  <c r="AE46" i="18"/>
  <c r="V127" i="10"/>
  <c r="Q18" i="10"/>
  <c r="Q97" i="10"/>
  <c r="AG198" i="18"/>
  <c r="T51" i="10"/>
  <c r="AK25" i="18"/>
  <c r="V69" i="10"/>
  <c r="AG92" i="18"/>
  <c r="T83" i="10"/>
  <c r="AB159" i="18"/>
  <c r="U111" i="10"/>
  <c r="Q46" i="10"/>
  <c r="P76" i="10"/>
  <c r="T166" i="10"/>
  <c r="P119" i="10"/>
  <c r="R17" i="10"/>
  <c r="AK174" i="18"/>
  <c r="Q50" i="10"/>
  <c r="W197" i="10"/>
  <c r="R61" i="10"/>
  <c r="W32" i="10"/>
  <c r="AK69" i="18"/>
  <c r="P198" i="10"/>
  <c r="Q72" i="10"/>
  <c r="O131" i="10"/>
  <c r="O9" i="10"/>
  <c r="R169" i="10"/>
  <c r="AK125" i="18"/>
  <c r="P125" i="10"/>
  <c r="AH162" i="18"/>
  <c r="U185" i="10"/>
  <c r="AI186" i="18"/>
  <c r="O103" i="10"/>
  <c r="AB75" i="18"/>
  <c r="R94" i="10"/>
  <c r="R179" i="10"/>
  <c r="AG147" i="18"/>
  <c r="O90" i="10"/>
  <c r="O76" i="10"/>
  <c r="U43" i="10"/>
  <c r="R97" i="10"/>
  <c r="T8" i="10"/>
  <c r="T21" i="10"/>
  <c r="O29" i="10"/>
  <c r="V180" i="10"/>
  <c r="R165" i="10"/>
  <c r="R39" i="10"/>
  <c r="U54" i="10"/>
  <c r="T137" i="10"/>
  <c r="U202" i="10"/>
  <c r="Q135" i="10"/>
  <c r="V23" i="10"/>
  <c r="O154" i="10"/>
  <c r="AB151" i="18"/>
  <c r="P91" i="10"/>
  <c r="AJ122" i="18"/>
  <c r="V33" i="10"/>
  <c r="AJ188" i="18"/>
  <c r="O73" i="10"/>
  <c r="X19" i="10"/>
  <c r="U158" i="10"/>
  <c r="Q99" i="10"/>
  <c r="AJ115" i="18"/>
  <c r="Q63" i="10"/>
  <c r="Q55" i="10"/>
  <c r="Q89" i="10"/>
  <c r="X158" i="10"/>
  <c r="V195" i="10"/>
  <c r="T119" i="10"/>
  <c r="O14" i="10"/>
  <c r="W151" i="10"/>
  <c r="V169" i="10"/>
  <c r="X118" i="10"/>
  <c r="O168" i="10"/>
  <c r="O194" i="10"/>
  <c r="U42" i="10"/>
  <c r="R183" i="10"/>
  <c r="AH114" i="18"/>
  <c r="AE61" i="18"/>
  <c r="R189" i="10"/>
  <c r="V77" i="10"/>
  <c r="AK97" i="18"/>
  <c r="R144" i="10"/>
  <c r="AS61" i="17"/>
  <c r="AS264" i="17" s="1"/>
  <c r="M261" i="8"/>
  <c r="T43" i="1" l="1"/>
  <c r="N125" i="6" s="1"/>
  <c r="V125" i="6" s="1"/>
  <c r="V124" i="6" s="1"/>
  <c r="Y124" i="6" s="1"/>
  <c r="Y123" i="6" s="1"/>
  <c r="AD101" i="6"/>
  <c r="AD14" i="6"/>
  <c r="M103" i="1"/>
  <c r="N103" i="1"/>
  <c r="A103" i="1"/>
  <c r="N101" i="1"/>
  <c r="M101" i="1"/>
  <c r="A101" i="1" s="1"/>
  <c r="J8" i="7"/>
  <c r="Z63" i="7"/>
  <c r="M263" i="8"/>
  <c r="AA97" i="1"/>
  <c r="AC97" i="1" s="1"/>
  <c r="I4" i="7"/>
  <c r="M4" i="5"/>
  <c r="J5" i="7"/>
  <c r="AL14" i="6" l="1"/>
  <c r="N6" i="6"/>
  <c r="V6" i="6" s="1"/>
  <c r="V5" i="6" s="1"/>
  <c r="AL101" i="6"/>
  <c r="N93" i="6"/>
  <c r="V93" i="6" s="1"/>
  <c r="V92" i="6" s="1"/>
  <c r="H18" i="1"/>
  <c r="I124" i="6"/>
  <c r="I123" i="6" s="1"/>
  <c r="V123" i="6"/>
  <c r="D13" i="4"/>
  <c r="N4" i="5"/>
  <c r="J4" i="7"/>
  <c r="Y92" i="6" l="1"/>
  <c r="I92" i="6"/>
  <c r="J92" i="6" s="1"/>
  <c r="H14" i="1"/>
  <c r="H3" i="1"/>
  <c r="K3" i="1" s="1"/>
  <c r="Y5" i="6"/>
  <c r="Y4" i="6" s="1"/>
  <c r="I5" i="6"/>
  <c r="V4" i="6"/>
  <c r="AA101" i="1" s="1"/>
  <c r="AD105" i="6"/>
  <c r="AL105" i="6" s="1"/>
  <c r="AD18" i="6"/>
  <c r="AL18" i="6" s="1"/>
  <c r="P93" i="1"/>
  <c r="T93" i="1" s="1"/>
  <c r="Z270" i="7" s="1"/>
  <c r="N271" i="7" s="1"/>
  <c r="V271" i="7" s="1"/>
  <c r="V270" i="7" s="1"/>
  <c r="J124" i="6"/>
  <c r="J123" i="6" s="1"/>
  <c r="G10" i="5" s="1"/>
  <c r="K18" i="1"/>
  <c r="C9" i="9"/>
  <c r="F10" i="5"/>
  <c r="N40" i="1"/>
  <c r="N33" i="1"/>
  <c r="N34" i="1"/>
  <c r="N26" i="1"/>
  <c r="M40" i="1"/>
  <c r="A40" i="1" s="1"/>
  <c r="M33" i="1"/>
  <c r="A33" i="1" s="1"/>
  <c r="M34" i="1"/>
  <c r="M28" i="1"/>
  <c r="A34" i="1"/>
  <c r="M26" i="1"/>
  <c r="M65" i="1"/>
  <c r="N65" i="1"/>
  <c r="J5" i="6" l="1"/>
  <c r="J4" i="6" s="1"/>
  <c r="G4" i="5" s="1"/>
  <c r="I4" i="6"/>
  <c r="F4" i="5" s="1"/>
  <c r="P41" i="1"/>
  <c r="T41" i="1" s="1"/>
  <c r="N118" i="6" s="1"/>
  <c r="V118" i="6" s="1"/>
  <c r="V117" i="6" s="1"/>
  <c r="K14" i="1"/>
  <c r="N4" i="1"/>
  <c r="N3" i="1"/>
  <c r="A3" i="1"/>
  <c r="M3" i="1"/>
  <c r="M4" i="1"/>
  <c r="A7" i="1"/>
  <c r="A4" i="1"/>
  <c r="V269" i="7"/>
  <c r="Y269" i="7" s="1"/>
  <c r="H74" i="1"/>
  <c r="Y270" i="7"/>
  <c r="I270" i="7"/>
  <c r="I269" i="7" s="1"/>
  <c r="N18" i="1"/>
  <c r="N55" i="1"/>
  <c r="N54" i="1"/>
  <c r="A61" i="1"/>
  <c r="M61" i="1"/>
  <c r="M54" i="1"/>
  <c r="M55" i="1"/>
  <c r="N63" i="1"/>
  <c r="M63" i="1"/>
  <c r="N61" i="1"/>
  <c r="N28" i="1"/>
  <c r="A55" i="1"/>
  <c r="N21" i="1"/>
  <c r="M22" i="1"/>
  <c r="A54" i="1"/>
  <c r="N22" i="1"/>
  <c r="M21" i="1"/>
  <c r="A21" i="1" s="1"/>
  <c r="M18" i="1"/>
  <c r="A18" i="1" s="1"/>
  <c r="H16" i="1" l="1"/>
  <c r="Y117" i="6"/>
  <c r="Y91" i="6" s="1"/>
  <c r="Y183" i="6" s="1"/>
  <c r="I117" i="6"/>
  <c r="Y13" i="1"/>
  <c r="V91" i="6"/>
  <c r="V183" i="6" s="1"/>
  <c r="Y16" i="1" s="1"/>
  <c r="N14" i="1"/>
  <c r="A14" i="1" s="1"/>
  <c r="M14" i="1"/>
  <c r="J270" i="7"/>
  <c r="J269" i="7" s="1"/>
  <c r="N12" i="5" s="1"/>
  <c r="K74" i="1"/>
  <c r="N74" i="1" s="1"/>
  <c r="N110" i="1"/>
  <c r="M110" i="1"/>
  <c r="A110" i="1"/>
  <c r="M12" i="5"/>
  <c r="I91" i="6" l="1"/>
  <c r="J117" i="6"/>
  <c r="J91" i="6" s="1"/>
  <c r="K16" i="1"/>
  <c r="H41" i="1"/>
  <c r="Q6" i="8"/>
  <c r="AR6" i="1"/>
  <c r="AF3" i="8"/>
  <c r="Y12" i="1"/>
  <c r="M74" i="1"/>
  <c r="A74" i="1" s="1"/>
  <c r="AD106" i="6"/>
  <c r="AL106" i="6" s="1"/>
  <c r="AD19" i="6"/>
  <c r="AL19" i="6" s="1"/>
  <c r="AD107" i="6"/>
  <c r="AL107" i="6" s="1"/>
  <c r="AD20" i="6"/>
  <c r="AL20" i="6" s="1"/>
  <c r="M62" i="1" l="1"/>
  <c r="N62" i="1"/>
  <c r="N57" i="1"/>
  <c r="M57" i="1"/>
  <c r="N53" i="1"/>
  <c r="M53" i="1"/>
  <c r="M52" i="1"/>
  <c r="N52" i="1"/>
  <c r="M58" i="1"/>
  <c r="N58" i="1"/>
  <c r="N16" i="1"/>
  <c r="M16" i="1"/>
  <c r="A16" i="1" s="1"/>
  <c r="N50" i="1"/>
  <c r="M42" i="1"/>
  <c r="A59" i="1"/>
  <c r="N43" i="1"/>
  <c r="A26" i="1"/>
  <c r="A52" i="1"/>
  <c r="A57" i="1"/>
  <c r="M49" i="1"/>
  <c r="M43" i="1"/>
  <c r="M60" i="1"/>
  <c r="A60" i="1" s="1"/>
  <c r="A43" i="1"/>
  <c r="A53" i="1"/>
  <c r="N42" i="1"/>
  <c r="M56" i="1"/>
  <c r="M50" i="1"/>
  <c r="N56" i="1"/>
  <c r="N51" i="1"/>
  <c r="N49" i="1"/>
  <c r="A63" i="1"/>
  <c r="M64" i="1"/>
  <c r="A48" i="1"/>
  <c r="A22" i="1"/>
  <c r="N64" i="1"/>
  <c r="M51" i="1"/>
  <c r="A28" i="1"/>
  <c r="A51" i="1"/>
  <c r="A62" i="1"/>
  <c r="M48" i="1"/>
  <c r="A58" i="1"/>
  <c r="N48" i="1"/>
  <c r="A56" i="1"/>
  <c r="A49" i="1"/>
  <c r="A65" i="1"/>
  <c r="A64" i="1"/>
  <c r="N60" i="1"/>
  <c r="A50" i="1"/>
  <c r="A42" i="1"/>
  <c r="N59" i="1"/>
  <c r="M59" i="1"/>
  <c r="G9" i="5"/>
  <c r="G17" i="5" s="1"/>
  <c r="G9" i="4" s="1"/>
  <c r="J183" i="6"/>
  <c r="AR5" i="1"/>
  <c r="Q5" i="8"/>
  <c r="AF2" i="8"/>
  <c r="BD73" i="1"/>
  <c r="E3" i="3"/>
  <c r="F9" i="5"/>
  <c r="F17" i="5" s="1"/>
  <c r="E9" i="4" s="1"/>
  <c r="I183" i="6"/>
  <c r="B53" i="17"/>
  <c r="A53" i="17"/>
  <c r="D53" i="17" s="1"/>
  <c r="N240" i="7"/>
  <c r="V240" i="7" s="1"/>
  <c r="AI56" i="1" s="1"/>
  <c r="A54" i="17"/>
  <c r="D54" i="17" s="1"/>
  <c r="B54" i="17"/>
  <c r="N241" i="7"/>
  <c r="V241" i="7" s="1"/>
  <c r="AI57" i="1" s="1"/>
  <c r="Y62" i="1" l="1"/>
  <c r="Y61" i="1" s="1"/>
  <c r="N239" i="7" l="1"/>
  <c r="V239" i="7" s="1"/>
  <c r="V238" i="7" s="1"/>
  <c r="AI55" i="1" l="1"/>
  <c r="V237" i="7"/>
  <c r="Y237" i="7" s="1"/>
  <c r="H68" i="1"/>
  <c r="K68" i="1" s="1"/>
  <c r="I238" i="7"/>
  <c r="Y238" i="7"/>
  <c r="I237" i="7" l="1"/>
  <c r="M9" i="5" s="1"/>
  <c r="J238" i="7"/>
  <c r="J237" i="7" s="1"/>
  <c r="N9" i="5" s="1"/>
  <c r="F53" i="17"/>
  <c r="I53" i="17" s="1"/>
  <c r="N221" i="7"/>
  <c r="V221" i="7" s="1"/>
  <c r="E53" i="17"/>
  <c r="N222" i="7"/>
  <c r="V222" i="7" s="1"/>
  <c r="E54" i="17"/>
  <c r="F54" i="17"/>
  <c r="I54" i="17" s="1"/>
  <c r="AC62" i="1"/>
  <c r="N220" i="7" s="1"/>
  <c r="V220" i="7" s="1"/>
  <c r="V219" i="7" l="1"/>
  <c r="V192" i="7" s="1"/>
  <c r="H66" i="1"/>
  <c r="I219" i="7" l="1"/>
  <c r="I192" i="7" s="1"/>
  <c r="Y219" i="7"/>
  <c r="H138" i="1"/>
  <c r="H139" i="1" s="1"/>
  <c r="K66" i="1"/>
  <c r="V191" i="7"/>
  <c r="Y192" i="7"/>
  <c r="J219" i="7" l="1"/>
  <c r="J192" i="7" s="1"/>
  <c r="M72" i="1"/>
  <c r="A72" i="1" s="1"/>
  <c r="N72" i="1"/>
  <c r="M77" i="1"/>
  <c r="A77" i="1" s="1"/>
  <c r="M76" i="1"/>
  <c r="A76" i="1" s="1"/>
  <c r="N77" i="1"/>
  <c r="N76" i="1"/>
  <c r="M68" i="1"/>
  <c r="A68" i="1"/>
  <c r="N68" i="1"/>
  <c r="M8" i="5"/>
  <c r="M17" i="5" s="1"/>
  <c r="I191" i="7"/>
  <c r="I304" i="7" s="1"/>
  <c r="Y191" i="7"/>
  <c r="Y304" i="7" s="1"/>
  <c r="V304" i="7"/>
  <c r="Y17" i="1" s="1"/>
  <c r="Y18" i="1" s="1"/>
  <c r="N8" i="5"/>
  <c r="N17" i="5" s="1"/>
  <c r="J191" i="7"/>
  <c r="J304" i="7" s="1"/>
  <c r="N66" i="1"/>
  <c r="M66" i="1"/>
  <c r="A66" i="1"/>
  <c r="T169" i="18" l="1"/>
  <c r="Q61" i="18"/>
  <c r="T177" i="18"/>
  <c r="U148" i="18"/>
  <c r="U17" i="18"/>
  <c r="T137" i="18"/>
  <c r="T91" i="18"/>
  <c r="T58" i="18"/>
  <c r="R140" i="18"/>
  <c r="T102" i="18"/>
  <c r="T191" i="18"/>
  <c r="T68" i="18"/>
  <c r="Q121" i="18"/>
  <c r="U186" i="18"/>
  <c r="T173" i="18"/>
  <c r="R155" i="18"/>
  <c r="Q172" i="18"/>
  <c r="U81" i="18"/>
  <c r="Q45" i="18"/>
  <c r="Q14" i="18"/>
  <c r="R12" i="18"/>
  <c r="U104" i="18"/>
  <c r="T144" i="18"/>
  <c r="T32" i="18"/>
  <c r="R43" i="18"/>
  <c r="U143" i="18"/>
  <c r="Q194" i="18"/>
  <c r="T117" i="18"/>
  <c r="Q127" i="18"/>
  <c r="Q102" i="18"/>
  <c r="T125" i="18"/>
  <c r="U101" i="18"/>
  <c r="Q100" i="18"/>
  <c r="U150" i="18"/>
  <c r="U40" i="18"/>
  <c r="S87" i="18"/>
  <c r="O87" i="18" s="1"/>
  <c r="U60" i="18"/>
  <c r="R95" i="18"/>
  <c r="Q20" i="18"/>
  <c r="Q24" i="18"/>
  <c r="T88" i="18"/>
  <c r="T131" i="18"/>
  <c r="T97" i="18"/>
  <c r="T111" i="18"/>
  <c r="U105" i="18"/>
  <c r="R197" i="18"/>
  <c r="Q153" i="18"/>
  <c r="U8" i="18"/>
  <c r="U83" i="18"/>
  <c r="T192" i="18"/>
  <c r="Q31" i="18"/>
  <c r="R128" i="18"/>
  <c r="U134" i="18"/>
  <c r="U110" i="18"/>
  <c r="Q180" i="18"/>
  <c r="U23" i="18"/>
  <c r="T85" i="18"/>
  <c r="Q126" i="18"/>
  <c r="U86" i="18"/>
  <c r="U168" i="18"/>
  <c r="S45" i="18"/>
  <c r="O45" i="18" s="1"/>
  <c r="Q145" i="18"/>
  <c r="R182" i="18"/>
  <c r="R56" i="18"/>
  <c r="S144" i="18"/>
  <c r="O144" i="18" s="1"/>
  <c r="Q154" i="18"/>
  <c r="R74" i="18"/>
  <c r="R165" i="18"/>
  <c r="R82" i="18"/>
  <c r="T179" i="18"/>
  <c r="R80" i="18"/>
  <c r="T49" i="18"/>
  <c r="U96" i="18"/>
  <c r="Q15" i="18"/>
  <c r="U146" i="18"/>
  <c r="Q142" i="18"/>
  <c r="U49" i="18"/>
  <c r="Q23" i="18"/>
  <c r="U151" i="18"/>
  <c r="T126" i="18"/>
  <c r="R131" i="18"/>
  <c r="U164" i="18"/>
  <c r="T31" i="18"/>
  <c r="U87" i="18"/>
  <c r="R81" i="18"/>
  <c r="T75" i="18"/>
  <c r="T200" i="18"/>
  <c r="Q26" i="18"/>
  <c r="Q37" i="18"/>
  <c r="T160" i="18"/>
  <c r="U41" i="18"/>
  <c r="U10" i="18"/>
  <c r="U125" i="18"/>
  <c r="Q119" i="18"/>
  <c r="T154" i="18"/>
  <c r="R175" i="18"/>
  <c r="U51" i="18"/>
  <c r="U191" i="18"/>
  <c r="Q97" i="18"/>
  <c r="R159" i="18"/>
  <c r="U193" i="18"/>
  <c r="U84" i="18"/>
  <c r="U183" i="18"/>
  <c r="T196" i="18"/>
  <c r="R52" i="18"/>
  <c r="U179" i="18"/>
  <c r="T11" i="18"/>
  <c r="R58" i="18"/>
  <c r="T72" i="18"/>
  <c r="T195" i="18"/>
  <c r="U152" i="18"/>
  <c r="T178" i="18"/>
  <c r="R114" i="18"/>
  <c r="U177" i="18"/>
  <c r="R84" i="18"/>
  <c r="Q21" i="18"/>
  <c r="U53" i="18"/>
  <c r="U30" i="18"/>
  <c r="T93" i="18"/>
  <c r="R100" i="18"/>
  <c r="R186" i="18"/>
  <c r="S152" i="18"/>
  <c r="O152" i="18" s="1"/>
  <c r="S73" i="18"/>
  <c r="O73" i="18" s="1"/>
  <c r="Q101" i="18"/>
  <c r="R94" i="18"/>
  <c r="R92" i="18"/>
  <c r="R30" i="18"/>
  <c r="U109" i="18"/>
  <c r="R7" i="18"/>
  <c r="U178" i="18"/>
  <c r="Q66" i="18"/>
  <c r="R36" i="18"/>
  <c r="T81" i="18"/>
  <c r="U78" i="18"/>
  <c r="U100" i="18"/>
  <c r="R173" i="18"/>
  <c r="R139" i="18"/>
  <c r="R4" i="18"/>
  <c r="T186" i="18"/>
  <c r="R20" i="18"/>
  <c r="R187" i="18"/>
  <c r="U188" i="18"/>
  <c r="T25" i="18"/>
  <c r="U33" i="18"/>
  <c r="U166" i="18"/>
  <c r="Q105" i="18"/>
  <c r="T36" i="18"/>
  <c r="U198" i="18"/>
  <c r="R25" i="18"/>
  <c r="Q51" i="18"/>
  <c r="Q179" i="18"/>
  <c r="T123" i="18"/>
  <c r="U7" i="18"/>
  <c r="U95" i="18"/>
  <c r="U12" i="18"/>
  <c r="T185" i="18"/>
  <c r="T135" i="18"/>
  <c r="T19" i="18"/>
  <c r="R177" i="18"/>
  <c r="U90" i="18"/>
  <c r="T174" i="18"/>
  <c r="Q62" i="18"/>
  <c r="U159" i="18"/>
  <c r="R118" i="18"/>
  <c r="T132" i="18"/>
  <c r="R151" i="18"/>
  <c r="T8" i="18"/>
  <c r="T61" i="18"/>
  <c r="R198" i="18"/>
  <c r="T10" i="18"/>
  <c r="R54" i="18"/>
  <c r="T51" i="18"/>
  <c r="T162" i="18"/>
  <c r="Q59" i="18"/>
  <c r="T183" i="18"/>
  <c r="R193" i="18"/>
  <c r="Q86" i="18"/>
  <c r="R3" i="18"/>
  <c r="R49" i="18"/>
  <c r="R162" i="18"/>
  <c r="U42" i="18"/>
  <c r="R153" i="18"/>
  <c r="U39" i="18"/>
  <c r="U15" i="18"/>
  <c r="Q83" i="18"/>
  <c r="U141" i="18"/>
  <c r="T30" i="18"/>
  <c r="U121" i="18"/>
  <c r="U106" i="18"/>
  <c r="T41" i="18"/>
  <c r="T116" i="18"/>
  <c r="Q110" i="18"/>
  <c r="R90" i="18"/>
  <c r="T38" i="18"/>
  <c r="Q42" i="18"/>
  <c r="Q43" i="18"/>
  <c r="Q193" i="18"/>
  <c r="T94" i="18"/>
  <c r="Q139" i="18"/>
  <c r="Q53" i="18"/>
  <c r="Q171" i="18"/>
  <c r="R117" i="18"/>
  <c r="T120" i="18"/>
  <c r="R134" i="18"/>
  <c r="T121" i="18"/>
  <c r="R195" i="18"/>
  <c r="U22" i="18"/>
  <c r="T22" i="18"/>
  <c r="S47" i="18"/>
  <c r="O47" i="18" s="1"/>
  <c r="U80" i="18"/>
  <c r="T118" i="18"/>
  <c r="R194" i="18"/>
  <c r="Q76" i="18"/>
  <c r="Q92" i="18"/>
  <c r="T158" i="18"/>
  <c r="Q64" i="18"/>
  <c r="Q165" i="18"/>
  <c r="Q200" i="18"/>
  <c r="R42" i="18"/>
  <c r="T156" i="18"/>
  <c r="Q202" i="18"/>
  <c r="R133" i="18"/>
  <c r="R150" i="18"/>
  <c r="U55" i="18"/>
  <c r="R68" i="18"/>
  <c r="U120" i="18"/>
  <c r="T143" i="18"/>
  <c r="U155" i="18"/>
  <c r="R163" i="18"/>
  <c r="Q75" i="18"/>
  <c r="Q104" i="18"/>
  <c r="T77" i="18"/>
  <c r="R192" i="18"/>
  <c r="U170" i="18"/>
  <c r="U199" i="18"/>
  <c r="R119" i="18"/>
  <c r="Q133" i="18"/>
  <c r="R83" i="18"/>
  <c r="U18" i="18"/>
  <c r="T34" i="18"/>
  <c r="U107" i="18"/>
  <c r="U58" i="18"/>
  <c r="R29" i="18"/>
  <c r="Q32" i="18"/>
  <c r="Q166" i="18"/>
  <c r="U16" i="18"/>
  <c r="R13" i="18"/>
  <c r="R141" i="18"/>
  <c r="T153" i="18"/>
  <c r="R15" i="18"/>
  <c r="U74" i="18"/>
  <c r="U201" i="18"/>
  <c r="T155" i="18"/>
  <c r="T108" i="18"/>
  <c r="T16" i="18"/>
  <c r="S17" i="18"/>
  <c r="O17" i="18" s="1"/>
  <c r="R102" i="18"/>
  <c r="Q115" i="18"/>
  <c r="R183" i="18"/>
  <c r="U76" i="18"/>
  <c r="U157" i="18"/>
  <c r="U9" i="18"/>
  <c r="U72" i="18"/>
  <c r="U162" i="18"/>
  <c r="R149" i="18"/>
  <c r="U19" i="18"/>
  <c r="T27" i="18"/>
  <c r="Q192" i="18"/>
  <c r="U31" i="18"/>
  <c r="U124" i="18"/>
  <c r="R63" i="18"/>
  <c r="R179" i="18"/>
  <c r="T187" i="18"/>
  <c r="T104" i="18"/>
  <c r="U69" i="18"/>
  <c r="R147" i="18"/>
  <c r="R143" i="18"/>
  <c r="T28" i="18"/>
  <c r="R125" i="18"/>
  <c r="T171" i="18"/>
  <c r="Q12" i="18"/>
  <c r="Q188" i="18"/>
  <c r="U140" i="18"/>
  <c r="T18" i="18"/>
  <c r="Q123" i="18"/>
  <c r="U99" i="18"/>
  <c r="U102" i="18"/>
  <c r="R112" i="18"/>
  <c r="T33" i="18"/>
  <c r="R59" i="18"/>
  <c r="Q85" i="18"/>
  <c r="R111" i="18"/>
  <c r="R127" i="18"/>
  <c r="T190" i="18"/>
  <c r="R107" i="18"/>
  <c r="T20" i="18"/>
  <c r="S182" i="18"/>
  <c r="O182" i="18" s="1"/>
  <c r="Q186" i="18"/>
  <c r="Q159" i="18"/>
  <c r="T130" i="18"/>
  <c r="U123" i="18"/>
  <c r="U68" i="18"/>
  <c r="Q151" i="18"/>
  <c r="R199" i="18"/>
  <c r="U50" i="18"/>
  <c r="S109" i="18"/>
  <c r="O109" i="18" s="1"/>
  <c r="T40" i="18"/>
  <c r="S95" i="18"/>
  <c r="O95" i="18" s="1"/>
  <c r="U192" i="18"/>
  <c r="T145" i="18"/>
  <c r="T152" i="18"/>
  <c r="U70" i="18"/>
  <c r="U108" i="18"/>
  <c r="T109" i="18"/>
  <c r="R55" i="18"/>
  <c r="Q113" i="18"/>
  <c r="T128" i="18"/>
  <c r="T106" i="18"/>
  <c r="R72" i="18"/>
  <c r="T44" i="18"/>
  <c r="Q98" i="18"/>
  <c r="T165" i="18"/>
  <c r="Q175" i="18"/>
  <c r="U3" i="18"/>
  <c r="U128" i="18"/>
  <c r="R146" i="18"/>
  <c r="R167" i="18"/>
  <c r="Q183" i="18"/>
  <c r="R39" i="18"/>
  <c r="Q87" i="18"/>
  <c r="R191" i="18"/>
  <c r="R123" i="18"/>
  <c r="U160" i="18"/>
  <c r="T24" i="18"/>
  <c r="Q72" i="18"/>
  <c r="R120" i="18"/>
  <c r="U111" i="18"/>
  <c r="U147" i="18"/>
  <c r="R130" i="18"/>
  <c r="Q187" i="18"/>
  <c r="R184" i="18"/>
  <c r="R144" i="18"/>
  <c r="S114" i="18"/>
  <c r="O114" i="18" s="1"/>
  <c r="U133" i="18"/>
  <c r="U98" i="18"/>
  <c r="S91" i="18"/>
  <c r="O91" i="18" s="1"/>
  <c r="S159" i="18"/>
  <c r="O159" i="18" s="1"/>
  <c r="Q99" i="18"/>
  <c r="Q46" i="18"/>
  <c r="Q77" i="18"/>
  <c r="S64" i="18"/>
  <c r="O64" i="18" s="1"/>
  <c r="S119" i="18"/>
  <c r="O119" i="18" s="1"/>
  <c r="S116" i="18"/>
  <c r="O116" i="18" s="1"/>
  <c r="R145" i="18"/>
  <c r="Q155" i="18"/>
  <c r="U103" i="18"/>
  <c r="Q68" i="18"/>
  <c r="S48" i="18"/>
  <c r="O48" i="18" s="1"/>
  <c r="R115" i="18"/>
  <c r="T17" i="18"/>
  <c r="S15" i="18"/>
  <c r="O15" i="18" s="1"/>
  <c r="S99" i="18"/>
  <c r="O99" i="18" s="1"/>
  <c r="S153" i="18"/>
  <c r="O153" i="18" s="1"/>
  <c r="S168" i="18"/>
  <c r="O168" i="18" s="1"/>
  <c r="S69" i="18"/>
  <c r="O69" i="18" s="1"/>
  <c r="S6" i="18"/>
  <c r="O6" i="18" s="1"/>
  <c r="U161" i="18"/>
  <c r="T166" i="18"/>
  <c r="S134" i="18"/>
  <c r="O134" i="18" s="1"/>
  <c r="S128" i="18"/>
  <c r="O128" i="18" s="1"/>
  <c r="S98" i="18"/>
  <c r="O98" i="18" s="1"/>
  <c r="R18" i="18"/>
  <c r="R79" i="18"/>
  <c r="U118" i="18"/>
  <c r="T138" i="18"/>
  <c r="T55" i="18"/>
  <c r="R188" i="18"/>
  <c r="U73" i="18"/>
  <c r="R65" i="18"/>
  <c r="T54" i="18"/>
  <c r="S35" i="18"/>
  <c r="O35" i="18" s="1"/>
  <c r="T92" i="18"/>
  <c r="R168" i="18"/>
  <c r="U194" i="18"/>
  <c r="U67" i="18"/>
  <c r="S46" i="18"/>
  <c r="O46" i="18" s="1"/>
  <c r="Q103" i="18"/>
  <c r="S16" i="18"/>
  <c r="O16" i="18" s="1"/>
  <c r="S192" i="18"/>
  <c r="O192" i="18" s="1"/>
  <c r="R158" i="18"/>
  <c r="S66" i="18"/>
  <c r="O66" i="18" s="1"/>
  <c r="S76" i="18"/>
  <c r="O76" i="18" s="1"/>
  <c r="S29" i="18"/>
  <c r="O29" i="18" s="1"/>
  <c r="R66" i="18"/>
  <c r="S140" i="18"/>
  <c r="O140" i="18" s="1"/>
  <c r="U37" i="18"/>
  <c r="Q10" i="18"/>
  <c r="Q111" i="18"/>
  <c r="S49" i="18"/>
  <c r="O49" i="18" s="1"/>
  <c r="S178" i="18"/>
  <c r="O178" i="18" s="1"/>
  <c r="U138" i="18"/>
  <c r="Q150" i="18"/>
  <c r="T9" i="18"/>
  <c r="S39" i="18"/>
  <c r="O39" i="18" s="1"/>
  <c r="S196" i="18"/>
  <c r="O196" i="18" s="1"/>
  <c r="T112" i="18"/>
  <c r="U14" i="18"/>
  <c r="T194" i="18"/>
  <c r="S88" i="18"/>
  <c r="O88" i="18" s="1"/>
  <c r="U32" i="18"/>
  <c r="S8" i="18"/>
  <c r="O8" i="18" s="1"/>
  <c r="S71" i="18"/>
  <c r="O71" i="18" s="1"/>
  <c r="S63" i="18"/>
  <c r="O63" i="18" s="1"/>
  <c r="Q157" i="18"/>
  <c r="T82" i="18"/>
  <c r="S85" i="18"/>
  <c r="O85" i="18" s="1"/>
  <c r="Q67" i="18"/>
  <c r="S172" i="18"/>
  <c r="O172" i="18" s="1"/>
  <c r="S163" i="18"/>
  <c r="O163" i="18" s="1"/>
  <c r="S97" i="18"/>
  <c r="O97" i="18" s="1"/>
  <c r="T193" i="18"/>
  <c r="Q170" i="18"/>
  <c r="S77" i="18"/>
  <c r="O77" i="18" s="1"/>
  <c r="Q160" i="18"/>
  <c r="R116" i="18"/>
  <c r="R196" i="18"/>
  <c r="T79" i="18"/>
  <c r="R154" i="18"/>
  <c r="T84" i="18"/>
  <c r="Q107" i="18"/>
  <c r="U184" i="18"/>
  <c r="U57" i="18"/>
  <c r="T23" i="18"/>
  <c r="U56" i="18"/>
  <c r="T89" i="18"/>
  <c r="T115" i="18"/>
  <c r="U75" i="18"/>
  <c r="Q57" i="18"/>
  <c r="U20" i="18"/>
  <c r="U182" i="18"/>
  <c r="R78" i="18"/>
  <c r="T63" i="18"/>
  <c r="R47" i="18"/>
  <c r="U113" i="18"/>
  <c r="T161" i="18"/>
  <c r="Q79" i="18"/>
  <c r="U180" i="18"/>
  <c r="Q191" i="18"/>
  <c r="T21" i="18"/>
  <c r="T159" i="18"/>
  <c r="T90" i="18"/>
  <c r="Q44" i="18"/>
  <c r="T172" i="18"/>
  <c r="Q48" i="18"/>
  <c r="U38" i="18"/>
  <c r="Q152" i="18"/>
  <c r="R157" i="18"/>
  <c r="U149" i="18"/>
  <c r="T13" i="18"/>
  <c r="R105" i="18"/>
  <c r="U28" i="18"/>
  <c r="T37" i="18"/>
  <c r="T133" i="18"/>
  <c r="U61" i="18"/>
  <c r="U88" i="18"/>
  <c r="U52" i="18"/>
  <c r="U71" i="18"/>
  <c r="R129" i="18"/>
  <c r="Q91" i="18"/>
  <c r="R185" i="18"/>
  <c r="U116" i="18"/>
  <c r="T201" i="18"/>
  <c r="U187" i="18"/>
  <c r="S135" i="18"/>
  <c r="O135" i="18" s="1"/>
  <c r="Q94" i="18"/>
  <c r="Q135" i="18"/>
  <c r="U117" i="18"/>
  <c r="U189" i="18"/>
  <c r="R98" i="18"/>
  <c r="Q164" i="18"/>
  <c r="R190" i="18"/>
  <c r="T129" i="18"/>
  <c r="T146" i="18"/>
  <c r="Q4" i="18"/>
  <c r="Q82" i="18"/>
  <c r="U144" i="18"/>
  <c r="T98" i="18"/>
  <c r="R27" i="18"/>
  <c r="T29" i="18"/>
  <c r="U44" i="18"/>
  <c r="T140" i="18"/>
  <c r="T199" i="18"/>
  <c r="T43" i="18"/>
  <c r="U131" i="18"/>
  <c r="S3" i="18"/>
  <c r="O3" i="18" s="1"/>
  <c r="U36" i="18"/>
  <c r="Q34" i="18"/>
  <c r="R132" i="18"/>
  <c r="U25" i="18"/>
  <c r="R121" i="18"/>
  <c r="T147" i="18"/>
  <c r="T168" i="18"/>
  <c r="T67" i="18"/>
  <c r="T3" i="18"/>
  <c r="U97" i="18"/>
  <c r="U65" i="18"/>
  <c r="R109" i="18"/>
  <c r="R35" i="18"/>
  <c r="T74" i="18"/>
  <c r="T59" i="18"/>
  <c r="U153" i="18"/>
  <c r="S18" i="18"/>
  <c r="O18" i="18" s="1"/>
  <c r="U63" i="18"/>
  <c r="Q195" i="18"/>
  <c r="T64" i="18"/>
  <c r="R89" i="18"/>
  <c r="S184" i="18"/>
  <c r="O184" i="18" s="1"/>
  <c r="T47" i="18"/>
  <c r="Q7" i="18"/>
  <c r="S181" i="18"/>
  <c r="O181" i="18" s="1"/>
  <c r="R44" i="18"/>
  <c r="S197" i="18"/>
  <c r="O197" i="18" s="1"/>
  <c r="T96" i="18"/>
  <c r="Q5" i="18"/>
  <c r="R189" i="18"/>
  <c r="Q156" i="18"/>
  <c r="S96" i="18"/>
  <c r="O96" i="18" s="1"/>
  <c r="Q125" i="18"/>
  <c r="R101" i="18"/>
  <c r="T73" i="18"/>
  <c r="R93" i="18"/>
  <c r="S5" i="18"/>
  <c r="O5" i="18" s="1"/>
  <c r="S50" i="18"/>
  <c r="O50" i="18" s="1"/>
  <c r="S175" i="18"/>
  <c r="O175" i="18" s="1"/>
  <c r="Q199" i="18"/>
  <c r="S142" i="18"/>
  <c r="O142" i="18" s="1"/>
  <c r="T189" i="18"/>
  <c r="S189" i="18"/>
  <c r="O189" i="18" s="1"/>
  <c r="S40" i="18"/>
  <c r="O40" i="18" s="1"/>
  <c r="S28" i="18"/>
  <c r="O28" i="18" s="1"/>
  <c r="S55" i="18"/>
  <c r="O55" i="18" s="1"/>
  <c r="S113" i="18"/>
  <c r="O113" i="18" s="1"/>
  <c r="Q132" i="18"/>
  <c r="U115" i="18"/>
  <c r="R17" i="18"/>
  <c r="S187" i="18"/>
  <c r="O187" i="18" s="1"/>
  <c r="S129" i="18"/>
  <c r="O129" i="18" s="1"/>
  <c r="Q158" i="18"/>
  <c r="U26" i="18"/>
  <c r="Q131" i="18"/>
  <c r="S161" i="18"/>
  <c r="O161" i="18" s="1"/>
  <c r="S173" i="18"/>
  <c r="O173" i="18" s="1"/>
  <c r="Q73" i="18"/>
  <c r="T202" i="18"/>
  <c r="U119" i="18"/>
  <c r="Q182" i="18"/>
  <c r="S82" i="18"/>
  <c r="O82" i="18" s="1"/>
  <c r="Q146" i="18"/>
  <c r="S193" i="18"/>
  <c r="O193" i="18" s="1"/>
  <c r="S38" i="18"/>
  <c r="O38" i="18" s="1"/>
  <c r="S183" i="18"/>
  <c r="O183" i="18" s="1"/>
  <c r="S25" i="18"/>
  <c r="O25" i="18" s="1"/>
  <c r="S9" i="18"/>
  <c r="O9" i="18" s="1"/>
  <c r="S195" i="18"/>
  <c r="O195" i="18" s="1"/>
  <c r="S102" i="18"/>
  <c r="O102" i="18" s="1"/>
  <c r="S79" i="18"/>
  <c r="O79" i="18" s="1"/>
  <c r="R160" i="18"/>
  <c r="Q40" i="18"/>
  <c r="Q19" i="18"/>
  <c r="S36" i="18"/>
  <c r="O36" i="18" s="1"/>
  <c r="S125" i="18"/>
  <c r="O125" i="18" s="1"/>
  <c r="Q176" i="18"/>
  <c r="S59" i="18"/>
  <c r="O59" i="18" s="1"/>
  <c r="Q54" i="18"/>
  <c r="S84" i="18"/>
  <c r="O84" i="18" s="1"/>
  <c r="R124" i="18"/>
  <c r="R87" i="18"/>
  <c r="S106" i="18"/>
  <c r="O106" i="18" s="1"/>
  <c r="R103" i="18"/>
  <c r="S133" i="18"/>
  <c r="O133" i="18" s="1"/>
  <c r="T69" i="18"/>
  <c r="S101" i="18"/>
  <c r="O101" i="18" s="1"/>
  <c r="S27" i="18"/>
  <c r="O27" i="18" s="1"/>
  <c r="R137" i="18"/>
  <c r="S7" i="18"/>
  <c r="O7" i="18" s="1"/>
  <c r="S58" i="18"/>
  <c r="O58" i="18" s="1"/>
  <c r="U77" i="18"/>
  <c r="U62" i="18"/>
  <c r="S65" i="18"/>
  <c r="O65" i="18" s="1"/>
  <c r="T176" i="18"/>
  <c r="R110" i="18"/>
  <c r="T5" i="18"/>
  <c r="T76" i="18"/>
  <c r="Q136" i="18"/>
  <c r="U35" i="18"/>
  <c r="U24" i="18"/>
  <c r="U11" i="18"/>
  <c r="U137" i="18"/>
  <c r="U175" i="18"/>
  <c r="U29" i="18"/>
  <c r="Q108" i="18"/>
  <c r="Q106" i="18"/>
  <c r="Q190" i="18"/>
  <c r="U195" i="18"/>
  <c r="U54" i="18"/>
  <c r="R45" i="18"/>
  <c r="Q71" i="18"/>
  <c r="U169" i="18"/>
  <c r="Q80" i="18"/>
  <c r="Q89" i="18"/>
  <c r="Q47" i="18"/>
  <c r="R75" i="18"/>
  <c r="U92" i="18"/>
  <c r="R152" i="18"/>
  <c r="U27" i="18"/>
  <c r="Q52" i="18"/>
  <c r="U185" i="18"/>
  <c r="U136" i="18"/>
  <c r="R8" i="18"/>
  <c r="R202" i="18"/>
  <c r="U85" i="18"/>
  <c r="T164" i="18"/>
  <c r="T4" i="18"/>
  <c r="Q78" i="18"/>
  <c r="T83" i="18"/>
  <c r="R85" i="18"/>
  <c r="Q39" i="18"/>
  <c r="U46" i="18"/>
  <c r="T141" i="18"/>
  <c r="R142" i="18"/>
  <c r="R48" i="18"/>
  <c r="R28" i="18"/>
  <c r="T181" i="18"/>
  <c r="Q27" i="18"/>
  <c r="Q144" i="18"/>
  <c r="T182" i="18"/>
  <c r="R32" i="18"/>
  <c r="T113" i="18"/>
  <c r="T103" i="18"/>
  <c r="T151" i="18"/>
  <c r="Q149" i="18"/>
  <c r="T42" i="18"/>
  <c r="R62" i="18"/>
  <c r="U190" i="18"/>
  <c r="S179" i="18"/>
  <c r="O179" i="18" s="1"/>
  <c r="Q178" i="18"/>
  <c r="R126" i="18"/>
  <c r="U196" i="18"/>
  <c r="Q17" i="18"/>
  <c r="R171" i="18"/>
  <c r="R10" i="18"/>
  <c r="R148" i="18"/>
  <c r="R122" i="18"/>
  <c r="R22" i="18"/>
  <c r="R76" i="18"/>
  <c r="R57" i="18"/>
  <c r="Q169" i="18"/>
  <c r="R64" i="18"/>
  <c r="T71" i="18"/>
  <c r="Q6" i="18"/>
  <c r="U197" i="18"/>
  <c r="T197" i="18"/>
  <c r="R9" i="18"/>
  <c r="T56" i="18"/>
  <c r="U129" i="18"/>
  <c r="Q201" i="18"/>
  <c r="T66" i="18"/>
  <c r="Q163" i="18"/>
  <c r="Q8" i="18"/>
  <c r="Q124" i="18"/>
  <c r="T148" i="18"/>
  <c r="T157" i="18"/>
  <c r="U64" i="18"/>
  <c r="Q141" i="18"/>
  <c r="R86" i="18"/>
  <c r="R136" i="18"/>
  <c r="U66" i="18"/>
  <c r="U59" i="18"/>
  <c r="R99" i="18"/>
  <c r="R16" i="18"/>
  <c r="T48" i="18"/>
  <c r="R135" i="18"/>
  <c r="R181" i="18"/>
  <c r="T62" i="18"/>
  <c r="T198" i="18"/>
  <c r="S20" i="18"/>
  <c r="O20" i="18" s="1"/>
  <c r="Q120" i="18"/>
  <c r="Q38" i="18"/>
  <c r="Q189" i="18"/>
  <c r="T95" i="18"/>
  <c r="S120" i="18"/>
  <c r="O120" i="18" s="1"/>
  <c r="S70" i="18"/>
  <c r="O70" i="18" s="1"/>
  <c r="Q41" i="18"/>
  <c r="Q29" i="18"/>
  <c r="U5" i="18"/>
  <c r="S148" i="18"/>
  <c r="O148" i="18" s="1"/>
  <c r="S61" i="18"/>
  <c r="O61" i="18" s="1"/>
  <c r="S202" i="18"/>
  <c r="O202" i="18" s="1"/>
  <c r="T80" i="18"/>
  <c r="S124" i="18"/>
  <c r="O124" i="18" s="1"/>
  <c r="R24" i="18"/>
  <c r="S37" i="18"/>
  <c r="O37" i="18" s="1"/>
  <c r="Q33" i="18"/>
  <c r="R60" i="18"/>
  <c r="S147" i="18"/>
  <c r="O147" i="18" s="1"/>
  <c r="T35" i="18"/>
  <c r="S150" i="18"/>
  <c r="O150" i="18" s="1"/>
  <c r="S67" i="18"/>
  <c r="O67" i="18" s="1"/>
  <c r="S44" i="18"/>
  <c r="O44" i="18" s="1"/>
  <c r="T170" i="18"/>
  <c r="S86" i="18"/>
  <c r="O86" i="18" s="1"/>
  <c r="S24" i="18"/>
  <c r="O24" i="18" s="1"/>
  <c r="S30" i="18"/>
  <c r="O30" i="18" s="1"/>
  <c r="Q118" i="18"/>
  <c r="T53" i="18"/>
  <c r="S13" i="18"/>
  <c r="O13" i="18" s="1"/>
  <c r="S4" i="18"/>
  <c r="O4" i="18" s="1"/>
  <c r="U94" i="18"/>
  <c r="U145" i="18"/>
  <c r="T86" i="18"/>
  <c r="S60" i="18"/>
  <c r="O60" i="18" s="1"/>
  <c r="Q22" i="18"/>
  <c r="Q181" i="18"/>
  <c r="Q95" i="18"/>
  <c r="T100" i="18"/>
  <c r="S14" i="18"/>
  <c r="O14" i="18" s="1"/>
  <c r="S194" i="18"/>
  <c r="O194" i="18" s="1"/>
  <c r="S74" i="18"/>
  <c r="O74" i="18" s="1"/>
  <c r="T65" i="18"/>
  <c r="S94" i="18"/>
  <c r="O94" i="18" s="1"/>
  <c r="U79" i="18"/>
  <c r="S111" i="18"/>
  <c r="O111" i="18" s="1"/>
  <c r="S105" i="18"/>
  <c r="O105" i="18" s="1"/>
  <c r="S115" i="18"/>
  <c r="O115" i="18" s="1"/>
  <c r="U156" i="18"/>
  <c r="T149" i="18"/>
  <c r="Q70" i="18"/>
  <c r="Q177" i="18"/>
  <c r="R164" i="18"/>
  <c r="S166" i="18"/>
  <c r="O166" i="18" s="1"/>
  <c r="T78" i="18"/>
  <c r="Q50" i="18"/>
  <c r="R113" i="18"/>
  <c r="T139" i="18"/>
  <c r="Q11" i="18"/>
  <c r="U171" i="18"/>
  <c r="U126" i="18"/>
  <c r="R108" i="18"/>
  <c r="R170" i="18"/>
  <c r="S19" i="18"/>
  <c r="O19" i="18" s="1"/>
  <c r="R104" i="18"/>
  <c r="S107" i="18"/>
  <c r="O107" i="18" s="1"/>
  <c r="U13" i="18"/>
  <c r="U122" i="18"/>
  <c r="S164" i="18"/>
  <c r="O164" i="18" s="1"/>
  <c r="Q168" i="18"/>
  <c r="Q148" i="18"/>
  <c r="T46" i="18"/>
  <c r="S170" i="18"/>
  <c r="O170" i="18" s="1"/>
  <c r="S158" i="18"/>
  <c r="O158" i="18" s="1"/>
  <c r="R169" i="18"/>
  <c r="Q198" i="18"/>
  <c r="U93" i="18"/>
  <c r="U142" i="18"/>
  <c r="T184" i="18"/>
  <c r="Q56" i="18"/>
  <c r="Q184" i="18"/>
  <c r="T60" i="18"/>
  <c r="R156" i="18"/>
  <c r="Q173" i="18"/>
  <c r="S200" i="18"/>
  <c r="O200" i="18" s="1"/>
  <c r="T50" i="18"/>
  <c r="R11" i="18"/>
  <c r="R37" i="18"/>
  <c r="T39" i="18"/>
  <c r="R161" i="18"/>
  <c r="R6" i="18"/>
  <c r="Q16" i="18"/>
  <c r="Q174" i="18"/>
  <c r="Q49" i="18"/>
  <c r="R73" i="18"/>
  <c r="Q30" i="18"/>
  <c r="Q130" i="18"/>
  <c r="Q81" i="18"/>
  <c r="S53" i="18"/>
  <c r="O53" i="18" s="1"/>
  <c r="S56" i="18"/>
  <c r="O56" i="18" s="1"/>
  <c r="S156" i="18"/>
  <c r="O156" i="18" s="1"/>
  <c r="R106" i="18"/>
  <c r="R53" i="18"/>
  <c r="T107" i="18"/>
  <c r="S123" i="18"/>
  <c r="O123" i="18" s="1"/>
  <c r="S162" i="18"/>
  <c r="O162" i="18" s="1"/>
  <c r="Q18" i="18"/>
  <c r="S145" i="18"/>
  <c r="O145" i="18" s="1"/>
  <c r="S188" i="18"/>
  <c r="O188" i="18" s="1"/>
  <c r="S100" i="18"/>
  <c r="O100" i="18" s="1"/>
  <c r="S11" i="18"/>
  <c r="O11" i="18" s="1"/>
  <c r="S127" i="18"/>
  <c r="O127" i="18" s="1"/>
  <c r="T87" i="18"/>
  <c r="Q147" i="18"/>
  <c r="S42" i="18"/>
  <c r="O42" i="18" s="1"/>
  <c r="Q55" i="18"/>
  <c r="S122" i="18"/>
  <c r="O122" i="18" s="1"/>
  <c r="T105" i="18"/>
  <c r="T175" i="18"/>
  <c r="S191" i="18"/>
  <c r="O191" i="18" s="1"/>
  <c r="S157" i="18"/>
  <c r="O157" i="18" s="1"/>
  <c r="U47" i="18"/>
  <c r="S155" i="18"/>
  <c r="O155" i="18" s="1"/>
  <c r="R67" i="18"/>
  <c r="R70" i="18"/>
  <c r="U48" i="18"/>
  <c r="T101" i="18"/>
  <c r="T163" i="18"/>
  <c r="R88" i="18"/>
  <c r="R96" i="18"/>
  <c r="U172" i="18"/>
  <c r="Q140" i="18"/>
  <c r="U165" i="18"/>
  <c r="R23" i="18"/>
  <c r="R77" i="18"/>
  <c r="R178" i="18"/>
  <c r="U45" i="18"/>
  <c r="T124" i="18"/>
  <c r="R14" i="18"/>
  <c r="R41" i="18"/>
  <c r="Q197" i="18"/>
  <c r="R166" i="18"/>
  <c r="U158" i="18"/>
  <c r="U135" i="18"/>
  <c r="Q129" i="18"/>
  <c r="Q28" i="18"/>
  <c r="T15" i="18"/>
  <c r="S160" i="18"/>
  <c r="O160" i="18" s="1"/>
  <c r="S32" i="18"/>
  <c r="O32" i="18" s="1"/>
  <c r="Q25" i="18"/>
  <c r="U174" i="18"/>
  <c r="S104" i="18"/>
  <c r="O104" i="18" s="1"/>
  <c r="T7" i="18"/>
  <c r="S174" i="18"/>
  <c r="O174" i="18" s="1"/>
  <c r="Q109" i="18"/>
  <c r="Q138" i="18"/>
  <c r="T99" i="18"/>
  <c r="S146" i="18"/>
  <c r="O146" i="18" s="1"/>
  <c r="Q3" i="18"/>
  <c r="S131" i="18"/>
  <c r="O131" i="18" s="1"/>
  <c r="S89" i="18"/>
  <c r="O89" i="18" s="1"/>
  <c r="R71" i="18"/>
  <c r="Q74" i="18"/>
  <c r="S132" i="18"/>
  <c r="O132" i="18" s="1"/>
  <c r="S93" i="18"/>
  <c r="O93" i="18" s="1"/>
  <c r="S167" i="18"/>
  <c r="O167" i="18" s="1"/>
  <c r="S141" i="18"/>
  <c r="O141" i="18" s="1"/>
  <c r="S10" i="18"/>
  <c r="O10" i="18" s="1"/>
  <c r="T52" i="18"/>
  <c r="S68" i="18"/>
  <c r="O68" i="18" s="1"/>
  <c r="Q60" i="18"/>
  <c r="U6" i="18"/>
  <c r="U21" i="18"/>
  <c r="U114" i="18"/>
  <c r="S186" i="18"/>
  <c r="O186" i="18" s="1"/>
  <c r="Q143" i="18"/>
  <c r="Q116" i="18"/>
  <c r="S171" i="18"/>
  <c r="O171" i="18" s="1"/>
  <c r="U130" i="18"/>
  <c r="S138" i="18"/>
  <c r="O138" i="18" s="1"/>
  <c r="S34" i="18"/>
  <c r="O34" i="18" s="1"/>
  <c r="S90" i="18"/>
  <c r="O90" i="18" s="1"/>
  <c r="S52" i="18"/>
  <c r="O52" i="18" s="1"/>
  <c r="U200" i="18"/>
  <c r="Q161" i="18"/>
  <c r="T150" i="18"/>
  <c r="S21" i="18"/>
  <c r="O21" i="18" s="1"/>
  <c r="S176" i="18"/>
  <c r="O176" i="18" s="1"/>
  <c r="U91" i="18"/>
  <c r="Q114" i="18"/>
  <c r="R176" i="18"/>
  <c r="U181" i="18"/>
  <c r="S62" i="18"/>
  <c r="O62" i="18" s="1"/>
  <c r="U167" i="18"/>
  <c r="R34" i="18"/>
  <c r="Q117" i="18"/>
  <c r="R26" i="18"/>
  <c r="S151" i="18"/>
  <c r="O151" i="18" s="1"/>
  <c r="Q162" i="18"/>
  <c r="S117" i="18"/>
  <c r="O117" i="18" s="1"/>
  <c r="T26" i="18"/>
  <c r="R51" i="18"/>
  <c r="Q65" i="18"/>
  <c r="R201" i="18"/>
  <c r="Q13" i="18"/>
  <c r="R97" i="18"/>
  <c r="Q112" i="18"/>
  <c r="R38" i="18"/>
  <c r="R5" i="18"/>
  <c r="Q196" i="18"/>
  <c r="T127" i="18"/>
  <c r="Q137" i="18"/>
  <c r="R50" i="18"/>
  <c r="Q63" i="18"/>
  <c r="Q35" i="18"/>
  <c r="Q9" i="18"/>
  <c r="R40" i="18"/>
  <c r="T12" i="18"/>
  <c r="U154" i="18"/>
  <c r="R172" i="18"/>
  <c r="U202" i="18"/>
  <c r="R31" i="18"/>
  <c r="Q167" i="18"/>
  <c r="R180" i="18"/>
  <c r="U127" i="18"/>
  <c r="S126" i="18"/>
  <c r="O126" i="18" s="1"/>
  <c r="T180" i="18"/>
  <c r="U139" i="18"/>
  <c r="R33" i="18"/>
  <c r="S108" i="18"/>
  <c r="O108" i="18" s="1"/>
  <c r="T119" i="18"/>
  <c r="S110" i="18"/>
  <c r="O110" i="18" s="1"/>
  <c r="S31" i="18"/>
  <c r="O31" i="18" s="1"/>
  <c r="U89" i="18"/>
  <c r="Q58" i="18"/>
  <c r="S43" i="18"/>
  <c r="O43" i="18" s="1"/>
  <c r="S23" i="18"/>
  <c r="O23" i="18" s="1"/>
  <c r="S139" i="18"/>
  <c r="O139" i="18" s="1"/>
  <c r="S118" i="18"/>
  <c r="O118" i="18" s="1"/>
  <c r="R21" i="18"/>
  <c r="S185" i="18"/>
  <c r="O185" i="18" s="1"/>
  <c r="U112" i="18"/>
  <c r="Q93" i="18"/>
  <c r="S41" i="18"/>
  <c r="O41" i="18" s="1"/>
  <c r="S180" i="18"/>
  <c r="O180" i="18" s="1"/>
  <c r="S22" i="18"/>
  <c r="O22" i="18" s="1"/>
  <c r="U43" i="18"/>
  <c r="Q88" i="18"/>
  <c r="S130" i="18"/>
  <c r="O130" i="18" s="1"/>
  <c r="S12" i="18"/>
  <c r="O12" i="18" s="1"/>
  <c r="S103" i="18"/>
  <c r="O103" i="18" s="1"/>
  <c r="Q90" i="18"/>
  <c r="Q69" i="18"/>
  <c r="S199" i="18"/>
  <c r="O199" i="18" s="1"/>
  <c r="S165" i="18"/>
  <c r="O165" i="18" s="1"/>
  <c r="S121" i="18"/>
  <c r="O121" i="18" s="1"/>
  <c r="S198" i="18"/>
  <c r="O198" i="18" s="1"/>
  <c r="T134" i="18"/>
  <c r="Q84" i="18"/>
  <c r="R91" i="18"/>
  <c r="T142" i="18"/>
  <c r="T167" i="18"/>
  <c r="T45" i="18"/>
  <c r="T188" i="18"/>
  <c r="Q36" i="18"/>
  <c r="R19" i="18"/>
  <c r="T122" i="18"/>
  <c r="R61" i="18"/>
  <c r="Q122" i="18"/>
  <c r="U176" i="18"/>
  <c r="R46" i="18"/>
  <c r="T110" i="18"/>
  <c r="S57" i="18"/>
  <c r="O57" i="18" s="1"/>
  <c r="R138" i="18"/>
  <c r="R69" i="18"/>
  <c r="Q128" i="18"/>
  <c r="U34" i="18"/>
  <c r="S149" i="18"/>
  <c r="O149" i="18" s="1"/>
  <c r="T14" i="18"/>
  <c r="S190" i="18"/>
  <c r="O190" i="18" s="1"/>
  <c r="S136" i="18"/>
  <c r="O136" i="18" s="1"/>
  <c r="S72" i="18"/>
  <c r="O72" i="18" s="1"/>
  <c r="S26" i="18"/>
  <c r="O26" i="18" s="1"/>
  <c r="U4" i="18"/>
  <c r="T70" i="18"/>
  <c r="T57" i="18"/>
  <c r="S75" i="18"/>
  <c r="O75" i="18" s="1"/>
  <c r="S92" i="18"/>
  <c r="O92" i="18" s="1"/>
  <c r="S51" i="18"/>
  <c r="O51" i="18" s="1"/>
  <c r="U132" i="18"/>
  <c r="U82" i="18"/>
  <c r="T114" i="18"/>
  <c r="R174" i="18"/>
  <c r="S78" i="18"/>
  <c r="O78" i="18" s="1"/>
  <c r="S177" i="18"/>
  <c r="O177" i="18" s="1"/>
  <c r="S169" i="18"/>
  <c r="O169" i="18" s="1"/>
  <c r="S154" i="18"/>
  <c r="O154" i="18" s="1"/>
  <c r="S80" i="18"/>
  <c r="O80" i="18" s="1"/>
  <c r="S81" i="18"/>
  <c r="O81" i="18" s="1"/>
  <c r="S143" i="18"/>
  <c r="O143" i="18" s="1"/>
  <c r="Q185" i="18"/>
  <c r="R200" i="18"/>
  <c r="T6" i="18"/>
  <c r="S54" i="18"/>
  <c r="O54" i="18" s="1"/>
  <c r="S201" i="18"/>
  <c r="O201" i="18" s="1"/>
  <c r="Q134" i="18"/>
  <c r="U173" i="18"/>
  <c r="S112" i="18"/>
  <c r="O112" i="18" s="1"/>
  <c r="T136" i="18"/>
  <c r="S137" i="18"/>
  <c r="O137" i="18" s="1"/>
  <c r="S33" i="18"/>
  <c r="O33" i="18" s="1"/>
  <c r="S83" i="18"/>
  <c r="O83" i="18" s="1"/>
  <c r="Q96" i="18"/>
  <c r="U163" i="18"/>
  <c r="F41" i="10"/>
  <c r="B41" i="10" s="1"/>
  <c r="F44" i="10"/>
  <c r="B44" i="10" s="1"/>
  <c r="F68" i="10"/>
  <c r="B68" i="10" s="1"/>
  <c r="F62" i="10"/>
  <c r="B62" i="10" s="1"/>
  <c r="F81" i="10"/>
  <c r="B81" i="10" s="1"/>
  <c r="F92" i="10"/>
  <c r="B92" i="10" s="1"/>
  <c r="F36" i="10"/>
  <c r="B36" i="10" s="1"/>
  <c r="F89" i="10"/>
  <c r="B89" i="10" s="1"/>
  <c r="F133" i="10"/>
  <c r="B133" i="10" s="1"/>
  <c r="F4" i="10"/>
  <c r="B4" i="10" s="1"/>
  <c r="F126" i="10"/>
  <c r="B126" i="10" s="1"/>
  <c r="F72" i="10"/>
  <c r="B72" i="10" s="1"/>
  <c r="F39" i="10"/>
  <c r="B39" i="10" s="1"/>
  <c r="F30" i="10"/>
  <c r="B30" i="10" s="1"/>
  <c r="F79" i="10"/>
  <c r="B79" i="10" s="1"/>
  <c r="F146" i="10"/>
  <c r="B146" i="10" s="1"/>
  <c r="F102" i="10"/>
  <c r="B102" i="10" s="1"/>
  <c r="F105" i="10"/>
  <c r="B105" i="10" s="1"/>
  <c r="F87" i="10"/>
  <c r="B87" i="10" s="1"/>
  <c r="F110" i="10"/>
  <c r="B110" i="10" s="1"/>
  <c r="F61" i="10"/>
  <c r="B61" i="10" s="1"/>
  <c r="F23" i="10"/>
  <c r="B23" i="10" s="1"/>
  <c r="F57" i="10"/>
  <c r="B57" i="10" s="1"/>
  <c r="F156" i="10"/>
  <c r="B156" i="10" s="1"/>
  <c r="F120" i="10"/>
  <c r="B120" i="10" s="1"/>
  <c r="F66" i="10"/>
  <c r="B66" i="10" s="1"/>
  <c r="F50" i="10"/>
  <c r="B50" i="10" s="1"/>
  <c r="F73" i="10"/>
  <c r="B73" i="10" s="1"/>
  <c r="F160" i="10"/>
  <c r="B160" i="10" s="1"/>
  <c r="F149" i="10"/>
  <c r="B149" i="10" s="1"/>
  <c r="F135" i="10"/>
  <c r="B135" i="10" s="1"/>
  <c r="F163" i="10"/>
  <c r="B163" i="10" s="1"/>
  <c r="F143" i="10"/>
  <c r="B143" i="10" s="1"/>
  <c r="F54" i="10"/>
  <c r="B54" i="10" s="1"/>
  <c r="F5" i="10"/>
  <c r="B5" i="10" s="1"/>
  <c r="F37" i="10"/>
  <c r="B37" i="10" s="1"/>
  <c r="F144" i="10"/>
  <c r="B144" i="10" s="1"/>
  <c r="F12" i="10"/>
  <c r="B12" i="10" s="1"/>
  <c r="F138" i="10"/>
  <c r="B138" i="10" s="1"/>
  <c r="F64" i="10"/>
  <c r="B64" i="10" s="1"/>
  <c r="F10" i="10"/>
  <c r="B10" i="10" s="1"/>
  <c r="F100" i="10"/>
  <c r="B100" i="10" s="1"/>
  <c r="F84" i="10"/>
  <c r="B84" i="10" s="1"/>
  <c r="F98" i="10"/>
  <c r="B98" i="10" s="1"/>
  <c r="F162" i="10"/>
  <c r="B162" i="10" s="1"/>
  <c r="F161" i="10"/>
  <c r="B161" i="10" s="1"/>
  <c r="F114" i="10"/>
  <c r="B114" i="10" s="1"/>
  <c r="F154" i="10"/>
  <c r="B154" i="10" s="1"/>
  <c r="F18" i="10"/>
  <c r="B18" i="10" s="1"/>
  <c r="F86" i="10"/>
  <c r="B86" i="10" s="1"/>
  <c r="F71" i="10"/>
  <c r="B71" i="10" s="1"/>
  <c r="F115" i="10"/>
  <c r="B115" i="10" s="1"/>
  <c r="F63" i="10"/>
  <c r="B63" i="10" s="1"/>
  <c r="F83" i="10"/>
  <c r="B83" i="10" s="1"/>
  <c r="F55" i="10"/>
  <c r="B55" i="10" s="1"/>
  <c r="F48" i="10"/>
  <c r="B48" i="10" s="1"/>
  <c r="F131" i="10"/>
  <c r="B131" i="10" s="1"/>
  <c r="F13" i="10"/>
  <c r="B13" i="10" s="1"/>
  <c r="F16" i="10"/>
  <c r="B16" i="10" s="1"/>
  <c r="F164" i="10"/>
  <c r="B164" i="10" s="1"/>
  <c r="F130" i="10"/>
  <c r="B130" i="10" s="1"/>
  <c r="F125" i="10"/>
  <c r="B125" i="10" s="1"/>
  <c r="F75" i="10"/>
  <c r="B75" i="10" s="1"/>
  <c r="F80" i="10"/>
  <c r="B80" i="10" s="1"/>
  <c r="F127" i="10"/>
  <c r="B127" i="10" s="1"/>
  <c r="F121" i="10"/>
  <c r="B121" i="10" s="1"/>
  <c r="F42" i="10"/>
  <c r="B42" i="10" s="1"/>
  <c r="F111" i="10"/>
  <c r="B111" i="10" s="1"/>
  <c r="F6" i="10"/>
  <c r="B6" i="10" s="1"/>
  <c r="F137" i="10"/>
  <c r="B137" i="10" s="1"/>
  <c r="F59" i="10"/>
  <c r="B59" i="10" s="1"/>
  <c r="F108" i="10"/>
  <c r="B108" i="10" s="1"/>
  <c r="F40" i="10"/>
  <c r="B40" i="10" s="1"/>
  <c r="F46" i="10"/>
  <c r="B46" i="10" s="1"/>
  <c r="F29" i="10"/>
  <c r="B29" i="10" s="1"/>
  <c r="F82" i="10"/>
  <c r="B82" i="10" s="1"/>
  <c r="F70" i="10"/>
  <c r="B70" i="10" s="1"/>
  <c r="F119" i="10"/>
  <c r="B119" i="10" s="1"/>
  <c r="F112" i="10"/>
  <c r="B112" i="10" s="1"/>
  <c r="F77" i="10"/>
  <c r="B77" i="10" s="1"/>
  <c r="F52" i="10"/>
  <c r="B52" i="10" s="1"/>
  <c r="F141" i="10"/>
  <c r="B141" i="10" s="1"/>
  <c r="F153" i="10"/>
  <c r="B153" i="10" s="1"/>
  <c r="F134" i="10"/>
  <c r="B134" i="10" s="1"/>
  <c r="F60" i="10"/>
  <c r="B60" i="10" s="1"/>
  <c r="F118" i="10"/>
  <c r="B118" i="10" s="1"/>
  <c r="F76" i="10"/>
  <c r="B76" i="10" s="1"/>
  <c r="F25" i="10"/>
  <c r="B25" i="10" s="1"/>
  <c r="F14" i="10"/>
  <c r="B14" i="10" s="1"/>
  <c r="F94" i="10"/>
  <c r="B94" i="10" s="1"/>
  <c r="F91" i="10"/>
  <c r="B91" i="10" s="1"/>
  <c r="F152" i="10"/>
  <c r="B152" i="10" s="1"/>
  <c r="F103" i="10"/>
  <c r="B103" i="10" s="1"/>
  <c r="F101" i="10"/>
  <c r="B101" i="10" s="1"/>
  <c r="F58" i="10"/>
  <c r="B58" i="10" s="1"/>
  <c r="F19" i="10"/>
  <c r="B19" i="10" s="1"/>
  <c r="F47" i="10"/>
  <c r="B47" i="10" s="1"/>
  <c r="F20" i="10"/>
  <c r="B20" i="10" s="1"/>
  <c r="F38" i="10"/>
  <c r="B38" i="10" s="1"/>
  <c r="F95" i="10"/>
  <c r="B95" i="10" s="1"/>
  <c r="F151" i="10"/>
  <c r="B151" i="10" s="1"/>
  <c r="F3" i="10"/>
  <c r="B3" i="10" s="1"/>
  <c r="F45" i="10"/>
  <c r="B45" i="10" s="1"/>
  <c r="F147" i="10"/>
  <c r="B147" i="10" s="1"/>
  <c r="F117" i="10"/>
  <c r="B117" i="10" s="1"/>
  <c r="F123" i="10"/>
  <c r="B123" i="10" s="1"/>
  <c r="F128" i="10"/>
  <c r="B128" i="10" s="1"/>
  <c r="F139" i="10"/>
  <c r="B139" i="10" s="1"/>
  <c r="F26" i="10"/>
  <c r="B26" i="10" s="1"/>
  <c r="F113" i="10"/>
  <c r="B113" i="10" s="1"/>
  <c r="F88" i="10"/>
  <c r="B88" i="10" s="1"/>
  <c r="F159" i="10"/>
  <c r="B159" i="10" s="1"/>
  <c r="F43" i="10"/>
  <c r="B43" i="10" s="1"/>
  <c r="F140" i="10"/>
  <c r="B140" i="10" s="1"/>
  <c r="F8" i="10"/>
  <c r="B8" i="10" s="1"/>
  <c r="F145" i="10"/>
  <c r="B145" i="10" s="1"/>
  <c r="F155" i="10"/>
  <c r="B155" i="10" s="1"/>
  <c r="F51" i="10"/>
  <c r="B51" i="10" s="1"/>
  <c r="F35" i="10"/>
  <c r="B35" i="10" s="1"/>
  <c r="F56" i="10"/>
  <c r="B56" i="10" s="1"/>
  <c r="H4" i="10"/>
  <c r="F106" i="10"/>
  <c r="B106" i="10" s="1"/>
  <c r="F65" i="10"/>
  <c r="B65" i="10" s="1"/>
  <c r="F122" i="10"/>
  <c r="B122" i="10" s="1"/>
  <c r="F99" i="10"/>
  <c r="B99" i="10" s="1"/>
  <c r="F148" i="10"/>
  <c r="B148" i="10" s="1"/>
  <c r="F97" i="10"/>
  <c r="B97" i="10" s="1"/>
  <c r="F74" i="10"/>
  <c r="B74" i="10" s="1"/>
  <c r="F96" i="10"/>
  <c r="B96" i="10" s="1"/>
  <c r="H70" i="10"/>
  <c r="H72" i="10"/>
  <c r="E37" i="10"/>
  <c r="E102" i="10"/>
  <c r="E80" i="10"/>
  <c r="E92" i="10"/>
  <c r="E95" i="10"/>
  <c r="E85" i="10"/>
  <c r="E88" i="10"/>
  <c r="E71" i="10"/>
  <c r="E13" i="10"/>
  <c r="E52" i="10"/>
  <c r="E56" i="10"/>
  <c r="H58" i="10"/>
  <c r="F136" i="10"/>
  <c r="B136" i="10" s="1"/>
  <c r="F21" i="10"/>
  <c r="B21" i="10" s="1"/>
  <c r="F17" i="10"/>
  <c r="B17" i="10" s="1"/>
  <c r="F157" i="10"/>
  <c r="B157" i="10" s="1"/>
  <c r="F28" i="10"/>
  <c r="B28" i="10" s="1"/>
  <c r="E45" i="10"/>
  <c r="E67" i="10"/>
  <c r="E55" i="10"/>
  <c r="E64" i="10"/>
  <c r="E53" i="10"/>
  <c r="E69" i="10"/>
  <c r="E76" i="10"/>
  <c r="E62" i="10"/>
  <c r="E90" i="10"/>
  <c r="E59" i="10"/>
  <c r="E83" i="10"/>
  <c r="E41" i="10"/>
  <c r="E43" i="10"/>
  <c r="E108" i="10"/>
  <c r="E89" i="10"/>
  <c r="E15" i="10"/>
  <c r="H23" i="10"/>
  <c r="F124" i="10"/>
  <c r="B124" i="10" s="1"/>
  <c r="F15" i="10"/>
  <c r="B15" i="10" s="1"/>
  <c r="H64" i="10"/>
  <c r="F107" i="10"/>
  <c r="B107" i="10" s="1"/>
  <c r="F109" i="10"/>
  <c r="B109" i="10" s="1"/>
  <c r="F9" i="10"/>
  <c r="B9" i="10" s="1"/>
  <c r="H101" i="10"/>
  <c r="H106" i="10"/>
  <c r="F7" i="10"/>
  <c r="B7" i="10" s="1"/>
  <c r="F90" i="10"/>
  <c r="B90" i="10" s="1"/>
  <c r="F142" i="10"/>
  <c r="B142" i="10" s="1"/>
  <c r="F85" i="10"/>
  <c r="B85" i="10" s="1"/>
  <c r="F132" i="10"/>
  <c r="B132" i="10" s="1"/>
  <c r="F34" i="10"/>
  <c r="B34" i="10" s="1"/>
  <c r="F158" i="10"/>
  <c r="B158" i="10" s="1"/>
  <c r="F33" i="10"/>
  <c r="B33" i="10" s="1"/>
  <c r="F67" i="10"/>
  <c r="B67" i="10" s="1"/>
  <c r="F49" i="10"/>
  <c r="B49" i="10" s="1"/>
  <c r="F32" i="10"/>
  <c r="B32" i="10" s="1"/>
  <c r="E51" i="10"/>
  <c r="H108" i="10"/>
  <c r="H99" i="10"/>
  <c r="H38" i="10"/>
  <c r="H97" i="10"/>
  <c r="E94" i="10"/>
  <c r="F69" i="10"/>
  <c r="B69" i="10" s="1"/>
  <c r="F22" i="10"/>
  <c r="B22" i="10" s="1"/>
  <c r="F78" i="10"/>
  <c r="B78" i="10" s="1"/>
  <c r="F53" i="10"/>
  <c r="B53" i="10" s="1"/>
  <c r="F31" i="10"/>
  <c r="B31" i="10" s="1"/>
  <c r="F116" i="10"/>
  <c r="B116" i="10" s="1"/>
  <c r="H39" i="10"/>
  <c r="E38" i="10"/>
  <c r="E73" i="10"/>
  <c r="E46" i="10"/>
  <c r="E74" i="10"/>
  <c r="E72" i="10"/>
  <c r="E75" i="10"/>
  <c r="H71" i="10"/>
  <c r="F104" i="10"/>
  <c r="B104" i="10" s="1"/>
  <c r="F27" i="10"/>
  <c r="B27" i="10" s="1"/>
  <c r="H77" i="10"/>
  <c r="H34" i="10"/>
  <c r="F129" i="10"/>
  <c r="B129" i="10" s="1"/>
  <c r="F11" i="10"/>
  <c r="B11" i="10" s="1"/>
  <c r="H41" i="10"/>
  <c r="E87" i="10"/>
  <c r="H86" i="10"/>
  <c r="H57" i="10"/>
  <c r="H90" i="10"/>
  <c r="H91" i="10"/>
  <c r="H100" i="10"/>
  <c r="H107" i="10"/>
  <c r="H78" i="10"/>
  <c r="H102" i="10"/>
  <c r="H37" i="10"/>
  <c r="H87" i="10"/>
  <c r="H65" i="10"/>
  <c r="H103" i="10"/>
  <c r="E106" i="10"/>
  <c r="E98" i="10"/>
  <c r="H55" i="10"/>
  <c r="H95" i="10"/>
  <c r="E24" i="10"/>
  <c r="H89" i="10"/>
  <c r="F150" i="10"/>
  <c r="B150" i="10" s="1"/>
  <c r="H69" i="10"/>
  <c r="H43" i="10"/>
  <c r="H66" i="10"/>
  <c r="H76" i="10"/>
  <c r="H93" i="10"/>
  <c r="E47" i="10"/>
  <c r="E81" i="10"/>
  <c r="H92" i="10"/>
  <c r="H94" i="10"/>
  <c r="E50" i="10"/>
  <c r="H60" i="10"/>
  <c r="H56" i="10"/>
  <c r="E97" i="10"/>
  <c r="E44" i="10"/>
  <c r="E82" i="10"/>
  <c r="E42" i="10"/>
  <c r="H82" i="10"/>
  <c r="E28" i="10"/>
  <c r="F24" i="10"/>
  <c r="B24" i="10" s="1"/>
  <c r="H61" i="10"/>
  <c r="H79" i="10"/>
  <c r="E49" i="10"/>
  <c r="H73" i="10"/>
  <c r="E70" i="10"/>
  <c r="E104" i="10"/>
  <c r="H67" i="10"/>
  <c r="E68" i="10"/>
  <c r="E93" i="10"/>
  <c r="H68" i="10"/>
  <c r="H48" i="10"/>
  <c r="E79" i="10"/>
  <c r="E66" i="10"/>
  <c r="E99" i="10"/>
  <c r="E84" i="10"/>
  <c r="H50" i="10"/>
  <c r="H74" i="10"/>
  <c r="H46" i="10"/>
  <c r="F93" i="10"/>
  <c r="B93" i="10" s="1"/>
  <c r="H105" i="10"/>
  <c r="H44" i="10"/>
  <c r="H98" i="10"/>
  <c r="H47" i="10"/>
  <c r="H83" i="10"/>
  <c r="H104" i="10"/>
  <c r="H45" i="10"/>
  <c r="E40" i="10"/>
  <c r="E63" i="10"/>
  <c r="E39" i="10"/>
  <c r="H53" i="10"/>
  <c r="H59" i="10"/>
  <c r="H49" i="10"/>
  <c r="H54" i="10"/>
  <c r="H62" i="10"/>
  <c r="H42" i="10"/>
  <c r="H75" i="10"/>
  <c r="H28" i="10"/>
  <c r="H18" i="10"/>
  <c r="H25" i="10"/>
  <c r="H80" i="10"/>
  <c r="E22" i="10"/>
  <c r="H36" i="10"/>
  <c r="E12" i="10"/>
  <c r="E11" i="10"/>
  <c r="E20" i="10"/>
  <c r="H12" i="10"/>
  <c r="E65" i="10"/>
  <c r="E61" i="10"/>
  <c r="E57" i="10"/>
  <c r="E36" i="10"/>
  <c r="E23" i="10"/>
  <c r="E34" i="10"/>
  <c r="H81" i="10"/>
  <c r="H33" i="10"/>
  <c r="H32" i="10"/>
  <c r="H9" i="10"/>
  <c r="E103" i="10"/>
  <c r="E18" i="10"/>
  <c r="E16" i="10"/>
  <c r="E14" i="10"/>
  <c r="E27" i="10"/>
  <c r="E10" i="10"/>
  <c r="E3" i="10"/>
  <c r="H84" i="10"/>
  <c r="H51" i="10"/>
  <c r="H14" i="10"/>
  <c r="E29" i="10"/>
  <c r="H52" i="10"/>
  <c r="E78" i="10"/>
  <c r="E91" i="10"/>
  <c r="E96" i="10"/>
  <c r="E101" i="10"/>
  <c r="E48" i="10"/>
  <c r="H63" i="10"/>
  <c r="H3" i="10"/>
  <c r="H29" i="10"/>
  <c r="H16" i="10"/>
  <c r="E6" i="10"/>
  <c r="E26" i="10"/>
  <c r="E54" i="10"/>
  <c r="E58" i="10"/>
  <c r="H40" i="10"/>
  <c r="E19" i="10"/>
  <c r="H17" i="10"/>
  <c r="H88" i="10"/>
  <c r="H85" i="10"/>
  <c r="H30" i="10"/>
  <c r="E25" i="10"/>
  <c r="E30" i="10"/>
  <c r="H5" i="10"/>
  <c r="H8" i="10"/>
  <c r="E32" i="10"/>
  <c r="E4" i="10"/>
  <c r="H31" i="10"/>
  <c r="H96" i="10"/>
  <c r="E60" i="10"/>
  <c r="E77" i="10"/>
  <c r="E105" i="10"/>
  <c r="E86" i="10"/>
  <c r="E107" i="10"/>
  <c r="E100" i="10"/>
  <c r="E33" i="10"/>
  <c r="E7" i="10"/>
  <c r="E31" i="10"/>
  <c r="E8" i="10"/>
  <c r="H15" i="10"/>
  <c r="E9" i="10"/>
  <c r="H26" i="10"/>
  <c r="H10" i="10"/>
  <c r="H35" i="10"/>
  <c r="H139" i="10"/>
  <c r="E162" i="10"/>
  <c r="H160" i="10"/>
  <c r="G119" i="10"/>
  <c r="G101" i="10"/>
  <c r="G97" i="10"/>
  <c r="E159" i="10"/>
  <c r="D103" i="10"/>
  <c r="G115" i="10"/>
  <c r="D70" i="10"/>
  <c r="G162" i="10"/>
  <c r="G41" i="10"/>
  <c r="G39" i="10"/>
  <c r="D128" i="10"/>
  <c r="G125" i="10"/>
  <c r="G145" i="10"/>
  <c r="G126" i="10"/>
  <c r="E110" i="10"/>
  <c r="D85" i="10"/>
  <c r="G66" i="10"/>
  <c r="G105" i="10"/>
  <c r="G120" i="10"/>
  <c r="E129" i="10"/>
  <c r="D72" i="10"/>
  <c r="G144" i="10"/>
  <c r="D154" i="10"/>
  <c r="E154" i="10"/>
  <c r="D108" i="10"/>
  <c r="H147" i="10"/>
  <c r="D50" i="10"/>
  <c r="D44" i="10"/>
  <c r="H127" i="10"/>
  <c r="H161" i="10"/>
  <c r="D135" i="10"/>
  <c r="D161" i="10"/>
  <c r="E109" i="10"/>
  <c r="H152" i="10"/>
  <c r="H142" i="10"/>
  <c r="E155" i="10"/>
  <c r="D69" i="10"/>
  <c r="G157" i="10"/>
  <c r="G40" i="10"/>
  <c r="D123" i="10"/>
  <c r="G26" i="10"/>
  <c r="D34" i="10"/>
  <c r="D19" i="10"/>
  <c r="G73" i="10"/>
  <c r="D23" i="10"/>
  <c r="D18" i="10"/>
  <c r="H125" i="10"/>
  <c r="H109" i="10"/>
  <c r="D13" i="10"/>
  <c r="G81" i="10"/>
  <c r="H164" i="10"/>
  <c r="D156" i="10"/>
  <c r="D137" i="10"/>
  <c r="D106" i="10"/>
  <c r="E149" i="10"/>
  <c r="D152" i="10"/>
  <c r="D76" i="10"/>
  <c r="D99" i="10"/>
  <c r="G16" i="10"/>
  <c r="E142" i="10"/>
  <c r="G91" i="10"/>
  <c r="D77" i="10"/>
  <c r="H156" i="10"/>
  <c r="G15" i="10"/>
  <c r="H141" i="10"/>
  <c r="E143" i="10"/>
  <c r="G46" i="10"/>
  <c r="D91" i="10"/>
  <c r="D62" i="10"/>
  <c r="D67" i="10"/>
  <c r="G146" i="10"/>
  <c r="E164" i="10"/>
  <c r="G104" i="10"/>
  <c r="D143" i="10"/>
  <c r="G131" i="10"/>
  <c r="D104" i="10"/>
  <c r="G60" i="10"/>
  <c r="G134" i="10"/>
  <c r="D17" i="10"/>
  <c r="D14" i="10"/>
  <c r="D64" i="10"/>
  <c r="G94" i="10"/>
  <c r="G113" i="10"/>
  <c r="G29" i="10"/>
  <c r="G43" i="10"/>
  <c r="D12" i="10"/>
  <c r="D83" i="10"/>
  <c r="D45" i="10"/>
  <c r="E137" i="10"/>
  <c r="E125" i="10"/>
  <c r="G59" i="10"/>
  <c r="H155" i="10"/>
  <c r="D57" i="10"/>
  <c r="G127" i="10"/>
  <c r="G93" i="10"/>
  <c r="E153" i="10"/>
  <c r="E121" i="10"/>
  <c r="G18" i="10"/>
  <c r="G33" i="10"/>
  <c r="H128" i="10"/>
  <c r="D42" i="10"/>
  <c r="H140" i="10"/>
  <c r="G24" i="10"/>
  <c r="E112" i="10"/>
  <c r="D28" i="10"/>
  <c r="D22" i="10"/>
  <c r="G25" i="10"/>
  <c r="G65" i="10"/>
  <c r="E17" i="10"/>
  <c r="E5" i="10"/>
  <c r="E35" i="10"/>
  <c r="H24" i="10"/>
  <c r="H22" i="10"/>
  <c r="D150" i="10"/>
  <c r="G45" i="10"/>
  <c r="G49" i="10"/>
  <c r="G124" i="10"/>
  <c r="H143" i="10"/>
  <c r="G68" i="10"/>
  <c r="G42" i="10"/>
  <c r="H120" i="10"/>
  <c r="D61" i="10"/>
  <c r="H133" i="10"/>
  <c r="G87" i="10"/>
  <c r="H144" i="10"/>
  <c r="D155" i="10"/>
  <c r="E150" i="10"/>
  <c r="D138" i="10"/>
  <c r="H118" i="10"/>
  <c r="G155" i="10"/>
  <c r="G106" i="10"/>
  <c r="G38" i="10"/>
  <c r="D78" i="10"/>
  <c r="D129" i="10"/>
  <c r="G85" i="10"/>
  <c r="H130" i="10"/>
  <c r="D68" i="10"/>
  <c r="D63" i="10"/>
  <c r="D52" i="10"/>
  <c r="H114" i="10"/>
  <c r="E122" i="10"/>
  <c r="E163" i="10"/>
  <c r="D38" i="10"/>
  <c r="D133" i="10"/>
  <c r="D81" i="10"/>
  <c r="G76" i="10"/>
  <c r="D84" i="10"/>
  <c r="D94" i="10"/>
  <c r="D125" i="10"/>
  <c r="G89" i="10"/>
  <c r="D118" i="10"/>
  <c r="D149" i="10"/>
  <c r="D39" i="10"/>
  <c r="G74" i="10"/>
  <c r="G139" i="10"/>
  <c r="G4" i="10"/>
  <c r="E114" i="10"/>
  <c r="D11" i="10"/>
  <c r="E140" i="10"/>
  <c r="D31" i="10"/>
  <c r="H123" i="10"/>
  <c r="E120" i="10"/>
  <c r="D15" i="10"/>
  <c r="E117" i="10"/>
  <c r="D116" i="10"/>
  <c r="D29" i="10"/>
  <c r="D127" i="10"/>
  <c r="G148" i="10"/>
  <c r="D112" i="10"/>
  <c r="G80" i="10"/>
  <c r="D32" i="10"/>
  <c r="D30" i="10"/>
  <c r="G30" i="10"/>
  <c r="H110" i="10"/>
  <c r="G34" i="10"/>
  <c r="D92" i="10"/>
  <c r="G27" i="10"/>
  <c r="G150" i="10"/>
  <c r="G11" i="10"/>
  <c r="D40" i="10"/>
  <c r="G114" i="10"/>
  <c r="D47" i="10"/>
  <c r="D51" i="10"/>
  <c r="G103" i="10"/>
  <c r="H115" i="10"/>
  <c r="E126" i="10"/>
  <c r="D144" i="10"/>
  <c r="G142" i="10"/>
  <c r="G109" i="10"/>
  <c r="G133" i="10"/>
  <c r="G138" i="10"/>
  <c r="G156" i="10"/>
  <c r="E113" i="10"/>
  <c r="D153" i="10"/>
  <c r="G71" i="10"/>
  <c r="H149" i="10"/>
  <c r="G3" i="10"/>
  <c r="D117" i="10"/>
  <c r="G28" i="10"/>
  <c r="E156" i="10"/>
  <c r="G9" i="10"/>
  <c r="G164" i="10"/>
  <c r="D35" i="10"/>
  <c r="H137" i="10"/>
  <c r="H131" i="10"/>
  <c r="H163" i="10"/>
  <c r="D80" i="10"/>
  <c r="G107" i="10"/>
  <c r="E138" i="10"/>
  <c r="D58" i="10"/>
  <c r="G111" i="10"/>
  <c r="G14" i="10"/>
  <c r="D110" i="10"/>
  <c r="D130" i="10"/>
  <c r="D79" i="10"/>
  <c r="G7" i="10"/>
  <c r="H135" i="10"/>
  <c r="D25" i="10"/>
  <c r="H122" i="10"/>
  <c r="G21" i="10"/>
  <c r="E123" i="10"/>
  <c r="H21" i="10"/>
  <c r="H27" i="10"/>
  <c r="E21" i="10"/>
  <c r="H13" i="10"/>
  <c r="H20" i="10"/>
  <c r="H148" i="10"/>
  <c r="H112" i="10"/>
  <c r="G90" i="10"/>
  <c r="E161" i="10"/>
  <c r="G153" i="10"/>
  <c r="D46" i="10"/>
  <c r="D71" i="10"/>
  <c r="E119" i="10"/>
  <c r="G58" i="10"/>
  <c r="G149" i="10"/>
  <c r="H157" i="10"/>
  <c r="G130" i="10"/>
  <c r="D142" i="10"/>
  <c r="D141" i="10"/>
  <c r="G51" i="10"/>
  <c r="H126" i="10"/>
  <c r="D98" i="10"/>
  <c r="G112" i="10"/>
  <c r="D134" i="10"/>
  <c r="H124" i="10"/>
  <c r="H138" i="10"/>
  <c r="G135" i="10"/>
  <c r="G82" i="10"/>
  <c r="D148" i="10"/>
  <c r="D59" i="10"/>
  <c r="H116" i="10"/>
  <c r="E115" i="10"/>
  <c r="D140" i="10"/>
  <c r="G154" i="10"/>
  <c r="D160" i="10"/>
  <c r="H146" i="10"/>
  <c r="D111" i="10"/>
  <c r="G72" i="10"/>
  <c r="D124" i="10"/>
  <c r="G121" i="10"/>
  <c r="G158" i="10"/>
  <c r="G88" i="10"/>
  <c r="D158" i="10"/>
  <c r="E124" i="10"/>
  <c r="H136" i="10"/>
  <c r="G56" i="10"/>
  <c r="G75" i="10"/>
  <c r="G86" i="10"/>
  <c r="G57" i="10"/>
  <c r="D4" i="10"/>
  <c r="H154" i="10"/>
  <c r="D74" i="10"/>
  <c r="D65" i="10"/>
  <c r="G92" i="10"/>
  <c r="G152" i="10"/>
  <c r="D119" i="10"/>
  <c r="D5" i="10"/>
  <c r="D100" i="10"/>
  <c r="H134" i="10"/>
  <c r="G77" i="10"/>
  <c r="D121" i="10"/>
  <c r="G110" i="10"/>
  <c r="D16" i="10"/>
  <c r="E127" i="10"/>
  <c r="D24" i="10"/>
  <c r="G141" i="10"/>
  <c r="G12" i="10"/>
  <c r="D60" i="10"/>
  <c r="E134" i="10"/>
  <c r="E141" i="10"/>
  <c r="H119" i="10"/>
  <c r="G53" i="10"/>
  <c r="G23" i="10"/>
  <c r="G37" i="10"/>
  <c r="G151" i="10"/>
  <c r="G132" i="10"/>
  <c r="G44" i="10"/>
  <c r="E158" i="10"/>
  <c r="G99" i="10"/>
  <c r="G84" i="10"/>
  <c r="E152" i="10"/>
  <c r="E131" i="10"/>
  <c r="G116" i="10"/>
  <c r="D107" i="10"/>
  <c r="H159" i="10"/>
  <c r="G118" i="10"/>
  <c r="G17" i="10"/>
  <c r="G160" i="10"/>
  <c r="G6" i="10"/>
  <c r="D136" i="10"/>
  <c r="H158" i="10"/>
  <c r="D120" i="10"/>
  <c r="G31" i="10"/>
  <c r="D157" i="10"/>
  <c r="D7" i="10"/>
  <c r="H151" i="10"/>
  <c r="E151" i="10"/>
  <c r="H132" i="10"/>
  <c r="D122" i="10"/>
  <c r="D49" i="10"/>
  <c r="E135" i="10"/>
  <c r="D73" i="10"/>
  <c r="H121" i="10"/>
  <c r="E132" i="10"/>
  <c r="E147" i="10"/>
  <c r="D26" i="10"/>
  <c r="D89" i="10"/>
  <c r="D20" i="10"/>
  <c r="E157" i="10"/>
  <c r="D87" i="10"/>
  <c r="G129" i="10"/>
  <c r="D10" i="10"/>
  <c r="D36" i="10"/>
  <c r="H6" i="10"/>
  <c r="H19" i="10"/>
  <c r="H11" i="10"/>
  <c r="H7" i="10"/>
  <c r="D48" i="10"/>
  <c r="E144" i="10"/>
  <c r="G55" i="10"/>
  <c r="D126" i="10"/>
  <c r="D113" i="10"/>
  <c r="D159" i="10"/>
  <c r="D114" i="10"/>
  <c r="E116" i="10"/>
  <c r="G79" i="10"/>
  <c r="D56" i="10"/>
  <c r="D54" i="10"/>
  <c r="G70" i="10"/>
  <c r="D97" i="10"/>
  <c r="G100" i="10"/>
  <c r="D43" i="10"/>
  <c r="G78" i="10"/>
  <c r="G61" i="10"/>
  <c r="D115" i="10"/>
  <c r="D145" i="10"/>
  <c r="E139" i="10"/>
  <c r="G143" i="10"/>
  <c r="G122" i="10"/>
  <c r="D109" i="10"/>
  <c r="G137" i="10"/>
  <c r="D132" i="10"/>
  <c r="G128" i="10"/>
  <c r="E128" i="10"/>
  <c r="G136" i="10"/>
  <c r="D88" i="10"/>
  <c r="G161" i="10"/>
  <c r="G48" i="10"/>
  <c r="G98" i="10"/>
  <c r="E146" i="10"/>
  <c r="D147" i="10"/>
  <c r="D90" i="10"/>
  <c r="D75" i="10"/>
  <c r="D53" i="10"/>
  <c r="G62" i="10"/>
  <c r="H113" i="10"/>
  <c r="G83" i="10"/>
  <c r="G36" i="10"/>
  <c r="E130" i="10"/>
  <c r="E111" i="10"/>
  <c r="D93" i="10"/>
  <c r="G108" i="10"/>
  <c r="D66" i="10"/>
  <c r="G13" i="10"/>
  <c r="G19" i="10"/>
  <c r="D3" i="10"/>
  <c r="D151" i="10"/>
  <c r="D131" i="10"/>
  <c r="D95" i="10"/>
  <c r="G22" i="10"/>
  <c r="H117" i="10"/>
  <c r="D96" i="10"/>
  <c r="E133" i="10"/>
  <c r="G140" i="10"/>
  <c r="G117" i="10"/>
  <c r="G32" i="10"/>
  <c r="G64" i="10"/>
  <c r="D27" i="10"/>
  <c r="E145" i="10"/>
  <c r="D37" i="10"/>
  <c r="G10" i="10"/>
  <c r="G20" i="10"/>
  <c r="G8" i="10"/>
  <c r="H145" i="10"/>
  <c r="G63" i="10"/>
  <c r="G69" i="10"/>
  <c r="D164" i="10"/>
  <c r="E160" i="10"/>
  <c r="D146" i="10"/>
  <c r="H162" i="10"/>
  <c r="D101" i="10"/>
  <c r="E118" i="10"/>
  <c r="G67" i="10"/>
  <c r="D86" i="10"/>
  <c r="H111" i="10"/>
  <c r="G159" i="10"/>
  <c r="G50" i="10"/>
  <c r="D8" i="10"/>
  <c r="E136" i="10"/>
  <c r="D163" i="10"/>
  <c r="G147" i="10"/>
  <c r="D21" i="10"/>
  <c r="D9" i="10"/>
  <c r="G54" i="10"/>
  <c r="D105" i="10"/>
  <c r="D41" i="10"/>
  <c r="G47" i="10"/>
  <c r="G102" i="10"/>
  <c r="G123" i="10"/>
  <c r="D162" i="10"/>
  <c r="D55" i="10"/>
  <c r="H150" i="10"/>
  <c r="D82" i="10"/>
  <c r="D139" i="10"/>
  <c r="G95" i="10"/>
  <c r="G96" i="10"/>
  <c r="G5" i="10"/>
  <c r="G52" i="10"/>
  <c r="G35" i="10"/>
  <c r="H153" i="10"/>
  <c r="D6" i="10"/>
  <c r="D33" i="10"/>
  <c r="D102" i="10"/>
  <c r="H129" i="10"/>
  <c r="E148" i="10"/>
  <c r="G163" i="10"/>
  <c r="F9" i="4"/>
  <c r="AE100" i="1"/>
  <c r="AH16" i="17" l="1"/>
  <c r="Y16" i="17"/>
  <c r="P16" i="17"/>
  <c r="Q16" i="17" s="1"/>
  <c r="O22" i="17"/>
  <c r="AG22" i="17"/>
  <c r="X22" i="17"/>
  <c r="AH40" i="17"/>
  <c r="Y40" i="17"/>
  <c r="P40" i="17"/>
  <c r="Q40" i="17" s="1"/>
  <c r="X38" i="17"/>
  <c r="AG38" i="17"/>
  <c r="O38" i="17"/>
  <c r="P36" i="17"/>
  <c r="Q36" i="17" s="1"/>
  <c r="AH36" i="17"/>
  <c r="Y36" i="17"/>
  <c r="P90" i="17"/>
  <c r="Q90" i="17" s="1"/>
  <c r="Y90" i="17"/>
  <c r="AH90" i="17"/>
  <c r="AH68" i="17"/>
  <c r="Y68" i="17"/>
  <c r="P68" i="17"/>
  <c r="Q68" i="17" s="1"/>
  <c r="X96" i="17"/>
  <c r="O96" i="17"/>
  <c r="AG96" i="17"/>
  <c r="AG15" i="17"/>
  <c r="X15" i="17"/>
  <c r="O15" i="17"/>
  <c r="AG23" i="17"/>
  <c r="O23" i="17"/>
  <c r="X23" i="17"/>
  <c r="X41" i="17"/>
  <c r="O41" i="17"/>
  <c r="AG41" i="17"/>
  <c r="AH41" i="17"/>
  <c r="P41" i="17"/>
  <c r="Q41" i="17" s="1"/>
  <c r="Y41" i="17"/>
  <c r="Y67" i="17"/>
  <c r="AH67" i="17"/>
  <c r="P67" i="17"/>
  <c r="Q67" i="17" s="1"/>
  <c r="P50" i="17"/>
  <c r="Q50" i="17" s="1"/>
  <c r="Y50" i="17"/>
  <c r="AH50" i="17"/>
  <c r="P51" i="17"/>
  <c r="Q51" i="17" s="1"/>
  <c r="AH51" i="17"/>
  <c r="Y51" i="17"/>
  <c r="X104" i="17"/>
  <c r="O104" i="17"/>
  <c r="AG104" i="17"/>
  <c r="O109" i="17"/>
  <c r="X109" i="17"/>
  <c r="AG109" i="17"/>
  <c r="P87" i="17"/>
  <c r="Q87" i="17" s="1"/>
  <c r="Y87" i="17"/>
  <c r="AH87" i="17"/>
  <c r="O102" i="17"/>
  <c r="X102" i="17"/>
  <c r="AG102" i="17"/>
  <c r="Y74" i="17"/>
  <c r="P74" i="17"/>
  <c r="Q74" i="17" s="1"/>
  <c r="AH74" i="17"/>
  <c r="P108" i="17"/>
  <c r="Q108" i="17" s="1"/>
  <c r="Y108" i="17"/>
  <c r="AH108" i="17"/>
  <c r="Y96" i="17"/>
  <c r="AH96" i="17"/>
  <c r="P96" i="17"/>
  <c r="Q96" i="17" s="1"/>
  <c r="P39" i="17"/>
  <c r="Q39" i="17" s="1"/>
  <c r="Y39" i="17"/>
  <c r="AH39" i="17"/>
  <c r="X51" i="17"/>
  <c r="AG51" i="17"/>
  <c r="O51" i="17"/>
  <c r="P43" i="17"/>
  <c r="Q43" i="17" s="1"/>
  <c r="Y43" i="17"/>
  <c r="AH43" i="17"/>
  <c r="Y106" i="17"/>
  <c r="P106" i="17"/>
  <c r="Q106" i="17" s="1"/>
  <c r="AH106" i="17"/>
  <c r="AG20" i="17"/>
  <c r="X20" i="17"/>
  <c r="O20" i="17"/>
  <c r="X67" i="17"/>
  <c r="AG67" i="17"/>
  <c r="O67" i="17"/>
  <c r="O100" i="17"/>
  <c r="X100" i="17"/>
  <c r="AG100" i="17"/>
  <c r="O42" i="17"/>
  <c r="X42" i="17"/>
  <c r="AG42" i="17"/>
  <c r="Y18" i="17"/>
  <c r="AH18" i="17"/>
  <c r="P18" i="17"/>
  <c r="Q18" i="17" s="1"/>
  <c r="AH27" i="17"/>
  <c r="Y27" i="17"/>
  <c r="P27" i="17"/>
  <c r="Q27" i="17" s="1"/>
  <c r="Y20" i="17"/>
  <c r="P20" i="17"/>
  <c r="Q20" i="17" s="1"/>
  <c r="AH20" i="17"/>
  <c r="O110" i="17"/>
  <c r="X110" i="17"/>
  <c r="AG110" i="17"/>
  <c r="Y10" i="17"/>
  <c r="P10" i="17"/>
  <c r="Q10" i="17" s="1"/>
  <c r="AH10" i="17"/>
  <c r="P45" i="17"/>
  <c r="Q45" i="17" s="1"/>
  <c r="Y45" i="17"/>
  <c r="AH45" i="17"/>
  <c r="O11" i="17"/>
  <c r="X11" i="17"/>
  <c r="AG11" i="17"/>
  <c r="AH19" i="17"/>
  <c r="Y19" i="17"/>
  <c r="P19" i="17"/>
  <c r="Q19" i="17" s="1"/>
  <c r="AH38" i="17"/>
  <c r="Y38" i="17"/>
  <c r="P38" i="17"/>
  <c r="Q38" i="17" s="1"/>
  <c r="AH17" i="17"/>
  <c r="P17" i="17"/>
  <c r="Q17" i="17" s="1"/>
  <c r="Y17" i="17"/>
  <c r="P23" i="17"/>
  <c r="Q23" i="17" s="1"/>
  <c r="Y23" i="17"/>
  <c r="AH23" i="17"/>
  <c r="P58" i="17"/>
  <c r="Q58" i="17" s="1"/>
  <c r="Y58" i="17"/>
  <c r="AH58" i="17"/>
  <c r="AH103" i="17"/>
  <c r="P103" i="17"/>
  <c r="Q103" i="17" s="1"/>
  <c r="Y103" i="17"/>
  <c r="P73" i="17"/>
  <c r="Q73" i="17" s="1"/>
  <c r="AH73" i="17"/>
  <c r="Y73" i="17"/>
  <c r="AH84" i="17"/>
  <c r="P84" i="17"/>
  <c r="Q84" i="17" s="1"/>
  <c r="Y84" i="17"/>
  <c r="AH99" i="17"/>
  <c r="Y99" i="17"/>
  <c r="P99" i="17"/>
  <c r="Q99" i="17" s="1"/>
  <c r="AH98" i="17"/>
  <c r="Y98" i="17"/>
  <c r="P98" i="17"/>
  <c r="Q98" i="17" s="1"/>
  <c r="Y100" i="17"/>
  <c r="P100" i="17"/>
  <c r="Q100" i="17" s="1"/>
  <c r="AH100" i="17"/>
  <c r="Y107" i="17"/>
  <c r="AH107" i="17"/>
  <c r="P107" i="17"/>
  <c r="Q107" i="17" s="1"/>
  <c r="X92" i="17"/>
  <c r="O92" i="17"/>
  <c r="AG92" i="17"/>
  <c r="P76" i="17"/>
  <c r="Q76" i="17" s="1"/>
  <c r="AH76" i="17"/>
  <c r="Y76" i="17"/>
  <c r="AH69" i="17"/>
  <c r="P69" i="17"/>
  <c r="Q69" i="17" s="1"/>
  <c r="Y69" i="17"/>
  <c r="AG46" i="17"/>
  <c r="O46" i="17"/>
  <c r="X46" i="17"/>
  <c r="AG69" i="17"/>
  <c r="O69" i="17"/>
  <c r="X69" i="17"/>
  <c r="AG18" i="17"/>
  <c r="O18" i="17"/>
  <c r="X18" i="17"/>
  <c r="P24" i="17"/>
  <c r="Q24" i="17" s="1"/>
  <c r="Y24" i="17"/>
  <c r="AH24" i="17"/>
  <c r="X26" i="17"/>
  <c r="O26" i="17"/>
  <c r="AG26" i="17"/>
  <c r="AH29" i="17"/>
  <c r="Y29" i="17"/>
  <c r="P29" i="17"/>
  <c r="Q29" i="17" s="1"/>
  <c r="AH15" i="17"/>
  <c r="Y15" i="17"/>
  <c r="P15" i="17"/>
  <c r="Q15" i="17" s="1"/>
  <c r="X13" i="17"/>
  <c r="O13" i="17"/>
  <c r="AG13" i="17"/>
  <c r="X105" i="17"/>
  <c r="AG105" i="17"/>
  <c r="O105" i="17"/>
  <c r="O82" i="17"/>
  <c r="X82" i="17"/>
  <c r="AG82" i="17"/>
  <c r="O9" i="17"/>
  <c r="X9" i="17"/>
  <c r="AG9" i="17"/>
  <c r="O35" i="17"/>
  <c r="AG35" i="17"/>
  <c r="X35" i="17"/>
  <c r="AH93" i="17"/>
  <c r="P93" i="17"/>
  <c r="Q93" i="17" s="1"/>
  <c r="Y93" i="17"/>
  <c r="AG63" i="17"/>
  <c r="X63" i="17"/>
  <c r="O63" i="17"/>
  <c r="AH21" i="17"/>
  <c r="P21" i="17"/>
  <c r="Q21" i="17" s="1"/>
  <c r="Y21" i="17"/>
  <c r="X53" i="17"/>
  <c r="AG53" i="17"/>
  <c r="O53" i="17"/>
  <c r="O83" i="17"/>
  <c r="AG83" i="17"/>
  <c r="X83" i="17"/>
  <c r="AH56" i="17"/>
  <c r="Y56" i="17"/>
  <c r="P56" i="17"/>
  <c r="Q56" i="17" s="1"/>
  <c r="O32" i="17"/>
  <c r="AG32" i="17"/>
  <c r="X32" i="17"/>
  <c r="AG108" i="17"/>
  <c r="X108" i="17"/>
  <c r="O108" i="17"/>
  <c r="Y86" i="17"/>
  <c r="P86" i="17"/>
  <c r="Q86" i="17" s="1"/>
  <c r="AH86" i="17"/>
  <c r="O62" i="17"/>
  <c r="X62" i="17"/>
  <c r="AG62" i="17"/>
  <c r="O25" i="17"/>
  <c r="X25" i="17"/>
  <c r="AG25" i="17"/>
  <c r="X27" i="17"/>
  <c r="AG27" i="17"/>
  <c r="O27" i="17"/>
  <c r="Y33" i="17"/>
  <c r="AH33" i="17"/>
  <c r="P33" i="17"/>
  <c r="Q33" i="17" s="1"/>
  <c r="P59" i="17"/>
  <c r="Q59" i="17" s="1"/>
  <c r="AH59" i="17"/>
  <c r="Y59" i="17"/>
  <c r="X44" i="17"/>
  <c r="AG44" i="17"/>
  <c r="O44" i="17"/>
  <c r="P109" i="17"/>
  <c r="Q109" i="17" s="1"/>
  <c r="AH109" i="17"/>
  <c r="Y109" i="17"/>
  <c r="P49" i="17"/>
  <c r="Q49" i="17" s="1"/>
  <c r="Y49" i="17"/>
  <c r="AH49" i="17"/>
  <c r="P79" i="17"/>
  <c r="Q79" i="17" s="1"/>
  <c r="AH79" i="17"/>
  <c r="Y79" i="17"/>
  <c r="O71" i="17"/>
  <c r="X71" i="17"/>
  <c r="AG71" i="17"/>
  <c r="X98" i="17"/>
  <c r="AG98" i="17"/>
  <c r="O98" i="17"/>
  <c r="X75" i="17"/>
  <c r="O75" i="17"/>
  <c r="AG75" i="17"/>
  <c r="P66" i="17"/>
  <c r="Q66" i="17" s="1"/>
  <c r="Y66" i="17"/>
  <c r="AH66" i="17"/>
  <c r="AG47" i="17"/>
  <c r="O47" i="17"/>
  <c r="X47" i="17"/>
  <c r="P61" i="17"/>
  <c r="Q61" i="17" s="1"/>
  <c r="AH61" i="17"/>
  <c r="Y61" i="17"/>
  <c r="Y97" i="17"/>
  <c r="P97" i="17"/>
  <c r="Q97" i="17" s="1"/>
  <c r="AH97" i="17"/>
  <c r="AH81" i="17"/>
  <c r="P81" i="17"/>
  <c r="Q81" i="17" s="1"/>
  <c r="Y81" i="17"/>
  <c r="P60" i="17"/>
  <c r="Q60" i="17" s="1"/>
  <c r="AH60" i="17"/>
  <c r="Y60" i="17"/>
  <c r="P70" i="17"/>
  <c r="Q70" i="17" s="1"/>
  <c r="AH70" i="17"/>
  <c r="Y70" i="17"/>
  <c r="Y83" i="17"/>
  <c r="P83" i="17"/>
  <c r="Q83" i="17" s="1"/>
  <c r="AH83" i="17"/>
  <c r="P95" i="17"/>
  <c r="Q95" i="17" s="1"/>
  <c r="Y95" i="17"/>
  <c r="AH95" i="17"/>
  <c r="AH46" i="17"/>
  <c r="P46" i="17"/>
  <c r="Q46" i="17" s="1"/>
  <c r="Y46" i="17"/>
  <c r="Y82" i="17"/>
  <c r="AH82" i="17"/>
  <c r="P82" i="17"/>
  <c r="Q82" i="17" s="1"/>
  <c r="AG80" i="17"/>
  <c r="O80" i="17"/>
  <c r="X80" i="17"/>
  <c r="O78" i="17"/>
  <c r="AG78" i="17"/>
  <c r="X78" i="17"/>
  <c r="Y104" i="17"/>
  <c r="AH104" i="17"/>
  <c r="P104" i="17"/>
  <c r="Q104" i="17" s="1"/>
  <c r="O94" i="17"/>
  <c r="X94" i="17"/>
  <c r="AG94" i="17"/>
  <c r="AG88" i="17"/>
  <c r="X88" i="17"/>
  <c r="O88" i="17"/>
  <c r="AG81" i="17"/>
  <c r="O81" i="17"/>
  <c r="X81" i="17"/>
  <c r="O60" i="17"/>
  <c r="X60" i="17"/>
  <c r="AG60" i="17"/>
  <c r="P63" i="17"/>
  <c r="Q63" i="17" s="1"/>
  <c r="Y63" i="17"/>
  <c r="AH63" i="17"/>
  <c r="O76" i="17"/>
  <c r="AG76" i="17"/>
  <c r="X76" i="17"/>
  <c r="O97" i="17"/>
  <c r="X97" i="17"/>
  <c r="AG97" i="17"/>
  <c r="Y77" i="17"/>
  <c r="P77" i="17"/>
  <c r="Q77" i="17" s="1"/>
  <c r="AH77" i="17"/>
  <c r="Y11" i="17"/>
  <c r="P11" i="17"/>
  <c r="Q11" i="17" s="1"/>
  <c r="AH11" i="17"/>
  <c r="AH32" i="17"/>
  <c r="Y32" i="17"/>
  <c r="P32" i="17"/>
  <c r="Q32" i="17" s="1"/>
  <c r="AG40" i="17"/>
  <c r="X40" i="17"/>
  <c r="O40" i="17"/>
  <c r="Y31" i="17"/>
  <c r="P31" i="17"/>
  <c r="Q31" i="17" s="1"/>
  <c r="AH31" i="17"/>
  <c r="AG36" i="17"/>
  <c r="X36" i="17"/>
  <c r="O36" i="17"/>
  <c r="X112" i="17"/>
  <c r="AG112" i="17"/>
  <c r="O112" i="17"/>
  <c r="O65" i="17"/>
  <c r="AG65" i="17"/>
  <c r="X65" i="17"/>
  <c r="O37" i="17"/>
  <c r="AG37" i="17"/>
  <c r="X37" i="17"/>
  <c r="X30" i="17"/>
  <c r="AG30" i="17"/>
  <c r="O30" i="17"/>
  <c r="P22" i="17"/>
  <c r="Q22" i="17" s="1"/>
  <c r="AH22" i="17"/>
  <c r="Y22" i="17"/>
  <c r="O59" i="17"/>
  <c r="X59" i="17"/>
  <c r="AG59" i="17"/>
  <c r="Y34" i="17"/>
  <c r="AH34" i="17"/>
  <c r="P34" i="17"/>
  <c r="Q34" i="17" s="1"/>
  <c r="AG106" i="17"/>
  <c r="X106" i="17"/>
  <c r="O106" i="17"/>
  <c r="P57" i="17"/>
  <c r="Q57" i="17" s="1"/>
  <c r="Y57" i="17"/>
  <c r="AH57" i="17"/>
  <c r="P89" i="17"/>
  <c r="Q89" i="17" s="1"/>
  <c r="Y89" i="17"/>
  <c r="AH89" i="17"/>
  <c r="AG19" i="17"/>
  <c r="O19" i="17"/>
  <c r="X19" i="17"/>
  <c r="Y14" i="17"/>
  <c r="P14" i="17"/>
  <c r="Q14" i="17" s="1"/>
  <c r="AH14" i="17"/>
  <c r="AG39" i="17"/>
  <c r="X39" i="17"/>
  <c r="O39" i="17"/>
  <c r="O66" i="17"/>
  <c r="X66" i="17"/>
  <c r="AG66" i="17"/>
  <c r="O16" i="17"/>
  <c r="AG16" i="17"/>
  <c r="X16" i="17"/>
  <c r="AH85" i="17"/>
  <c r="P85" i="17"/>
  <c r="Q85" i="17" s="1"/>
  <c r="Y85" i="17"/>
  <c r="Y80" i="17"/>
  <c r="AH80" i="17"/>
  <c r="P80" i="17"/>
  <c r="Q80" i="17" s="1"/>
  <c r="P54" i="17"/>
  <c r="Q54" i="17" s="1"/>
  <c r="Y54" i="17"/>
  <c r="AH54" i="17"/>
  <c r="X68" i="17"/>
  <c r="AG68" i="17"/>
  <c r="O68" i="17"/>
  <c r="AH88" i="17"/>
  <c r="P88" i="17"/>
  <c r="Q88" i="17" s="1"/>
  <c r="Y88" i="17"/>
  <c r="AH110" i="17"/>
  <c r="P110" i="17"/>
  <c r="Q110" i="17" s="1"/>
  <c r="Y110" i="17"/>
  <c r="AH55" i="17"/>
  <c r="P55" i="17"/>
  <c r="Q55" i="17" s="1"/>
  <c r="Y55" i="17"/>
  <c r="O84" i="17"/>
  <c r="AG84" i="17"/>
  <c r="X84" i="17"/>
  <c r="AG73" i="17"/>
  <c r="O73" i="17"/>
  <c r="X73" i="17"/>
  <c r="P78" i="17"/>
  <c r="Q78" i="17" s="1"/>
  <c r="AH78" i="17"/>
  <c r="Y78" i="17"/>
  <c r="X87" i="17"/>
  <c r="AG87" i="17"/>
  <c r="O87" i="17"/>
  <c r="Y65" i="17"/>
  <c r="P65" i="17"/>
  <c r="Q65" i="17" s="1"/>
  <c r="AH65" i="17"/>
  <c r="X86" i="17"/>
  <c r="AG86" i="17"/>
  <c r="O86" i="17"/>
  <c r="P71" i="17"/>
  <c r="Q71" i="17" s="1"/>
  <c r="AH71" i="17"/>
  <c r="Y71" i="17"/>
  <c r="P94" i="17"/>
  <c r="Q94" i="17" s="1"/>
  <c r="AH94" i="17"/>
  <c r="Y94" i="17"/>
  <c r="X103" i="17"/>
  <c r="AG103" i="17"/>
  <c r="O103" i="17"/>
  <c r="P92" i="17"/>
  <c r="Q92" i="17" s="1"/>
  <c r="Y92" i="17"/>
  <c r="AH92" i="17"/>
  <c r="Y112" i="17"/>
  <c r="P112" i="17"/>
  <c r="Q112" i="17" s="1"/>
  <c r="AH112" i="17"/>
  <c r="P62" i="17"/>
  <c r="Q62" i="17" s="1"/>
  <c r="AH62" i="17"/>
  <c r="Y62" i="17"/>
  <c r="X77" i="17"/>
  <c r="AG77" i="17"/>
  <c r="O77" i="17"/>
  <c r="AG43" i="17"/>
  <c r="X43" i="17"/>
  <c r="O43" i="17"/>
  <c r="X99" i="17"/>
  <c r="O99" i="17"/>
  <c r="AG99" i="17"/>
  <c r="P113" i="17"/>
  <c r="Q113" i="17" s="1"/>
  <c r="Y113" i="17"/>
  <c r="AH113" i="17"/>
  <c r="AG113" i="17"/>
  <c r="O113" i="17"/>
  <c r="X113" i="17"/>
  <c r="AG64" i="17"/>
  <c r="X64" i="17"/>
  <c r="O64" i="17"/>
  <c r="O74" i="17"/>
  <c r="AG74" i="17"/>
  <c r="X74" i="17"/>
  <c r="AG72" i="17"/>
  <c r="O72" i="17"/>
  <c r="X72" i="17"/>
  <c r="X61" i="17"/>
  <c r="AG61" i="17"/>
  <c r="O61" i="17"/>
  <c r="AG93" i="17"/>
  <c r="X93" i="17"/>
  <c r="O93" i="17"/>
  <c r="AG85" i="17"/>
  <c r="X85" i="17"/>
  <c r="O85" i="17"/>
  <c r="P75" i="17"/>
  <c r="Q75" i="17" s="1"/>
  <c r="Y75" i="17"/>
  <c r="AH75" i="17"/>
  <c r="Y12" i="17"/>
  <c r="AH12" i="17"/>
  <c r="P12" i="17"/>
  <c r="Q12" i="17" s="1"/>
  <c r="Y25" i="17"/>
  <c r="AH25" i="17"/>
  <c r="P25" i="17"/>
  <c r="Q25" i="17" s="1"/>
  <c r="Y26" i="17"/>
  <c r="P26" i="17"/>
  <c r="Q26" i="17" s="1"/>
  <c r="AH26" i="17"/>
  <c r="X10" i="17"/>
  <c r="O10" i="17"/>
  <c r="AG10" i="17"/>
  <c r="X14" i="17"/>
  <c r="O14" i="17"/>
  <c r="AG14" i="17"/>
  <c r="AG12" i="17"/>
  <c r="X12" i="17"/>
  <c r="O12" i="17"/>
  <c r="X91" i="17"/>
  <c r="AG91" i="17"/>
  <c r="O91" i="17"/>
  <c r="P101" i="17"/>
  <c r="Q101" i="17" s="1"/>
  <c r="Y101" i="17"/>
  <c r="AH101" i="17"/>
  <c r="Y13" i="17"/>
  <c r="P13" i="17"/>
  <c r="Q13" i="17" s="1"/>
  <c r="AH13" i="17"/>
  <c r="AH35" i="17"/>
  <c r="P35" i="17"/>
  <c r="Q35" i="17" s="1"/>
  <c r="Y35" i="17"/>
  <c r="O24" i="17"/>
  <c r="AG24" i="17"/>
  <c r="X24" i="17"/>
  <c r="AG31" i="17"/>
  <c r="X31" i="17"/>
  <c r="O31" i="17"/>
  <c r="P8" i="17"/>
  <c r="Q8" i="17" s="1"/>
  <c r="AH8" i="17"/>
  <c r="Y8" i="17"/>
  <c r="X101" i="17"/>
  <c r="AG101" i="17"/>
  <c r="O101" i="17"/>
  <c r="X34" i="17"/>
  <c r="O34" i="17"/>
  <c r="AG34" i="17"/>
  <c r="O8" i="17"/>
  <c r="X8" i="17"/>
  <c r="AG8" i="17"/>
  <c r="X21" i="17"/>
  <c r="AG21" i="17"/>
  <c r="O21" i="17"/>
  <c r="AH37" i="17"/>
  <c r="P37" i="17"/>
  <c r="Q37" i="17" s="1"/>
  <c r="Y37" i="17"/>
  <c r="O28" i="17"/>
  <c r="X28" i="17"/>
  <c r="AG28" i="17"/>
  <c r="X70" i="17"/>
  <c r="O70" i="17"/>
  <c r="AG70" i="17"/>
  <c r="O17" i="17"/>
  <c r="X17" i="17"/>
  <c r="AG17" i="17"/>
  <c r="Y30" i="17"/>
  <c r="P30" i="17"/>
  <c r="Q30" i="17" s="1"/>
  <c r="AH30" i="17"/>
  <c r="P47" i="17"/>
  <c r="Q47" i="17" s="1"/>
  <c r="AH47" i="17"/>
  <c r="Y47" i="17"/>
  <c r="AH64" i="17"/>
  <c r="P64" i="17"/>
  <c r="Q64" i="17" s="1"/>
  <c r="Y64" i="17"/>
  <c r="O45" i="17"/>
  <c r="X45" i="17"/>
  <c r="AG45" i="17"/>
  <c r="AH52" i="17"/>
  <c r="P52" i="17"/>
  <c r="Q52" i="17" s="1"/>
  <c r="Y52" i="17"/>
  <c r="O89" i="17"/>
  <c r="X89" i="17"/>
  <c r="AG89" i="17"/>
  <c r="AH53" i="17"/>
  <c r="P53" i="17"/>
  <c r="Q53" i="17" s="1"/>
  <c r="Y53" i="17"/>
  <c r="P72" i="17"/>
  <c r="Q72" i="17" s="1"/>
  <c r="Y72" i="17"/>
  <c r="AH72" i="17"/>
  <c r="AG54" i="17"/>
  <c r="O54" i="17"/>
  <c r="X54" i="17"/>
  <c r="X33" i="17"/>
  <c r="O33" i="17"/>
  <c r="AG33" i="17"/>
  <c r="X49" i="17"/>
  <c r="AG49" i="17"/>
  <c r="O49" i="17"/>
  <c r="O55" i="17"/>
  <c r="AG55" i="17"/>
  <c r="X55" i="17"/>
  <c r="X52" i="17"/>
  <c r="AG52" i="17"/>
  <c r="O52" i="17"/>
  <c r="AH48" i="17"/>
  <c r="Y48" i="17"/>
  <c r="P48" i="17"/>
  <c r="Q48" i="17" s="1"/>
  <c r="O29" i="17"/>
  <c r="AG29" i="17"/>
  <c r="X29" i="17"/>
  <c r="X111" i="17"/>
  <c r="O111" i="17"/>
  <c r="AG111" i="17"/>
  <c r="P42" i="17"/>
  <c r="Q42" i="17" s="1"/>
  <c r="Y42" i="17"/>
  <c r="AH42" i="17"/>
  <c r="P105" i="17"/>
  <c r="Q105" i="17" s="1"/>
  <c r="AH105" i="17"/>
  <c r="Y105" i="17"/>
  <c r="Y91" i="17"/>
  <c r="P91" i="17"/>
  <c r="Q91" i="17" s="1"/>
  <c r="AH91" i="17"/>
  <c r="O79" i="17"/>
  <c r="X79" i="17"/>
  <c r="AG79" i="17"/>
  <c r="P44" i="17"/>
  <c r="Q44" i="17" s="1"/>
  <c r="AH44" i="17"/>
  <c r="Y44" i="17"/>
  <c r="Y102" i="17"/>
  <c r="AH102" i="17"/>
  <c r="P102" i="17"/>
  <c r="Q102" i="17" s="1"/>
  <c r="X56" i="17"/>
  <c r="AG56" i="17"/>
  <c r="O56" i="17"/>
  <c r="P111" i="17"/>
  <c r="Q111" i="17" s="1"/>
  <c r="Y111" i="17"/>
  <c r="AH111" i="17"/>
  <c r="AH28" i="17"/>
  <c r="P28" i="17"/>
  <c r="Q28" i="17" s="1"/>
  <c r="Y28" i="17"/>
  <c r="X48" i="17"/>
  <c r="O48" i="17"/>
  <c r="AG48" i="17"/>
  <c r="X95" i="17"/>
  <c r="AG95" i="17"/>
  <c r="O95" i="17"/>
  <c r="O58" i="17"/>
  <c r="AG58" i="17"/>
  <c r="X58" i="17"/>
  <c r="O50" i="17"/>
  <c r="AG50" i="17"/>
  <c r="X50" i="17"/>
  <c r="X57" i="17"/>
  <c r="AG57" i="17"/>
  <c r="O57" i="17"/>
  <c r="O90" i="17"/>
  <c r="AG90" i="17"/>
  <c r="X90" i="17"/>
  <c r="AG107" i="17"/>
  <c r="X107" i="17"/>
  <c r="O107" i="17"/>
  <c r="AH9" i="17"/>
  <c r="P9" i="17"/>
  <c r="Q9" i="17" s="1"/>
  <c r="Y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이홍섭</author>
  </authors>
  <commentList>
    <comment ref="AF2" authorId="0" shapeId="0" xr:uid="{714D9B62-D40E-4D03-90AD-E9CDD9A64F82}">
      <text>
        <r>
          <rPr>
            <b/>
            <sz val="10"/>
            <color indexed="81"/>
            <rFont val="돋움"/>
            <family val="3"/>
            <charset val="129"/>
          </rPr>
          <t>추경작성인 경우 클릭</t>
        </r>
        <r>
          <rPr>
            <sz val="9"/>
            <color indexed="81"/>
            <rFont val="Tahoma"/>
            <family val="2"/>
          </rPr>
          <t xml:space="preserve">
</t>
        </r>
      </text>
    </comment>
    <comment ref="Q4" authorId="0" shapeId="0" xr:uid="{274D5155-1DE7-4C11-A254-3D0A5609E78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T4" authorId="0" shapeId="0" xr:uid="{8FEED481-26F6-49B4-B77B-97D5DCD604A1}">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생계급여인상분에</t>
        </r>
        <r>
          <rPr>
            <sz val="9"/>
            <color indexed="81"/>
            <rFont val="Tahoma"/>
            <family val="2"/>
          </rPr>
          <t xml:space="preserve"> </t>
        </r>
        <r>
          <rPr>
            <sz val="9"/>
            <color indexed="81"/>
            <rFont val="돋움"/>
            <family val="3"/>
            <charset val="129"/>
          </rPr>
          <t>따라
약</t>
        </r>
        <r>
          <rPr>
            <sz val="9"/>
            <color indexed="81"/>
            <rFont val="Tahoma"/>
            <family val="2"/>
          </rPr>
          <t xml:space="preserve"> 13%</t>
        </r>
        <r>
          <rPr>
            <sz val="9"/>
            <color indexed="81"/>
            <rFont val="돋움"/>
            <family val="3"/>
            <charset val="129"/>
          </rPr>
          <t>인상</t>
        </r>
      </text>
    </comment>
    <comment ref="Q7" authorId="0" shapeId="0" xr:uid="{AE91B455-F71D-4FB7-A1B7-B76BC99DEBB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8" authorId="0" shapeId="0" xr:uid="{1677A961-3669-46A2-822D-E647F1FC117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9" authorId="0" shapeId="0" xr:uid="{FEFA6816-3443-42F8-93D2-DFFAEDF1EB8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0" authorId="0" shapeId="0" xr:uid="{3857C503-4AA8-45C8-A73B-32529F88C57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BA10" authorId="0" shapeId="0" xr:uid="{5C7C6094-1200-4ADF-BCB7-0DC9B6E46122}">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 ref="Q11" authorId="0" shapeId="0" xr:uid="{4D611F2D-4D0E-4434-8833-EF597FD2329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2" authorId="0" shapeId="0" xr:uid="{D41BABD5-189B-4244-A6B4-548D18B0CFC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AC12" authorId="0" shapeId="0" xr:uid="{384FDBFE-8430-45BA-BEBD-FE5A62BA54F6}">
      <text>
        <r>
          <rPr>
            <b/>
            <sz val="9"/>
            <color indexed="81"/>
            <rFont val="돋움"/>
            <family val="3"/>
            <charset val="129"/>
          </rPr>
          <t>이홍섭</t>
        </r>
        <r>
          <rPr>
            <b/>
            <sz val="9"/>
            <color indexed="81"/>
            <rFont val="Tahoma"/>
            <family val="2"/>
          </rPr>
          <t>:</t>
        </r>
        <r>
          <rPr>
            <sz val="9"/>
            <color indexed="81"/>
            <rFont val="Tahoma"/>
            <family val="2"/>
          </rPr>
          <t xml:space="preserve">
22.07~
</t>
        </r>
        <r>
          <rPr>
            <sz val="9"/>
            <color indexed="81"/>
            <rFont val="돋움"/>
            <family val="3"/>
            <charset val="129"/>
          </rPr>
          <t>근로자</t>
        </r>
        <r>
          <rPr>
            <sz val="9"/>
            <color indexed="81"/>
            <rFont val="Tahoma"/>
            <family val="2"/>
          </rPr>
          <t xml:space="preserve"> 0.9%
</t>
        </r>
        <r>
          <rPr>
            <sz val="9"/>
            <color indexed="81"/>
            <rFont val="돋움"/>
            <family val="3"/>
            <charset val="129"/>
          </rPr>
          <t>사업주</t>
        </r>
        <r>
          <rPr>
            <sz val="9"/>
            <color indexed="81"/>
            <rFont val="Tahoma"/>
            <family val="2"/>
          </rPr>
          <t xml:space="preserve"> 1.15%</t>
        </r>
      </text>
    </comment>
    <comment ref="Q13" authorId="0" shapeId="0" xr:uid="{18EF0F8F-1E7A-4918-9615-2F2F74F8BAD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AC13" authorId="0" shapeId="0" xr:uid="{A5BE6E77-3BDD-4DA5-BD68-BCDC39087020}">
      <text>
        <r>
          <rPr>
            <b/>
            <sz val="9"/>
            <color indexed="81"/>
            <rFont val="돋움"/>
            <family val="3"/>
            <charset val="129"/>
          </rPr>
          <t>이홍섭</t>
        </r>
        <r>
          <rPr>
            <b/>
            <sz val="9"/>
            <color indexed="81"/>
            <rFont val="Tahoma"/>
            <family val="2"/>
          </rPr>
          <t>:</t>
        </r>
        <r>
          <rPr>
            <sz val="9"/>
            <color indexed="81"/>
            <rFont val="Tahoma"/>
            <family val="2"/>
          </rPr>
          <t xml:space="preserve">
22.07~
</t>
        </r>
        <r>
          <rPr>
            <sz val="9"/>
            <color indexed="81"/>
            <rFont val="돋움"/>
            <family val="3"/>
            <charset val="129"/>
          </rPr>
          <t>근로자</t>
        </r>
        <r>
          <rPr>
            <sz val="9"/>
            <color indexed="81"/>
            <rFont val="Tahoma"/>
            <family val="2"/>
          </rPr>
          <t xml:space="preserve"> 0.9%
</t>
        </r>
        <r>
          <rPr>
            <sz val="9"/>
            <color indexed="81"/>
            <rFont val="돋움"/>
            <family val="3"/>
            <charset val="129"/>
          </rPr>
          <t>사업주</t>
        </r>
        <r>
          <rPr>
            <sz val="9"/>
            <color indexed="81"/>
            <rFont val="Tahoma"/>
            <family val="2"/>
          </rPr>
          <t xml:space="preserve"> 1.15%</t>
        </r>
      </text>
    </comment>
    <comment ref="Q14" authorId="0" shapeId="0" xr:uid="{E3FC334B-3EA5-4517-B085-5476A86289E8}">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5" authorId="0" shapeId="0" xr:uid="{53C3F948-303C-475F-A9BB-77092FAE1AA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6" authorId="0" shapeId="0" xr:uid="{55CBC041-254B-4EFA-9A81-DEBAD8715D5E}">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7" authorId="0" shapeId="0" xr:uid="{83E7B769-FF02-4103-AA67-A250F23C9C5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8" authorId="0" shapeId="0" xr:uid="{FC737989-411A-46D6-BC35-8B796337B10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19" authorId="0" shapeId="0" xr:uid="{0EAF3FA9-2060-4E12-B005-6E7F8FB1FE7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0" authorId="0" shapeId="0" xr:uid="{41BF47C1-10A5-48EA-A64B-650ABA250EB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1" authorId="0" shapeId="0" xr:uid="{BC297916-54C9-46FA-A638-1EC84C33970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2" authorId="0" shapeId="0" xr:uid="{05A2D682-1F93-4160-94AB-3B4D31111BC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3" authorId="0" shapeId="0" xr:uid="{D918ACF4-548F-42F4-8803-CA116D34C79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4" authorId="0" shapeId="0" xr:uid="{1B852382-9467-4CCB-AA55-7EFBCBEAB84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5" authorId="0" shapeId="0" xr:uid="{C4F62B4D-300D-4F6D-8CFA-2A0908A05F1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6" authorId="0" shapeId="0" xr:uid="{4EB41FD3-D252-4A25-B95D-A9D692BEE32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Q27" authorId="0" shapeId="0" xr:uid="{B40644D8-5590-4D88-87BB-04290C26FEE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입력안하면 전년대비 자동계산함</t>
        </r>
      </text>
    </comment>
    <comment ref="O31" authorId="0" shapeId="0" xr:uid="{B859A2A3-36B9-472E-858C-673A74301AEB}">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맑은 고딕"/>
            <family val="3"/>
            <charset val="129"/>
            <scheme val="major"/>
          </rPr>
          <t>1식 식대입력 안하면 전년결산대비 자동계산</t>
        </r>
      </text>
    </comment>
    <comment ref="Q32" authorId="0" shapeId="0" xr:uid="{2060EF98-8F37-4C73-8F57-063176595FA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3" authorId="0" shapeId="0" xr:uid="{264C20A9-B0D2-40AA-9090-8C591870CC5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4" authorId="0" shapeId="0" xr:uid="{F621BA10-841F-454B-9668-B1AEF293869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5" authorId="0" shapeId="0" xr:uid="{6C4A57B4-4ABA-4C68-9358-4DAF79A1221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6" authorId="0" shapeId="0" xr:uid="{8D72AB1E-7CDB-4054-AADC-BF9C0EBA45C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7" authorId="0" shapeId="0" xr:uid="{9AC0977D-0654-48FF-9D77-86E4A988966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8" authorId="0" shapeId="0" xr:uid="{FC276B03-2499-4812-939B-B3298D5AC91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39" authorId="0" shapeId="0" xr:uid="{F66BDC55-CCD1-4E74-A15A-B859E17F20A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0" authorId="0" shapeId="0" xr:uid="{87777EC2-73D8-459B-B3D8-48199AFCC74E}">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1" authorId="0" shapeId="0" xr:uid="{EC186250-5BD1-42F8-9ED3-FF90DFB8C30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2" authorId="0" shapeId="0" xr:uid="{0FA53D12-6100-41A5-BA0F-D7ED37DAA56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AB42" authorId="0" shapeId="0" xr:uid="{D5B0F127-475F-48E2-971A-500CAAC72C41}">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공공요금의</t>
        </r>
        <r>
          <rPr>
            <sz val="9"/>
            <color indexed="81"/>
            <rFont val="Tahoma"/>
            <family val="2"/>
          </rPr>
          <t xml:space="preserve"> </t>
        </r>
        <r>
          <rPr>
            <sz val="9"/>
            <color indexed="81"/>
            <rFont val="돋움"/>
            <family val="3"/>
            <charset val="129"/>
          </rPr>
          <t>비율입력
나머지는</t>
        </r>
        <r>
          <rPr>
            <sz val="9"/>
            <color indexed="81"/>
            <rFont val="Tahoma"/>
            <family val="2"/>
          </rPr>
          <t xml:space="preserve"> </t>
        </r>
        <r>
          <rPr>
            <sz val="9"/>
            <color indexed="81"/>
            <rFont val="돋움"/>
            <family val="3"/>
            <charset val="129"/>
          </rPr>
          <t>제세공과금</t>
        </r>
      </text>
    </comment>
    <comment ref="Q43" authorId="0" shapeId="0" xr:uid="{A78E489F-94E9-492D-B29A-E01231467D2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4" authorId="0" shapeId="0" xr:uid="{4156CB86-EFB5-4C17-A540-2F8D28D8D72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5" authorId="0" shapeId="0" xr:uid="{ECA3089B-DF2F-4540-A3C6-97A07F326FD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46" authorId="0" shapeId="0" xr:uid="{5CD116ED-FC3E-4287-84D8-0154D61B680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51" authorId="0" shapeId="0" xr:uid="{B7FFBCC8-EEB0-406B-BACC-DABFC596E40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54" authorId="0" shapeId="0" xr:uid="{13A932F0-954C-45E5-8F52-76F71A87D6E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55" authorId="0" shapeId="0" xr:uid="{5FCE683B-1215-44E7-BAED-013882A9ECD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57" authorId="0" shapeId="0" xr:uid="{EF81FFD7-DD43-4AC4-9DC2-14321670317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59" authorId="0" shapeId="0" xr:uid="{63A8343C-E181-4F1E-8041-0367652A6E1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60" authorId="0" shapeId="0" xr:uid="{B333C3A5-31C5-4973-8317-EC2D4D70D3E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61" authorId="0" shapeId="0" xr:uid="{43FB67E5-D6D6-4FB3-B467-DE5647116C5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62" authorId="0" shapeId="0" xr:uid="{22C1BE62-ED3F-4E7E-89E2-D1EA1729899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BA62" authorId="0" shapeId="0" xr:uid="{FC13768F-6FDE-481F-9E54-733912B243E7}">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 ref="Q63" authorId="0" shapeId="0" xr:uid="{B3410479-D5E7-49A4-9D56-BB45AA3C1E0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65" authorId="0" shapeId="0" xr:uid="{BEDB654D-005E-4A64-86E9-035D7D109FD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V67" authorId="0" shapeId="0" xr:uid="{874ECA04-181E-4B7A-BBBD-11CFE95EE216}">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퇴직적립금이</t>
        </r>
        <r>
          <rPr>
            <sz val="9"/>
            <color indexed="81"/>
            <rFont val="Tahoma"/>
            <family val="2"/>
          </rPr>
          <t xml:space="preserve"> </t>
        </r>
        <r>
          <rPr>
            <sz val="9"/>
            <color indexed="81"/>
            <rFont val="돋움"/>
            <family val="3"/>
            <charset val="129"/>
          </rPr>
          <t>보험사상품으로</t>
        </r>
        <r>
          <rPr>
            <sz val="9"/>
            <color indexed="81"/>
            <rFont val="Tahoma"/>
            <family val="2"/>
          </rPr>
          <t xml:space="preserve"> </t>
        </r>
        <r>
          <rPr>
            <sz val="9"/>
            <color indexed="81"/>
            <rFont val="돋움"/>
            <family val="3"/>
            <charset val="129"/>
          </rPr>
          <t>들어갈경우</t>
        </r>
        <r>
          <rPr>
            <sz val="9"/>
            <color indexed="81"/>
            <rFont val="Tahoma"/>
            <family val="2"/>
          </rPr>
          <t xml:space="preserve"> </t>
        </r>
        <r>
          <rPr>
            <sz val="9"/>
            <color indexed="81"/>
            <rFont val="돋움"/>
            <family val="3"/>
            <charset val="129"/>
          </rPr>
          <t>직접입력</t>
        </r>
        <r>
          <rPr>
            <sz val="9"/>
            <color indexed="81"/>
            <rFont val="Tahoma"/>
            <family val="2"/>
          </rPr>
          <t>!</t>
        </r>
      </text>
    </comment>
    <comment ref="Q71" authorId="0" shapeId="0" xr:uid="{FB82E09C-0C6B-4B1E-9084-DD66454D566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2" authorId="0" shapeId="0" xr:uid="{4FE6D1DA-C855-4A57-AD07-926B02A3E46B}">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3" authorId="0" shapeId="0" xr:uid="{5D993217-5862-41F9-AA98-51FCC9DDFA5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4" authorId="0" shapeId="0" xr:uid="{AEF411D7-605A-493A-ACA6-35278099883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5" authorId="0" shapeId="0" xr:uid="{FA53BC2A-0E24-48B6-9226-37CB21184EFB}">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6" authorId="0" shapeId="0" xr:uid="{BAAEC1F9-4BC9-476E-B9D5-84C10D11A3F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7" authorId="0" shapeId="0" xr:uid="{00516539-6C17-4B87-A55D-C979A142D38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8" authorId="0" shapeId="0" xr:uid="{BF6CD113-4C57-4976-9141-B33EEBEA034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79" authorId="0" shapeId="0" xr:uid="{332E2D24-E49C-4E84-8B40-D2F2B2AD819B}">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0" authorId="0" shapeId="0" xr:uid="{879FB3DC-02C0-46C0-966E-C68209B738D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1" authorId="0" shapeId="0" xr:uid="{9A134B10-1C52-4EA2-8DC2-C8A7E9694B0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2" authorId="0" shapeId="0" xr:uid="{DA6D087C-A2D8-48D5-9EBB-7FE3EC5B5C4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3" authorId="0" shapeId="0" xr:uid="{9249E0DC-9FB3-4355-BDB8-E2795A1D9DF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4" authorId="0" shapeId="0" xr:uid="{465DCE02-0E09-4BD4-B119-1C7B5B3D397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5" authorId="0" shapeId="0" xr:uid="{17E77080-A29D-45EB-9BA3-AEC84859BBF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6" authorId="0" shapeId="0" xr:uid="{66283065-7E57-408F-BBCB-BD42D76691A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7" authorId="0" shapeId="0" xr:uid="{FB16A3FA-19E9-462E-A351-C09FE915631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8" authorId="0" shapeId="0" xr:uid="{7824DFDF-329E-48F1-B664-0C894C7386E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89" authorId="0" shapeId="0" xr:uid="{8B1B8386-6E97-44B0-8E30-79C594F6052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0" authorId="0" shapeId="0" xr:uid="{076221F6-E167-4AFB-804E-3C6C0F11C05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2" authorId="0" shapeId="0" xr:uid="{1E6080BA-E191-4ACB-949F-798437BD004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3" authorId="0" shapeId="0" xr:uid="{47B4FE0C-4389-4A42-9670-40C4DCB1027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4" authorId="0" shapeId="0" xr:uid="{6C8D3389-11D2-481D-BF8F-B11BD80A5B9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8" authorId="0" shapeId="0" xr:uid="{E04668CB-4B50-4D9E-82DB-F47C8A569EA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99" authorId="0" shapeId="0" xr:uid="{6716A139-9D7E-4040-95CE-2669149EC2B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0" authorId="0" shapeId="0" xr:uid="{7B77D05E-2A21-45D1-85C5-D8BDDB59DA4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1" authorId="0" shapeId="0" xr:uid="{FF1F13CE-4E49-4C58-B04D-D03F52CFACC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2" authorId="0" shapeId="0" xr:uid="{1E28CBDD-1EAE-4765-97FE-08D053F8CD6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3" authorId="0" shapeId="0" xr:uid="{7F586039-81FE-4EDC-B624-4023548050E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4" authorId="0" shapeId="0" xr:uid="{A6F7792B-E6B1-4306-A632-610AE4C64D2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5" authorId="0" shapeId="0" xr:uid="{E91B2BC3-502C-4F9F-9660-EE7BBC0715B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6" authorId="0" shapeId="0" xr:uid="{7C4FC872-C99D-4DF8-9EE6-E89CB3E2B58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7" authorId="0" shapeId="0" xr:uid="{E0A68D97-CAC1-4136-AE50-62AF2CF85E2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8" authorId="0" shapeId="0" xr:uid="{34A5CD03-9F01-4BA1-B91D-D84DFD23FF0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09" authorId="0" shapeId="0" xr:uid="{0D73F1FF-35FB-478D-9732-68644AB47CC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0" authorId="0" shapeId="0" xr:uid="{7DEE1B1E-F6D6-4A42-8229-C312D3C5D450}">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1" authorId="0" shapeId="0" xr:uid="{94C7EAF4-971A-42BB-8CEA-1CDF6D5EF78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2" authorId="0" shapeId="0" xr:uid="{D0F5AEDC-CA89-4F64-9274-2357685DE8A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3" authorId="0" shapeId="0" xr:uid="{906ACFCD-5418-4256-96FD-34B4B3FD08F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4" authorId="0" shapeId="0" xr:uid="{8D644C36-9995-4EBE-9B21-E7A06029326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5" authorId="0" shapeId="0" xr:uid="{4F518F9D-A7A6-4DCE-9F88-7447F6C0F23E}">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6" authorId="0" shapeId="0" xr:uid="{49749AC3-7CF3-4A44-9F9F-87294DDE198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7" authorId="0" shapeId="0" xr:uid="{8A09957B-271A-4A8D-BCB5-63E073ABC95B}">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8" authorId="0" shapeId="0" xr:uid="{43FF30E7-0BA5-47D7-8B17-83D90CE2006E}">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19" authorId="0" shapeId="0" xr:uid="{53AAC74E-7B40-4561-A707-C058DC6F5B1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1" authorId="0" shapeId="0" xr:uid="{7E950857-4D15-4CD0-BD81-253EC358134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3" authorId="0" shapeId="0" xr:uid="{213B8E06-7CAB-4296-B52F-4BE673032CC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4" authorId="0" shapeId="0" xr:uid="{567C4FA8-C5C9-4980-8BB1-C15D5DEA828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5" authorId="0" shapeId="0" xr:uid="{A7947DCE-CFEA-4DAE-B039-95267FC8079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6" authorId="0" shapeId="0" xr:uid="{AD416086-8A46-44F2-9787-201FB253D55E}">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7" authorId="0" shapeId="0" xr:uid="{D7B14969-5C9E-4773-AF19-3BB9DB7CDC9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28" authorId="0" shapeId="0" xr:uid="{418025DA-FFD3-4A4C-9B9A-015F626357E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0" authorId="0" shapeId="0" xr:uid="{E7DDD261-E598-492F-BECB-77F615B20E3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1" authorId="0" shapeId="0" xr:uid="{5ED9BBC6-C7AA-4C2D-A497-5BDBF3943899}">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2" authorId="0" shapeId="0" xr:uid="{DD9256B8-DBDC-4872-A916-C22EC5957F6C}">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3" authorId="0" shapeId="0" xr:uid="{17BF0B42-9B53-4E63-8529-0B885B99DC57}">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4" authorId="0" shapeId="0" xr:uid="{A63C5409-EA1A-44C7-9C80-B3859ED2C20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5" authorId="0" shapeId="0" xr:uid="{8001AFB7-2CD0-4136-A80F-09CA87C44428}">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6" authorId="0" shapeId="0" xr:uid="{5DCE6981-1507-487A-B747-E4E15E0AC41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7" authorId="0" shapeId="0" xr:uid="{EBADF568-7EFC-4BC9-A11D-B1835A59BB1D}">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8" authorId="0" shapeId="0" xr:uid="{FA92AEC0-78E4-45C3-AB6E-32D9587E81E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39" authorId="0" shapeId="0" xr:uid="{4AADFFFD-8A0B-45E4-B7E4-7635F99ED37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0" authorId="0" shapeId="0" xr:uid="{9AB51E6F-CF7A-426A-8EC2-36CE1A1C1CC2}">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1" authorId="0" shapeId="0" xr:uid="{FC3D90F2-BD6B-4440-9DD3-73CDAEC2F99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2" authorId="0" shapeId="0" xr:uid="{F3339212-1B39-4AF8-803D-B9ABF63E5955}">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3" authorId="0" shapeId="0" xr:uid="{3ECCE4ED-B03A-4F98-ADF2-F2D214E42E1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4" authorId="0" shapeId="0" xr:uid="{C138CE66-17C1-4130-9337-86BE9D93FA34}">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5" authorId="0" shapeId="0" xr:uid="{119E1CA0-CC41-4920-8647-B03BE5E9D3F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6" authorId="0" shapeId="0" xr:uid="{EAACE1B3-D1FB-4AB5-B083-71E7B115BBC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8" authorId="0" shapeId="0" xr:uid="{22B83596-3B0F-4DD0-B81E-C498FB8E3036}">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49" authorId="0" shapeId="0" xr:uid="{A1DBC74E-5CAA-490D-B570-3E7CE534DDCA}">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50" authorId="0" shapeId="0" xr:uid="{137F96E7-EE15-431A-A27C-83861F0D0923}">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53" authorId="0" shapeId="0" xr:uid="{557EFDB0-0813-44F2-BCDB-ABEB73D214D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54" authorId="0" shapeId="0" xr:uid="{207CF509-BAA8-4FEA-ACCF-B34EF6DB1301}">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 ref="Q155" authorId="0" shapeId="0" xr:uid="{7E1343B1-0ECC-4394-8334-7807C42A85CF}">
      <text>
        <r>
          <rPr>
            <b/>
            <sz val="9"/>
            <color indexed="81"/>
            <rFont val="돋움"/>
            <family val="3"/>
            <charset val="129"/>
          </rPr>
          <t>이홍섭</t>
        </r>
        <r>
          <rPr>
            <b/>
            <sz val="9"/>
            <color indexed="81"/>
            <rFont val="Tahoma"/>
            <family val="2"/>
          </rPr>
          <t>:</t>
        </r>
        <r>
          <rPr>
            <sz val="9"/>
            <color indexed="81"/>
            <rFont val="Tahoma"/>
            <family val="2"/>
          </rPr>
          <t xml:space="preserve">
</t>
        </r>
        <r>
          <rPr>
            <b/>
            <sz val="10"/>
            <color indexed="81"/>
            <rFont val="맑은 고딕"/>
            <family val="3"/>
            <charset val="129"/>
            <scheme val="major"/>
          </rPr>
          <t>빈칸</t>
        </r>
        <r>
          <rPr>
            <b/>
            <sz val="10"/>
            <color indexed="81"/>
            <rFont val="맑은 고딕"/>
            <family val="2"/>
            <scheme val="major"/>
          </rPr>
          <t>, 0개월</t>
        </r>
        <r>
          <rPr>
            <b/>
            <sz val="10"/>
            <color indexed="81"/>
            <rFont val="맑은 고딕"/>
            <family val="3"/>
            <charset val="129"/>
            <scheme val="major"/>
          </rPr>
          <t xml:space="preserve"> = 기준개월수
개월수입력시 해당개월수로</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이홍섭</author>
  </authors>
  <commentList>
    <comment ref="H1" authorId="0" shapeId="0" xr:uid="{C10380ED-04D3-49C7-AD41-8A134C351C28}">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차입금사전신고서</t>
        </r>
        <r>
          <rPr>
            <sz val="9"/>
            <color indexed="81"/>
            <rFont val="Tahoma"/>
            <family val="2"/>
          </rPr>
          <t xml:space="preserve"> </t>
        </r>
        <r>
          <rPr>
            <sz val="9"/>
            <color indexed="81"/>
            <rFont val="돋움"/>
            <family val="3"/>
            <charset val="129"/>
          </rPr>
          <t>작성시</t>
        </r>
        <r>
          <rPr>
            <sz val="9"/>
            <color indexed="81"/>
            <rFont val="Tahoma"/>
            <family val="2"/>
          </rPr>
          <t xml:space="preserve"> </t>
        </r>
        <r>
          <rPr>
            <sz val="9"/>
            <color indexed="81"/>
            <rFont val="돋움"/>
            <family val="3"/>
            <charset val="129"/>
          </rPr>
          <t>대표자명</t>
        </r>
        <r>
          <rPr>
            <sz val="9"/>
            <color indexed="81"/>
            <rFont val="Tahoma"/>
            <family val="2"/>
          </rPr>
          <t xml:space="preserve"> </t>
        </r>
        <r>
          <rPr>
            <sz val="9"/>
            <color indexed="81"/>
            <rFont val="돋움"/>
            <family val="3"/>
            <charset val="129"/>
          </rPr>
          <t>필수</t>
        </r>
      </text>
    </comment>
    <comment ref="AW10" authorId="0" shapeId="0" xr:uid="{17C4C1A6-06B2-47EF-8E75-E4A9DD16BB5E}">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 ref="E32" authorId="0" shapeId="0" xr:uid="{E9DB5F3C-B43B-4B0F-B5F0-70A00B5DF2BF}">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공공요금의</t>
        </r>
        <r>
          <rPr>
            <sz val="9"/>
            <color indexed="81"/>
            <rFont val="Tahoma"/>
            <family val="2"/>
          </rPr>
          <t xml:space="preserve"> </t>
        </r>
        <r>
          <rPr>
            <sz val="9"/>
            <color indexed="81"/>
            <rFont val="돋움"/>
            <family val="3"/>
            <charset val="129"/>
          </rPr>
          <t>비율입력
나머지는</t>
        </r>
        <r>
          <rPr>
            <sz val="9"/>
            <color indexed="81"/>
            <rFont val="Tahoma"/>
            <family val="2"/>
          </rPr>
          <t xml:space="preserve"> </t>
        </r>
        <r>
          <rPr>
            <sz val="9"/>
            <color indexed="81"/>
            <rFont val="돋움"/>
            <family val="3"/>
            <charset val="129"/>
          </rPr>
          <t>제세공과금</t>
        </r>
      </text>
    </comment>
    <comment ref="AW62" authorId="0" shapeId="0" xr:uid="{E8427585-09D1-40D5-8A7E-6E3796252E53}">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이홍섭</author>
  </authors>
  <commentList>
    <comment ref="I2" authorId="0" shapeId="0" xr:uid="{107BAAAA-7B0E-4EEB-A8FA-4FBA73035112}">
      <text>
        <r>
          <rPr>
            <b/>
            <sz val="10"/>
            <color indexed="81"/>
            <rFont val="돋움"/>
            <family val="3"/>
            <charset val="129"/>
          </rPr>
          <t>추경작성인 경우 클릭</t>
        </r>
        <r>
          <rPr>
            <sz val="9"/>
            <color indexed="81"/>
            <rFont val="Tahoma"/>
            <family val="2"/>
          </rPr>
          <t xml:space="preserve">
</t>
        </r>
      </text>
    </comment>
    <comment ref="AW10" authorId="0" shapeId="0" xr:uid="{49F239F3-6A03-427B-99CA-ECD0EF1D4BE0}">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 ref="E32" authorId="0" shapeId="0" xr:uid="{B861188A-C984-448E-BF20-A383EFC3356E}">
      <text>
        <r>
          <rPr>
            <b/>
            <sz val="9"/>
            <color indexed="81"/>
            <rFont val="돋움"/>
            <family val="3"/>
            <charset val="129"/>
          </rPr>
          <t>이홍섭</t>
        </r>
        <r>
          <rPr>
            <b/>
            <sz val="9"/>
            <color indexed="81"/>
            <rFont val="Tahoma"/>
            <family val="2"/>
          </rPr>
          <t>:</t>
        </r>
        <r>
          <rPr>
            <sz val="9"/>
            <color indexed="81"/>
            <rFont val="Tahoma"/>
            <family val="2"/>
          </rPr>
          <t xml:space="preserve">
</t>
        </r>
        <r>
          <rPr>
            <sz val="9"/>
            <color indexed="81"/>
            <rFont val="돋움"/>
            <family val="3"/>
            <charset val="129"/>
          </rPr>
          <t>공공요금의</t>
        </r>
        <r>
          <rPr>
            <sz val="9"/>
            <color indexed="81"/>
            <rFont val="Tahoma"/>
            <family val="2"/>
          </rPr>
          <t xml:space="preserve"> </t>
        </r>
        <r>
          <rPr>
            <sz val="9"/>
            <color indexed="81"/>
            <rFont val="돋움"/>
            <family val="3"/>
            <charset val="129"/>
          </rPr>
          <t>비율입력
나머지는</t>
        </r>
        <r>
          <rPr>
            <sz val="9"/>
            <color indexed="81"/>
            <rFont val="Tahoma"/>
            <family val="2"/>
          </rPr>
          <t xml:space="preserve"> </t>
        </r>
        <r>
          <rPr>
            <sz val="9"/>
            <color indexed="81"/>
            <rFont val="돋움"/>
            <family val="3"/>
            <charset val="129"/>
          </rPr>
          <t>제세공과금</t>
        </r>
      </text>
    </comment>
    <comment ref="AW62" authorId="0" shapeId="0" xr:uid="{C76D3CFF-9E5F-462D-81F8-F09BDEDED723}">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이홍섭</author>
  </authors>
  <commentList>
    <comment ref="Z10" authorId="0" shapeId="0" xr:uid="{51C9E48D-6034-4828-A381-D5DD0EB18FC4}">
      <text>
        <r>
          <rPr>
            <b/>
            <sz val="9"/>
            <color indexed="81"/>
            <rFont val="돋움"/>
            <family val="3"/>
            <charset val="129"/>
          </rPr>
          <t>이홍섭</t>
        </r>
        <r>
          <rPr>
            <b/>
            <sz val="9"/>
            <color indexed="81"/>
            <rFont val="Tahoma"/>
            <family val="2"/>
          </rPr>
          <t>:</t>
        </r>
        <r>
          <rPr>
            <sz val="9"/>
            <color indexed="81"/>
            <rFont val="Tahoma"/>
            <family val="2"/>
          </rPr>
          <t xml:space="preserve">
</t>
        </r>
        <r>
          <rPr>
            <b/>
            <sz val="9"/>
            <color indexed="81"/>
            <rFont val="돋움"/>
            <family val="3"/>
            <charset val="129"/>
          </rPr>
          <t>퇴직적립금이</t>
        </r>
        <r>
          <rPr>
            <b/>
            <sz val="9"/>
            <color indexed="81"/>
            <rFont val="Tahoma"/>
            <family val="2"/>
          </rPr>
          <t xml:space="preserve"> </t>
        </r>
        <r>
          <rPr>
            <b/>
            <sz val="9"/>
            <color indexed="81"/>
            <rFont val="돋움"/>
            <family val="3"/>
            <charset val="129"/>
          </rPr>
          <t>없는</t>
        </r>
        <r>
          <rPr>
            <b/>
            <sz val="9"/>
            <color indexed="81"/>
            <rFont val="Tahoma"/>
            <family val="2"/>
          </rPr>
          <t xml:space="preserve"> </t>
        </r>
        <r>
          <rPr>
            <b/>
            <sz val="9"/>
            <color indexed="81"/>
            <rFont val="돋움"/>
            <family val="3"/>
            <charset val="129"/>
          </rPr>
          <t>근로자는</t>
        </r>
        <r>
          <rPr>
            <b/>
            <sz val="9"/>
            <color indexed="81"/>
            <rFont val="Tahoma"/>
            <family val="2"/>
          </rPr>
          <t xml:space="preserve"> </t>
        </r>
        <r>
          <rPr>
            <b/>
            <sz val="9"/>
            <color indexed="81"/>
            <rFont val="돋움"/>
            <family val="3"/>
            <charset val="129"/>
          </rPr>
          <t>여기서</t>
        </r>
        <r>
          <rPr>
            <b/>
            <sz val="9"/>
            <color indexed="81"/>
            <rFont val="Tahoma"/>
            <family val="2"/>
          </rPr>
          <t xml:space="preserve"> </t>
        </r>
        <r>
          <rPr>
            <b/>
            <sz val="9"/>
            <color indexed="81"/>
            <rFont val="돋움"/>
            <family val="3"/>
            <charset val="129"/>
          </rPr>
          <t>삭제</t>
        </r>
        <r>
          <rPr>
            <b/>
            <sz val="9"/>
            <color indexed="81"/>
            <rFont val="Tahoma"/>
            <family val="2"/>
          </rPr>
          <t>!</t>
        </r>
      </text>
    </comment>
  </commentList>
</comments>
</file>

<file path=xl/sharedStrings.xml><?xml version="1.0" encoding="utf-8"?>
<sst xmlns="http://schemas.openxmlformats.org/spreadsheetml/2006/main" count="6951" uniqueCount="842">
  <si>
    <t>순번</t>
  </si>
  <si>
    <t>세목</t>
  </si>
  <si>
    <t>계정코드</t>
  </si>
  <si>
    <t>운영충당적립금</t>
  </si>
  <si>
    <t>입소(이용)비용수입</t>
  </si>
  <si>
    <t>본인부담금수입</t>
  </si>
  <si>
    <t>수익사업</t>
  </si>
  <si>
    <t>식재료비수입</t>
  </si>
  <si>
    <t>상급침실이용료</t>
  </si>
  <si>
    <t>이미용비</t>
  </si>
  <si>
    <t>기타비급여수입</t>
  </si>
  <si>
    <t>사업수입</t>
  </si>
  <si>
    <t>과년도수입</t>
  </si>
  <si>
    <t>국고보조금</t>
  </si>
  <si>
    <t>보조금</t>
  </si>
  <si>
    <t>시도보조금</t>
  </si>
  <si>
    <t>시군구보조금</t>
  </si>
  <si>
    <t>기타보조금</t>
  </si>
  <si>
    <t>지정후원금</t>
  </si>
  <si>
    <t>후원금</t>
  </si>
  <si>
    <t>비지정후원금</t>
  </si>
  <si>
    <t>장기요양급여수입(인건비비율 반영)</t>
  </si>
  <si>
    <t>장기요양급여수입(인건비비율 미반영)</t>
  </si>
  <si>
    <t>가산금수입(인건비비율 반영)</t>
  </si>
  <si>
    <t>가산금수입(인건비비율 미반영)</t>
  </si>
  <si>
    <t>금융기관차입금</t>
  </si>
  <si>
    <t>기타차입금</t>
  </si>
  <si>
    <t>법인전입금</t>
  </si>
  <si>
    <t>법인전입금(후원금)</t>
  </si>
  <si>
    <t>기타전입금</t>
  </si>
  <si>
    <t>기타전입금(후원금)</t>
  </si>
  <si>
    <t>전년도이월금</t>
  </si>
  <si>
    <t>전년도이월금(후원금)</t>
  </si>
  <si>
    <t>전년도이월금(식재료비)</t>
  </si>
  <si>
    <t>이월사업비</t>
  </si>
  <si>
    <t>불용품매각대</t>
  </si>
  <si>
    <t>기타예금이자수입</t>
  </si>
  <si>
    <t>직원식재료수입</t>
  </si>
  <si>
    <t>기타잡수입</t>
  </si>
  <si>
    <t>인건비</t>
  </si>
  <si>
    <t>급여(직접비)</t>
  </si>
  <si>
    <t>급여(간접비)</t>
  </si>
  <si>
    <t>각종수당(직접비)</t>
  </si>
  <si>
    <t>각종수당(간접비)</t>
  </si>
  <si>
    <t>일용잡급(직접비)</t>
  </si>
  <si>
    <t>일용잡급(간접비)</t>
  </si>
  <si>
    <t>퇴직금 및 퇴직적립금(직접비)</t>
  </si>
  <si>
    <t>퇴직금 및 퇴직적립금(간접비)</t>
  </si>
  <si>
    <t>사회보험부담금(직접비)</t>
  </si>
  <si>
    <t>사회보험부담금(간접비)</t>
  </si>
  <si>
    <t>기관운영비</t>
  </si>
  <si>
    <t>직책보조비</t>
  </si>
  <si>
    <t>회의비</t>
  </si>
  <si>
    <t>여비</t>
  </si>
  <si>
    <t>수용비 및 수수료</t>
  </si>
  <si>
    <t>차량비</t>
  </si>
  <si>
    <t>임차료</t>
  </si>
  <si>
    <t>기타운영비</t>
  </si>
  <si>
    <t>시설비</t>
  </si>
  <si>
    <t>자산취득비</t>
  </si>
  <si>
    <t>시설장비유지비</t>
  </si>
  <si>
    <t>생계비</t>
  </si>
  <si>
    <t>수용기관경비</t>
  </si>
  <si>
    <t>의료비</t>
  </si>
  <si>
    <t>장의비</t>
  </si>
  <si>
    <t>프로그램 사업비</t>
  </si>
  <si>
    <t>법인회계전출금</t>
  </si>
  <si>
    <t>기타전출금</t>
  </si>
  <si>
    <t>과년도지출</t>
  </si>
  <si>
    <t>원금상환금</t>
  </si>
  <si>
    <t>이자지불금</t>
  </si>
  <si>
    <t>잡지출</t>
  </si>
  <si>
    <t>예비비</t>
  </si>
  <si>
    <t>반환금</t>
  </si>
  <si>
    <t>시설환경 개선준비금</t>
  </si>
  <si>
    <t>예산액
(수익사업)</t>
    <phoneticPr fontId="1" type="noConversion"/>
  </si>
  <si>
    <t>예산액
(보조금)</t>
    <phoneticPr fontId="1" type="noConversion"/>
  </si>
  <si>
    <t>예산액
(후원금)</t>
    <phoneticPr fontId="1" type="noConversion"/>
  </si>
  <si>
    <t>증감</t>
    <phoneticPr fontId="1" type="noConversion"/>
  </si>
  <si>
    <t>참고용 결산서
(최소금액*100%)</t>
    <phoneticPr fontId="1" type="noConversion"/>
  </si>
  <si>
    <t>수익사업</t>
    <phoneticPr fontId="1" type="noConversion"/>
  </si>
  <si>
    <t>보조금</t>
    <phoneticPr fontId="1" type="noConversion"/>
  </si>
  <si>
    <t>후원금</t>
    <phoneticPr fontId="1" type="noConversion"/>
  </si>
  <si>
    <t>06</t>
  </si>
  <si>
    <t>07</t>
  </si>
  <si>
    <t>05</t>
  </si>
  <si>
    <t>세입 합계</t>
    <phoneticPr fontId="1" type="noConversion"/>
  </si>
  <si>
    <t>세출 합계</t>
    <phoneticPr fontId="1" type="noConversion"/>
  </si>
  <si>
    <t>세입 - 세출 합계</t>
    <phoneticPr fontId="1" type="noConversion"/>
  </si>
  <si>
    <t>산출액</t>
    <phoneticPr fontId="1" type="noConversion"/>
  </si>
  <si>
    <t>수정금지</t>
    <phoneticPr fontId="1" type="noConversion"/>
  </si>
  <si>
    <t>계산값</t>
    <phoneticPr fontId="1" type="noConversion"/>
  </si>
  <si>
    <t>항목</t>
    <phoneticPr fontId="10" type="noConversion"/>
  </si>
  <si>
    <t>구분</t>
    <phoneticPr fontId="1" type="noConversion"/>
  </si>
  <si>
    <t>금액</t>
    <phoneticPr fontId="10" type="noConversion"/>
  </si>
  <si>
    <t>인원/횟수</t>
    <phoneticPr fontId="10" type="noConversion"/>
  </si>
  <si>
    <t>일수</t>
    <phoneticPr fontId="10" type="noConversion"/>
  </si>
  <si>
    <t>세입예산내역</t>
    <phoneticPr fontId="1" type="noConversion"/>
  </si>
  <si>
    <t>시군구보조금</t>
    <phoneticPr fontId="10" type="noConversion"/>
  </si>
  <si>
    <t>보조금</t>
    <phoneticPr fontId="1" type="noConversion"/>
  </si>
  <si>
    <t>월동대책비</t>
    <phoneticPr fontId="10" type="noConversion"/>
  </si>
  <si>
    <t>특별위로금</t>
    <phoneticPr fontId="10" type="noConversion"/>
  </si>
  <si>
    <t>시설</t>
  </si>
  <si>
    <t>1등급</t>
    <phoneticPr fontId="1" type="noConversion"/>
  </si>
  <si>
    <t>2등급</t>
  </si>
  <si>
    <t>3등급</t>
  </si>
  <si>
    <t>공생</t>
  </si>
  <si>
    <t>1등급</t>
  </si>
  <si>
    <t>주야간</t>
  </si>
  <si>
    <t>3등급</t>
    <phoneticPr fontId="1" type="noConversion"/>
  </si>
  <si>
    <t>4등급</t>
  </si>
  <si>
    <t>5등급</t>
  </si>
  <si>
    <t>단기</t>
  </si>
  <si>
    <t>방문요양</t>
    <phoneticPr fontId="10" type="noConversion"/>
  </si>
  <si>
    <t>명</t>
  </si>
  <si>
    <t>가족요양</t>
    <phoneticPr fontId="10" type="noConversion"/>
  </si>
  <si>
    <t>방문목욕</t>
    <phoneticPr fontId="10" type="noConversion"/>
  </si>
  <si>
    <t>차량O</t>
  </si>
  <si>
    <t>차량X</t>
  </si>
  <si>
    <t>방문간호</t>
    <phoneticPr fontId="10" type="noConversion"/>
  </si>
  <si>
    <t>횟수</t>
  </si>
  <si>
    <t>복지용구평균금액</t>
    <phoneticPr fontId="1" type="noConversion"/>
  </si>
  <si>
    <t>기초수급자</t>
    <phoneticPr fontId="1" type="noConversion"/>
  </si>
  <si>
    <t>복지용구</t>
    <phoneticPr fontId="1" type="noConversion"/>
  </si>
  <si>
    <t>장기근속수당</t>
    <phoneticPr fontId="1" type="noConversion"/>
  </si>
  <si>
    <t>식재료비수입</t>
    <phoneticPr fontId="10" type="noConversion"/>
  </si>
  <si>
    <t>후원금</t>
    <phoneticPr fontId="1" type="noConversion"/>
  </si>
  <si>
    <t>1년합계</t>
    <phoneticPr fontId="1" type="noConversion"/>
  </si>
  <si>
    <t>기타잡수입</t>
    <phoneticPr fontId="1" type="noConversion"/>
  </si>
  <si>
    <t>보수일람표</t>
    <phoneticPr fontId="1" type="noConversion"/>
  </si>
  <si>
    <t>산출내역</t>
    <phoneticPr fontId="1" type="noConversion"/>
  </si>
  <si>
    <t>수용기관경비</t>
    <phoneticPr fontId="1" type="noConversion"/>
  </si>
  <si>
    <t>대여용구취득비</t>
    <phoneticPr fontId="1" type="noConversion"/>
  </si>
  <si>
    <t>판매용구취득비</t>
    <phoneticPr fontId="1" type="noConversion"/>
  </si>
  <si>
    <t>자금원천</t>
    <phoneticPr fontId="1" type="noConversion"/>
  </si>
  <si>
    <t>계정과목</t>
    <phoneticPr fontId="1" type="noConversion"/>
  </si>
  <si>
    <t/>
  </si>
  <si>
    <t>세출예산내역( 개월 )</t>
  </si>
  <si>
    <t>인지지원등급</t>
    <phoneticPr fontId="1" type="noConversion"/>
  </si>
  <si>
    <t>가산금수입(인건비비율 반영)</t>
    <phoneticPr fontId="1" type="noConversion"/>
  </si>
  <si>
    <t>월별금액X개월수</t>
    <phoneticPr fontId="1" type="noConversion"/>
  </si>
  <si>
    <t>1인월별금액X직원수X개월수</t>
    <phoneticPr fontId="1" type="noConversion"/>
  </si>
  <si>
    <t>1년합계(산출내역)</t>
    <phoneticPr fontId="1" type="noConversion"/>
  </si>
  <si>
    <t>1년합계(보험사상품)</t>
    <phoneticPr fontId="1" type="noConversion"/>
  </si>
  <si>
    <t>1년합계(간접비중 15%한도)</t>
    <phoneticPr fontId="1" type="noConversion"/>
  </si>
  <si>
    <t>1년합계(승인시 사용)</t>
    <phoneticPr fontId="1" type="noConversion"/>
  </si>
  <si>
    <t>산출내역(수입금액 5%이내)</t>
    <phoneticPr fontId="1" type="noConversion"/>
  </si>
  <si>
    <t>예산서 작성년도</t>
    <phoneticPr fontId="1" type="noConversion"/>
  </si>
  <si>
    <t>업체명</t>
    <phoneticPr fontId="1" type="noConversion"/>
  </si>
  <si>
    <t>대표자명</t>
    <phoneticPr fontId="1" type="noConversion"/>
  </si>
  <si>
    <t>예산서 작성일자</t>
    <phoneticPr fontId="1" type="noConversion"/>
  </si>
  <si>
    <t>업체유형</t>
    <phoneticPr fontId="1" type="noConversion"/>
  </si>
  <si>
    <t>추경여부</t>
    <phoneticPr fontId="1" type="noConversion"/>
  </si>
  <si>
    <t>세입예산증감율</t>
    <phoneticPr fontId="1" type="noConversion"/>
  </si>
  <si>
    <t>보수일람표 작성데이터</t>
    <phoneticPr fontId="10" type="noConversion"/>
  </si>
  <si>
    <t>세출예산증감율</t>
    <phoneticPr fontId="1" type="noConversion"/>
  </si>
  <si>
    <t>사업코드</t>
    <phoneticPr fontId="1" type="noConversion"/>
  </si>
  <si>
    <t>급여유형</t>
    <phoneticPr fontId="1" type="noConversion"/>
  </si>
  <si>
    <t>기준개월수</t>
    <phoneticPr fontId="1" type="noConversion"/>
  </si>
  <si>
    <t>사업명</t>
    <phoneticPr fontId="1" type="noConversion"/>
  </si>
  <si>
    <t>인건비비율</t>
    <phoneticPr fontId="1" type="noConversion"/>
  </si>
  <si>
    <t>국민연금</t>
    <phoneticPr fontId="1" type="noConversion"/>
  </si>
  <si>
    <t>장기요양급여</t>
    <phoneticPr fontId="1" type="noConversion"/>
  </si>
  <si>
    <t>건강보험</t>
    <phoneticPr fontId="1" type="noConversion"/>
  </si>
  <si>
    <t>인건비(직접)</t>
    <phoneticPr fontId="1" type="noConversion"/>
  </si>
  <si>
    <t>장기요양</t>
    <phoneticPr fontId="1" type="noConversion"/>
  </si>
  <si>
    <t>산재보험</t>
    <phoneticPr fontId="1" type="noConversion"/>
  </si>
  <si>
    <t>세입합계</t>
    <phoneticPr fontId="1" type="noConversion"/>
  </si>
  <si>
    <t>세출합계</t>
    <phoneticPr fontId="1" type="noConversion"/>
  </si>
  <si>
    <t>차액(세입-세출)</t>
    <phoneticPr fontId="1" type="noConversion"/>
  </si>
  <si>
    <t>↓</t>
    <phoneticPr fontId="1" type="noConversion"/>
  </si>
  <si>
    <t>기타전출금</t>
    <phoneticPr fontId="1" type="noConversion"/>
  </si>
  <si>
    <t>기타운영비</t>
    <phoneticPr fontId="1" type="noConversion"/>
  </si>
  <si>
    <t>잡지출</t>
    <phoneticPr fontId="1" type="noConversion"/>
  </si>
  <si>
    <t>생계비</t>
    <phoneticPr fontId="1" type="noConversion"/>
  </si>
  <si>
    <t>예비비</t>
    <phoneticPr fontId="1" type="noConversion"/>
  </si>
  <si>
    <t>인원관리</t>
    <phoneticPr fontId="1" type="noConversion"/>
  </si>
  <si>
    <t>수급자수(전체)</t>
    <phoneticPr fontId="1" type="noConversion"/>
  </si>
  <si>
    <t>수급자수(일반)</t>
    <phoneticPr fontId="1" type="noConversion"/>
  </si>
  <si>
    <t>공공요금</t>
    <phoneticPr fontId="1" type="noConversion"/>
  </si>
  <si>
    <t>수급자수(기초생계비)</t>
    <phoneticPr fontId="1" type="noConversion"/>
  </si>
  <si>
    <t>직원(직접)</t>
    <phoneticPr fontId="1" type="noConversion"/>
  </si>
  <si>
    <t>직원(간접)</t>
    <phoneticPr fontId="1" type="noConversion"/>
  </si>
  <si>
    <t>제세공과금</t>
    <phoneticPr fontId="1" type="noConversion"/>
  </si>
  <si>
    <t>차량비</t>
    <phoneticPr fontId="1" type="noConversion"/>
  </si>
  <si>
    <t>인원</t>
    <phoneticPr fontId="1" type="noConversion"/>
  </si>
  <si>
    <t>자산취득비</t>
    <phoneticPr fontId="1" type="noConversion"/>
  </si>
  <si>
    <t>비품구입비</t>
  </si>
  <si>
    <t>의료비</t>
    <phoneticPr fontId="1" type="noConversion"/>
  </si>
  <si>
    <t>인원/개월</t>
    <phoneticPr fontId="1" type="noConversion"/>
  </si>
  <si>
    <t>인건비</t>
    <phoneticPr fontId="1" type="noConversion"/>
  </si>
  <si>
    <t>결의서</t>
    <phoneticPr fontId="1" type="noConversion"/>
  </si>
  <si>
    <t>결의서-보수일람표</t>
    <phoneticPr fontId="1" type="noConversion"/>
  </si>
  <si>
    <t>보수일람표 가감액</t>
    <phoneticPr fontId="1" type="noConversion"/>
  </si>
  <si>
    <t>급여(직접비)</t>
    <phoneticPr fontId="1" type="noConversion"/>
  </si>
  <si>
    <t>급여(간접비)</t>
    <phoneticPr fontId="1" type="noConversion"/>
  </si>
  <si>
    <t>각종수당(직접비)</t>
    <phoneticPr fontId="1" type="noConversion"/>
  </si>
  <si>
    <t>각종수당(간접비)</t>
    <phoneticPr fontId="1" type="noConversion"/>
  </si>
  <si>
    <t>일용잡급(직접비)</t>
    <phoneticPr fontId="1" type="noConversion"/>
  </si>
  <si>
    <t>일용잡급(간접비)</t>
    <phoneticPr fontId="1" type="noConversion"/>
  </si>
  <si>
    <t>퇴직금 및 퇴직적립금(직접비)</t>
    <phoneticPr fontId="1" type="noConversion"/>
  </si>
  <si>
    <t>퇴직금 및 퇴직적립금(간접비)</t>
    <phoneticPr fontId="1" type="noConversion"/>
  </si>
  <si>
    <t>사회보험부담금(직접비)</t>
    <phoneticPr fontId="1" type="noConversion"/>
  </si>
  <si>
    <t>사회보험부담금(간접비)</t>
    <phoneticPr fontId="1" type="noConversion"/>
  </si>
  <si>
    <t>총괄표</t>
    <phoneticPr fontId="1" type="noConversion"/>
  </si>
  <si>
    <t>전년도예산서금액</t>
    <phoneticPr fontId="10" type="noConversion"/>
  </si>
  <si>
    <t>예산서 금액</t>
    <phoneticPr fontId="10" type="noConversion"/>
  </si>
  <si>
    <t>전년도예산액</t>
    <phoneticPr fontId="10" type="noConversion"/>
  </si>
  <si>
    <t>예산액</t>
    <phoneticPr fontId="10" type="noConversion"/>
  </si>
  <si>
    <t>총괄표차액(세입-세출)</t>
    <phoneticPr fontId="10" type="noConversion"/>
  </si>
  <si>
    <t>4대보험요율(합산)</t>
  </si>
  <si>
    <t>국고보조금</t>
    <phoneticPr fontId="1" type="noConversion"/>
  </si>
  <si>
    <t>시도보조금</t>
    <phoneticPr fontId="1" type="noConversion"/>
  </si>
  <si>
    <t>시군구보조금</t>
    <phoneticPr fontId="1" type="noConversion"/>
  </si>
  <si>
    <t>기타보조금</t>
    <phoneticPr fontId="1" type="noConversion"/>
  </si>
  <si>
    <t>개월</t>
    <phoneticPr fontId="1" type="noConversion"/>
  </si>
  <si>
    <t>공공요금 및 각종세금공과금</t>
    <phoneticPr fontId="1" type="noConversion"/>
  </si>
  <si>
    <t>수용비 및 수수료</t>
    <phoneticPr fontId="1" type="noConversion"/>
  </si>
  <si>
    <t>업체명+</t>
    <phoneticPr fontId="1" type="noConversion"/>
  </si>
  <si>
    <t>급여유형1</t>
    <phoneticPr fontId="1" type="noConversion"/>
  </si>
  <si>
    <t>노인요양시설(개정법)</t>
  </si>
  <si>
    <t>노인요양공동생활가정</t>
  </si>
  <si>
    <t>재가노인복지시설 주야간보호</t>
  </si>
  <si>
    <t>재가노인복지시설 단기보호</t>
    <phoneticPr fontId="1" type="noConversion"/>
  </si>
  <si>
    <t>방문요양</t>
  </si>
  <si>
    <t>재가노인복지시설 방문요양</t>
    <phoneticPr fontId="1" type="noConversion"/>
  </si>
  <si>
    <t>방문목욕</t>
  </si>
  <si>
    <t>재가노인복지시설 방문목욕</t>
    <phoneticPr fontId="1" type="noConversion"/>
  </si>
  <si>
    <t>방문간호</t>
  </si>
  <si>
    <t>재가노인복지시설 방문간호</t>
    <phoneticPr fontId="1" type="noConversion"/>
  </si>
  <si>
    <t>재가노인복지시설 복지용구</t>
    <phoneticPr fontId="1" type="noConversion"/>
  </si>
  <si>
    <t>업체유형별 인건비비율</t>
    <phoneticPr fontId="1" type="noConversion"/>
  </si>
  <si>
    <t>시설</t>
    <phoneticPr fontId="10" type="noConversion"/>
  </si>
  <si>
    <t>공생</t>
    <phoneticPr fontId="10" type="noConversion"/>
  </si>
  <si>
    <t>주야간</t>
    <phoneticPr fontId="10" type="noConversion"/>
  </si>
  <si>
    <t>단기</t>
    <phoneticPr fontId="10" type="noConversion"/>
  </si>
  <si>
    <t>급여유형2</t>
    <phoneticPr fontId="1" type="noConversion"/>
  </si>
  <si>
    <t>재가장기요양기관 주야간보호</t>
  </si>
  <si>
    <t>재가장기요양기관 단기보호</t>
    <phoneticPr fontId="1" type="noConversion"/>
  </si>
  <si>
    <t>재가장기요양기관 방문요양</t>
  </si>
  <si>
    <t>재가장기요양기관 방문목욕</t>
    <phoneticPr fontId="1" type="noConversion"/>
  </si>
  <si>
    <t>재가장기요양기관 방문간호</t>
    <phoneticPr fontId="1" type="noConversion"/>
  </si>
  <si>
    <t>재가장기요양기관 복지용구</t>
    <phoneticPr fontId="1" type="noConversion"/>
  </si>
  <si>
    <t>프로그램사업비</t>
    <phoneticPr fontId="1" type="noConversion"/>
  </si>
  <si>
    <t>반환금</t>
    <phoneticPr fontId="1" type="noConversion"/>
  </si>
  <si>
    <t>인건비비율</t>
    <phoneticPr fontId="1" type="noConversion"/>
  </si>
  <si>
    <t>필수인원</t>
    <phoneticPr fontId="1" type="noConversion"/>
  </si>
  <si>
    <t>요양보호사 1급</t>
    <phoneticPr fontId="1" type="noConversion"/>
  </si>
  <si>
    <t>급여유형</t>
  </si>
  <si>
    <t>HYO하모니데이케어센터</t>
  </si>
  <si>
    <t>직종</t>
  </si>
  <si>
    <t>급여</t>
  </si>
  <si>
    <t>현재결산액</t>
    <phoneticPr fontId="1" type="noConversion"/>
  </si>
  <si>
    <t>장기요양급여수입(인건비비율 반영)</t>
    <phoneticPr fontId="1" type="noConversion"/>
  </si>
  <si>
    <t>장기요양수입</t>
    <phoneticPr fontId="1" type="noConversion"/>
  </si>
  <si>
    <t>인건비 비율</t>
    <phoneticPr fontId="1" type="noConversion"/>
  </si>
  <si>
    <t>최소 인건비금액(업체유형별)</t>
    <phoneticPr fontId="1" type="noConversion"/>
  </si>
  <si>
    <t>부족금액(기준월-최소인건비)</t>
    <phoneticPr fontId="1" type="noConversion"/>
  </si>
  <si>
    <t>※ 통장거래내역의 실제 지출금액으로 인건비비율은 공단신고와 차이가 있을수 있음.</t>
    <phoneticPr fontId="1" type="noConversion"/>
  </si>
  <si>
    <t>* [식재료비수입]은 실제 식재료비 
용도에 맞게 전액 생계비로
사용되어야함.
(운영비로 사용불가)
* [직원식재료비수입]은
직원이 업체에 식대를 내고 
식사를 하는경우 해당됨.</t>
    <phoneticPr fontId="1" type="noConversion"/>
  </si>
  <si>
    <t>- 시설, 공생, 주야간만 해당 -</t>
    <phoneticPr fontId="1" type="noConversion"/>
  </si>
  <si>
    <t>식재료비수입</t>
    <phoneticPr fontId="1" type="noConversion"/>
  </si>
  <si>
    <t>전년도이월금(식재료비)</t>
    <phoneticPr fontId="1" type="noConversion"/>
  </si>
  <si>
    <t>직원식재료수입</t>
    <phoneticPr fontId="1" type="noConversion"/>
  </si>
  <si>
    <t>*식재료비수입+전년도이월금(식재료비)+직원식재료비 = 생계비총액(어르신+직원)</t>
    <phoneticPr fontId="1" type="noConversion"/>
  </si>
  <si>
    <t>식재료비 수입</t>
    <phoneticPr fontId="1" type="noConversion"/>
  </si>
  <si>
    <t>생계비 지출</t>
    <phoneticPr fontId="1" type="noConversion"/>
  </si>
  <si>
    <t>남은식재료비(수입-지출)</t>
    <phoneticPr fontId="1" type="noConversion"/>
  </si>
  <si>
    <t>※ 전년도이월금(식재료비)는 1월1일 계좌잔액이 부족하여 실제금액보다 적게 입력되어 있을수 있음.</t>
    <phoneticPr fontId="1" type="noConversion"/>
  </si>
  <si>
    <t>예산실적비교표는 1월~12월로 조회할것!!</t>
    <phoneticPr fontId="1" type="noConversion"/>
  </si>
  <si>
    <t>1년합계(차입금사전신고서)</t>
    <phoneticPr fontId="1" type="noConversion"/>
  </si>
  <si>
    <t>수익사업 세입예산서 산출내역관리 (월별금액)</t>
    <phoneticPr fontId="1" type="noConversion"/>
  </si>
  <si>
    <t>수익사업 세출예산서 산출내역관리 (월별금액)</t>
    <phoneticPr fontId="1" type="noConversion"/>
  </si>
  <si>
    <t>O 제1조 :</t>
    <phoneticPr fontId="10" type="noConversion"/>
  </si>
  <si>
    <t>( 단위 : 천원 )</t>
    <phoneticPr fontId="10" type="noConversion"/>
  </si>
  <si>
    <t>구분</t>
    <phoneticPr fontId="10" type="noConversion"/>
  </si>
  <si>
    <t>세입, 세출예산총액</t>
    <phoneticPr fontId="10" type="noConversion"/>
  </si>
  <si>
    <t>세입예산액</t>
    <phoneticPr fontId="10" type="noConversion"/>
  </si>
  <si>
    <t>세출예산액</t>
    <phoneticPr fontId="10" type="noConversion"/>
  </si>
  <si>
    <t>시설회계</t>
    <phoneticPr fontId="10" type="noConversion"/>
  </si>
  <si>
    <t xml:space="preserve">O 제2조 : </t>
    <phoneticPr fontId="10" type="noConversion"/>
  </si>
  <si>
    <t>세입, 세출예산의 명세는 별첨 "세입-세출예산"과 같다.</t>
    <phoneticPr fontId="1" type="noConversion"/>
  </si>
  <si>
    <t xml:space="preserve">O 제3조 : </t>
    <phoneticPr fontId="10" type="noConversion"/>
  </si>
  <si>
    <t>O 제4조 :</t>
    <phoneticPr fontId="10" type="noConversion"/>
  </si>
  <si>
    <t xml:space="preserve">O 제5조 : </t>
    <phoneticPr fontId="10" type="noConversion"/>
  </si>
  <si>
    <t xml:space="preserve">국가 또는 지방자치단체로 부터 교부된 보조금 및 지정후원금, 장기요양수익금, 입소자부담경비 등은  </t>
    <phoneticPr fontId="10" type="noConversion"/>
  </si>
  <si>
    <t>추가경정 예산의 성립 이전이라도 보조 및 후원목적에 적절한 경우 먼저 사용할 수 있으며,</t>
    <phoneticPr fontId="10" type="noConversion"/>
  </si>
  <si>
    <t>이후 차기 추가경정 예산에 반영하여야 한다.</t>
    <phoneticPr fontId="10" type="noConversion"/>
  </si>
  <si>
    <t xml:space="preserve">O 제6조 : </t>
    <phoneticPr fontId="10" type="noConversion"/>
  </si>
  <si>
    <t xml:space="preserve">세출경비의 부족이 생겼을 때는 사회복지법인. 사회복지시설 재무회계규칙 제 16조에 의거하여 </t>
    <phoneticPr fontId="10" type="noConversion"/>
  </si>
  <si>
    <t>예산을 전용할 수 있다.</t>
    <phoneticPr fontId="10" type="noConversion"/>
  </si>
  <si>
    <t>단 동일 항목내의 목간전용이 불가피한 경우에는 시설장에게 그 권한을 위임한다.</t>
    <phoneticPr fontId="10" type="noConversion"/>
  </si>
  <si>
    <t>가. 총괄표</t>
    <phoneticPr fontId="10" type="noConversion"/>
  </si>
  <si>
    <t>(단위:천원)</t>
    <phoneticPr fontId="10" type="noConversion"/>
  </si>
  <si>
    <t>관</t>
    <phoneticPr fontId="10" type="noConversion"/>
  </si>
  <si>
    <t>항</t>
    <phoneticPr fontId="10" type="noConversion"/>
  </si>
  <si>
    <t>증감</t>
    <phoneticPr fontId="10" type="noConversion"/>
  </si>
  <si>
    <t>401</t>
  </si>
  <si>
    <t>입소자(이용자)부담금수입</t>
  </si>
  <si>
    <t>01</t>
  </si>
  <si>
    <t>501</t>
  </si>
  <si>
    <t>사무비</t>
  </si>
  <si>
    <t>402</t>
  </si>
  <si>
    <r>
      <t>0</t>
    </r>
    <r>
      <rPr>
        <sz val="11"/>
        <color theme="1"/>
        <rFont val="맑은 고딕"/>
        <family val="3"/>
        <charset val="129"/>
        <scheme val="major"/>
      </rPr>
      <t>2</t>
    </r>
    <phoneticPr fontId="10" type="noConversion"/>
  </si>
  <si>
    <t>업무추진비</t>
  </si>
  <si>
    <t>403</t>
  </si>
  <si>
    <r>
      <t>0</t>
    </r>
    <r>
      <rPr>
        <sz val="11"/>
        <color theme="1"/>
        <rFont val="맑은 고딕"/>
        <family val="3"/>
        <charset val="129"/>
        <scheme val="major"/>
      </rPr>
      <t>3</t>
    </r>
    <phoneticPr fontId="10" type="noConversion"/>
  </si>
  <si>
    <t>운영비</t>
  </si>
  <si>
    <t>404</t>
  </si>
  <si>
    <t>보조금수입</t>
  </si>
  <si>
    <t>502</t>
  </si>
  <si>
    <t>재산조성비</t>
  </si>
  <si>
    <t>405</t>
  </si>
  <si>
    <t>후원금수입</t>
  </si>
  <si>
    <t>503</t>
  </si>
  <si>
    <t>사업비</t>
  </si>
  <si>
    <t>406</t>
  </si>
  <si>
    <t>요양급여수입</t>
  </si>
  <si>
    <t>03</t>
    <phoneticPr fontId="10" type="noConversion"/>
  </si>
  <si>
    <t>407</t>
  </si>
  <si>
    <t>차입금</t>
  </si>
  <si>
    <t>504</t>
  </si>
  <si>
    <t>전출금</t>
  </si>
  <si>
    <t>408</t>
  </si>
  <si>
    <t>전입금</t>
  </si>
  <si>
    <t>505</t>
  </si>
  <si>
    <t>409</t>
  </si>
  <si>
    <t>이월금</t>
  </si>
  <si>
    <t>506</t>
  </si>
  <si>
    <t>상환금</t>
  </si>
  <si>
    <t>부채상환금</t>
  </si>
  <si>
    <t>410</t>
  </si>
  <si>
    <t>잡수입</t>
  </si>
  <si>
    <t>507</t>
  </si>
  <si>
    <t>508</t>
  </si>
  <si>
    <t>예비비 및 기타</t>
  </si>
  <si>
    <r>
      <t>0</t>
    </r>
    <r>
      <rPr>
        <sz val="11"/>
        <color theme="1"/>
        <rFont val="맑은 고딕"/>
        <family val="3"/>
        <charset val="129"/>
        <scheme val="major"/>
      </rPr>
      <t>1</t>
    </r>
    <phoneticPr fontId="10" type="noConversion"/>
  </si>
  <si>
    <t>509</t>
  </si>
  <si>
    <t>적립금 및 준비금</t>
  </si>
  <si>
    <t>운영충당적립금 및 
환경개선부담금</t>
    <phoneticPr fontId="10" type="noConversion"/>
  </si>
  <si>
    <t>세    입    총    괄</t>
    <phoneticPr fontId="10" type="noConversion"/>
  </si>
  <si>
    <t>세   출   총   괄</t>
    <phoneticPr fontId="10" type="noConversion"/>
  </si>
  <si>
    <t>장기요양기관 차입금 사전 신고서</t>
  </si>
  <si>
    <t>접수번호</t>
  </si>
  <si>
    <t>접수일</t>
  </si>
  <si>
    <t>`</t>
  </si>
  <si>
    <t>신고인</t>
  </si>
  <si>
    <t>기관명</t>
  </si>
  <si>
    <t>대표자 성명</t>
  </si>
  <si>
    <t>소재지</t>
  </si>
  <si>
    <t>전화번호</t>
  </si>
  <si>
    <t>차입금액</t>
  </si>
  <si>
    <t xml:space="preserve">차입사유 및 </t>
  </si>
  <si>
    <t>운영비(인건비, 비품구입비등) 차입금</t>
    <phoneticPr fontId="10" type="noConversion"/>
  </si>
  <si>
    <t>용도</t>
  </si>
  <si>
    <t>상환계획 또는 방법</t>
  </si>
  <si>
    <t>* 상환년도, 금액, 재원 등 구체적으로 작성</t>
  </si>
  <si>
    <r>
      <t>위와 같이 장기요양기관 운영</t>
    </r>
    <r>
      <rPr>
        <sz val="12"/>
        <color rgb="FF191919"/>
        <rFont val="돋움"/>
        <family val="3"/>
        <charset val="129"/>
      </rPr>
      <t>을 위해 차입한 사항에 대해 신고합니다.</t>
    </r>
  </si>
  <si>
    <t>(서명 또는 인)</t>
  </si>
  <si>
    <t>첨부서류</t>
  </si>
  <si>
    <t>1. 차입관련 증빙 서류(담보대출서 등) 사본 1부</t>
  </si>
  <si>
    <t>수수료</t>
  </si>
  <si>
    <t>없음</t>
  </si>
  <si>
    <t>시설환경개선준비금 적립 및 사용계획서</t>
    <phoneticPr fontId="1" type="noConversion"/>
  </si>
  <si>
    <t>운영충당적립금</t>
    <phoneticPr fontId="1" type="noConversion"/>
  </si>
  <si>
    <t>금융기관 적립</t>
    <phoneticPr fontId="1" type="noConversion"/>
  </si>
  <si>
    <t>- 적립금액 :</t>
    <phoneticPr fontId="1" type="noConversion"/>
  </si>
  <si>
    <t>- 적립기간 :</t>
    <phoneticPr fontId="1" type="noConversion"/>
  </si>
  <si>
    <t>- 사용용도 :</t>
    <phoneticPr fontId="1" type="noConversion"/>
  </si>
  <si>
    <t>- 적립방법 :</t>
    <phoneticPr fontId="1" type="noConversion"/>
  </si>
  <si>
    <t>- 관리방식 :</t>
    <phoneticPr fontId="1" type="noConversion"/>
  </si>
  <si>
    <r>
      <rPr>
        <b/>
        <sz val="18"/>
        <color rgb="FF000000"/>
        <rFont val="Arial Unicode MS"/>
        <family val="3"/>
        <charset val="129"/>
      </rPr>
      <t>운영충당적립</t>
    </r>
    <r>
      <rPr>
        <b/>
        <sz val="18"/>
        <color rgb="FF000000"/>
        <rFont val="한양견고딕"/>
        <family val="3"/>
        <charset val="129"/>
      </rPr>
      <t>금 적립 및 사용계획서</t>
    </r>
    <phoneticPr fontId="1" type="noConversion"/>
  </si>
  <si>
    <t>시설 개,보수 등 시설 환경개선</t>
    <phoneticPr fontId="1" type="noConversion"/>
  </si>
  <si>
    <t>보조금 세입예산서 산출내역관리 (월별금액)</t>
    <phoneticPr fontId="1" type="noConversion"/>
  </si>
  <si>
    <t>후원금 세입예산서 산출내역관리 (월별금액)</t>
    <phoneticPr fontId="1" type="noConversion"/>
  </si>
  <si>
    <t>지정후원금</t>
    <phoneticPr fontId="1" type="noConversion"/>
  </si>
  <si>
    <t>비지정후원금</t>
    <phoneticPr fontId="1" type="noConversion"/>
  </si>
  <si>
    <t>나. 세입 명세서</t>
    <phoneticPr fontId="10" type="noConversion"/>
  </si>
  <si>
    <t>(금액단위: 천원.산출기초단위 : 원)</t>
  </si>
  <si>
    <t>관</t>
  </si>
  <si>
    <t>항</t>
  </si>
  <si>
    <t>목</t>
  </si>
  <si>
    <t>산            출            내            역</t>
    <phoneticPr fontId="10" type="noConversion"/>
  </si>
  <si>
    <t>수익사업</t>
    <phoneticPr fontId="10" type="noConversion"/>
  </si>
  <si>
    <t>보조금</t>
    <phoneticPr fontId="10" type="noConversion"/>
  </si>
  <si>
    <t>후원금</t>
    <phoneticPr fontId="10" type="noConversion"/>
  </si>
  <si>
    <t xml:space="preserve">    - 시설(1등급)</t>
  </si>
  <si>
    <t xml:space="preserve"> x  </t>
  </si>
  <si>
    <t xml:space="preserve"> = </t>
  </si>
  <si>
    <t xml:space="preserve">    - 시설(2등급)</t>
  </si>
  <si>
    <t xml:space="preserve">    - 시설(3등급)</t>
  </si>
  <si>
    <t xml:space="preserve">    - 공생(1등급)</t>
  </si>
  <si>
    <t xml:space="preserve">    - 공생(2등급)</t>
  </si>
  <si>
    <t xml:space="preserve">    - 공생(3등급)</t>
  </si>
  <si>
    <t xml:space="preserve">    - 주야간보호(3등급, 8시간)</t>
    <phoneticPr fontId="10" type="noConversion"/>
  </si>
  <si>
    <t xml:space="preserve">    - 주야간보호(4등급, 8시간)</t>
    <phoneticPr fontId="10" type="noConversion"/>
  </si>
  <si>
    <t xml:space="preserve">    - 주야간보호(5등급, 8시간)</t>
    <phoneticPr fontId="10" type="noConversion"/>
  </si>
  <si>
    <t xml:space="preserve">    - 단기보호(1등급)</t>
  </si>
  <si>
    <t xml:space="preserve">    - 단기보호(2등급)</t>
  </si>
  <si>
    <t xml:space="preserve">    - 단기보호(3등급)</t>
  </si>
  <si>
    <t xml:space="preserve">    - 방문요양(180분)</t>
    <phoneticPr fontId="10" type="noConversion"/>
  </si>
  <si>
    <t xml:space="preserve">    - 가족요양(60분)</t>
    <phoneticPr fontId="10" type="noConversion"/>
  </si>
  <si>
    <t xml:space="preserve">    - 가족요양(90분)</t>
    <phoneticPr fontId="10" type="noConversion"/>
  </si>
  <si>
    <t xml:space="preserve">    - 방문목욕(차량이용,1시간)</t>
  </si>
  <si>
    <t xml:space="preserve">    - 방문목욕(차량미이용,1시간)</t>
  </si>
  <si>
    <t xml:space="preserve">    - 방문간호(1회, 1시간)</t>
  </si>
  <si>
    <t xml:space="preserve">    - 복지용구(평균, 15%)</t>
    <phoneticPr fontId="10" type="noConversion"/>
  </si>
  <si>
    <t xml:space="preserve">x </t>
    <phoneticPr fontId="10" type="noConversion"/>
  </si>
  <si>
    <t>=</t>
    <phoneticPr fontId="10" type="noConversion"/>
  </si>
  <si>
    <t xml:space="preserve">    - </t>
    <phoneticPr fontId="10" type="noConversion"/>
  </si>
  <si>
    <t>06</t>
    <phoneticPr fontId="10" type="noConversion"/>
  </si>
  <si>
    <t>수익사업</t>
    <phoneticPr fontId="10" type="noConversion"/>
  </si>
  <si>
    <t>장기요양급여수입</t>
  </si>
  <si>
    <t>장기요양급여수입(인건비비율 반영)</t>
    <phoneticPr fontId="10" type="noConversion"/>
  </si>
  <si>
    <t xml:space="preserve">    - 기초수급자</t>
    <phoneticPr fontId="10" type="noConversion"/>
  </si>
  <si>
    <t xml:space="preserve">    - 복지용구(평균, 85%)</t>
    <phoneticPr fontId="10" type="noConversion"/>
  </si>
  <si>
    <t>장기요양급여수입(인건비비율 미반영)</t>
    <phoneticPr fontId="10" type="noConversion"/>
  </si>
  <si>
    <t xml:space="preserve">    - 장기근속수당</t>
    <phoneticPr fontId="10" type="noConversion"/>
  </si>
  <si>
    <t>가산금 수입</t>
  </si>
  <si>
    <t>가산금수입(인건비비율 반영)</t>
    <phoneticPr fontId="10" type="noConversion"/>
  </si>
  <si>
    <t>가산금수입(인건비비율 미반영)</t>
    <phoneticPr fontId="10" type="noConversion"/>
  </si>
  <si>
    <t>전년도이월금(보조금)</t>
    <phoneticPr fontId="10" type="noConversion"/>
  </si>
  <si>
    <t>07</t>
    <phoneticPr fontId="10" type="noConversion"/>
  </si>
  <si>
    <t xml:space="preserve">    - 기타예금이자수입</t>
    <phoneticPr fontId="10" type="noConversion"/>
  </si>
  <si>
    <t xml:space="preserve">    - 기타예금이자수입(보조금)</t>
    <phoneticPr fontId="10" type="noConversion"/>
  </si>
  <si>
    <t>05</t>
    <phoneticPr fontId="10" type="noConversion"/>
  </si>
  <si>
    <t xml:space="preserve">    - 기타예금이자수입(후원금)</t>
    <phoneticPr fontId="10" type="noConversion"/>
  </si>
  <si>
    <t xml:space="preserve"> </t>
    <phoneticPr fontId="10" type="noConversion"/>
  </si>
  <si>
    <t>수익사업 보조금반환</t>
    <phoneticPr fontId="1" type="noConversion"/>
  </si>
  <si>
    <t>다. 세출 명세서</t>
    <phoneticPr fontId="10" type="noConversion"/>
  </si>
  <si>
    <t>인 건 비 (전체)</t>
    <phoneticPr fontId="10" type="noConversion"/>
  </si>
  <si>
    <t xml:space="preserve">  - 인건비 (직접)</t>
  </si>
  <si>
    <t xml:space="preserve">  - 인건비 (간접)</t>
  </si>
  <si>
    <t>07</t>
    <phoneticPr fontId="10" type="noConversion"/>
  </si>
  <si>
    <t>보조금</t>
    <phoneticPr fontId="10" type="noConversion"/>
  </si>
  <si>
    <t>각종수당</t>
  </si>
  <si>
    <t>일용잡급</t>
  </si>
  <si>
    <t>퇴직금 및 퇴직적립금</t>
  </si>
  <si>
    <t>사회보험부담금</t>
  </si>
  <si>
    <t xml:space="preserve">  - 국민연금</t>
    <phoneticPr fontId="10" type="noConversion"/>
  </si>
  <si>
    <t xml:space="preserve">  - 건강보험</t>
    <phoneticPr fontId="10" type="noConversion"/>
  </si>
  <si>
    <t xml:space="preserve">  - 장기요양보험</t>
    <phoneticPr fontId="10" type="noConversion"/>
  </si>
  <si>
    <t xml:space="preserve">  - 고용보험</t>
    <phoneticPr fontId="10" type="noConversion"/>
  </si>
  <si>
    <t xml:space="preserve">  - 산재보험</t>
    <phoneticPr fontId="10" type="noConversion"/>
  </si>
  <si>
    <t xml:space="preserve">  - </t>
    <phoneticPr fontId="10" type="noConversion"/>
  </si>
  <si>
    <t xml:space="preserve">  - 시설장비유지 및 보수</t>
  </si>
  <si>
    <t xml:space="preserve">  - </t>
  </si>
  <si>
    <t>판매용구취득비</t>
  </si>
  <si>
    <t>대여용구취득비</t>
  </si>
  <si>
    <t>운영충당적립금 및 환경개선부담금</t>
  </si>
  <si>
    <t>세    출    총    괄</t>
    <phoneticPr fontId="10" type="noConversion"/>
  </si>
  <si>
    <t>급여인상</t>
    <phoneticPr fontId="1" type="noConversion"/>
  </si>
  <si>
    <t>인건비구분/급여유형 별 선택 가능 직종 정보( * 개인정보 보호를 위하여 주민등록번호는 마스킹 처리되어 있습니다. 주민등록번호는 입력/수정 안하셔도 됩니다. )</t>
  </si>
  <si>
    <t>4대보험요율(근로자)</t>
    <phoneticPr fontId="1" type="noConversion"/>
  </si>
  <si>
    <t>직접비</t>
  </si>
  <si>
    <t>주야간보호</t>
  </si>
  <si>
    <t>요양보호사 1급, 요양보호사 2급, 사회복지사, 간호사, 간호조무사, 물리치료사, 작업치료사</t>
    <phoneticPr fontId="1" type="noConversion"/>
  </si>
  <si>
    <t>고용보험</t>
    <phoneticPr fontId="1" type="noConversion"/>
  </si>
  <si>
    <t>방문요양, 방문목욕</t>
  </si>
  <si>
    <t>요양보호사 1급, 요양보호사 2급, 사회복지사(방문요양만 해당)</t>
    <phoneticPr fontId="1" type="noConversion"/>
  </si>
  <si>
    <t>단기보호</t>
  </si>
  <si>
    <t>요양보호사 1급, 요양보호사 2급, 사회복지사, 간호사, 간호조무사</t>
    <phoneticPr fontId="1" type="noConversion"/>
  </si>
  <si>
    <t>간호사, 간호조무사, 치과위생사</t>
  </si>
  <si>
    <t>간접비</t>
  </si>
  <si>
    <t>주야간보호, 단기보호, 방문간호</t>
  </si>
  <si>
    <t>시설장(관리책임자), 사무국장, 사무원, 영양사, 조리원, 위생원, 관리인, 보조원 운전사, 기타</t>
    <phoneticPr fontId="1" type="noConversion"/>
  </si>
  <si>
    <t>시설장(관리책임자), 사무국장, 사무원, 영양사, 조리원, 위생원, 관리인, 보조원 운전사, 사회복지사(방문목욕만), 기타</t>
    <phoneticPr fontId="1" type="noConversion"/>
  </si>
  <si>
    <t>복지용구제공사업소</t>
  </si>
  <si>
    <t>시설장(관리책임자), 사무국장, 사무원, 보조원 운전사, 기타</t>
  </si>
  <si>
    <t>순번</t>
    <phoneticPr fontId="1" type="noConversion"/>
  </si>
  <si>
    <t>사업코드</t>
  </si>
  <si>
    <t>사업명</t>
  </si>
  <si>
    <t>성명</t>
  </si>
  <si>
    <t>인건비구분</t>
  </si>
  <si>
    <t>주민등록번호</t>
  </si>
  <si>
    <t>퇴직금 및
퇴직적립금</t>
  </si>
  <si>
    <t>사회보험
부담금</t>
  </si>
  <si>
    <t>급여계</t>
    <phoneticPr fontId="1" type="noConversion"/>
  </si>
  <si>
    <t>총합계</t>
    <phoneticPr fontId="1" type="noConversion"/>
  </si>
  <si>
    <t>월별퇴직적립금</t>
    <phoneticPr fontId="1" type="noConversion"/>
  </si>
  <si>
    <t>적립식퇴직적립금</t>
    <phoneticPr fontId="1" type="noConversion"/>
  </si>
  <si>
    <t>퇴직금인원</t>
    <phoneticPr fontId="1" type="noConversion"/>
  </si>
  <si>
    <t>직원수</t>
    <phoneticPr fontId="1" type="noConversion"/>
  </si>
  <si>
    <t>간접</t>
  </si>
  <si>
    <t>_____________</t>
  </si>
  <si>
    <t>직접</t>
  </si>
  <si>
    <t>간접 합계</t>
  </si>
  <si>
    <t>월별 간접비 합계</t>
    <phoneticPr fontId="1" type="noConversion"/>
  </si>
  <si>
    <t>직접 합계</t>
  </si>
  <si>
    <t>월별 직접비 합계</t>
    <phoneticPr fontId="1" type="noConversion"/>
  </si>
  <si>
    <t>인건비 합계</t>
    <phoneticPr fontId="1" type="noConversion"/>
  </si>
  <si>
    <t>월별 인건비 합계</t>
    <phoneticPr fontId="1" type="noConversion"/>
  </si>
  <si>
    <t>시설</t>
    <phoneticPr fontId="1" type="noConversion"/>
  </si>
  <si>
    <t>공생</t>
    <phoneticPr fontId="1" type="noConversion"/>
  </si>
  <si>
    <t>주야간</t>
    <phoneticPr fontId="1" type="noConversion"/>
  </si>
  <si>
    <t>방문요양</t>
    <phoneticPr fontId="1" type="noConversion"/>
  </si>
  <si>
    <t>방문목욕</t>
    <phoneticPr fontId="1" type="noConversion"/>
  </si>
  <si>
    <t>방문간호</t>
    <phoneticPr fontId="1" type="noConversion"/>
  </si>
  <si>
    <t>자금원천코드</t>
  </si>
  <si>
    <t>자금원천</t>
  </si>
  <si>
    <t>국비</t>
  </si>
  <si>
    <t>시도비</t>
  </si>
  <si>
    <t>시군구비</t>
  </si>
  <si>
    <t>계정과목</t>
  </si>
  <si>
    <t>금액</t>
  </si>
  <si>
    <t>예산</t>
  </si>
  <si>
    <t>실적</t>
  </si>
  <si>
    <t>잔액</t>
  </si>
  <si>
    <t xml:space="preserve">    - 주야간보호(1등급, 8시간)</t>
    <phoneticPr fontId="1" type="noConversion"/>
  </si>
  <si>
    <t xml:space="preserve">    - 주야간보호(2등급, 8시간)</t>
    <phoneticPr fontId="1" type="noConversion"/>
  </si>
  <si>
    <t xml:space="preserve">    - 주야간보호(인지지원등급, 8시간)</t>
    <phoneticPr fontId="10" type="noConversion"/>
  </si>
  <si>
    <t>기타예금이자수입</t>
    <phoneticPr fontId="10" type="noConversion"/>
  </si>
  <si>
    <t>기타예금이자수입</t>
    <phoneticPr fontId="1" type="noConversion"/>
  </si>
  <si>
    <t>식재료비수입</t>
    <phoneticPr fontId="1" type="noConversion"/>
  </si>
  <si>
    <t>세입결산서상 금액</t>
    <phoneticPr fontId="1" type="noConversion"/>
  </si>
  <si>
    <t>세출결산서상 금액</t>
    <phoneticPr fontId="1" type="noConversion"/>
  </si>
  <si>
    <t>후원금 세입결산서상 금액</t>
    <phoneticPr fontId="1" type="noConversion"/>
  </si>
  <si>
    <t>본인부담금수입(수익사업)</t>
  </si>
  <si>
    <t>식재료비수입(수익사업)</t>
  </si>
  <si>
    <t>상급침실이용료(수익사업)</t>
  </si>
  <si>
    <t>이미용비(수익사업)</t>
  </si>
  <si>
    <t>기타비급여수입(수익사업)</t>
  </si>
  <si>
    <t>사업수입(수익사업)</t>
  </si>
  <si>
    <t>과년도수입(수익사업)</t>
  </si>
  <si>
    <t>장기요양급여수입(인건비비율 반영)(수익사업)</t>
  </si>
  <si>
    <t>장기요양급여수입(인건비비율 미반영)(수익사업)</t>
  </si>
  <si>
    <t>가산금수입(인건비비율 반영)(수익사업)</t>
  </si>
  <si>
    <t>가산금수입(인건비비율 미반영)(수익사업)</t>
  </si>
  <si>
    <t>금융기관차입금(수익사업)</t>
  </si>
  <si>
    <t>기타차입금(수익사업)</t>
  </si>
  <si>
    <t>법인전입금(수익사업)</t>
  </si>
  <si>
    <t>기타전입금(수익사업)</t>
  </si>
  <si>
    <t>전년도이월금(수익사업)</t>
  </si>
  <si>
    <t>전년도이월금(식재료비)(수익사업)</t>
  </si>
  <si>
    <t>이월사업비(수익사업)</t>
  </si>
  <si>
    <t>불용품매각대(수익사업)</t>
  </si>
  <si>
    <t>기타예금이자수입(수익사업)</t>
  </si>
  <si>
    <t>직원식재료수입(수익사업)</t>
  </si>
  <si>
    <t>기타잡수입(수익사업)</t>
  </si>
  <si>
    <t>국고보조금(보조금)</t>
  </si>
  <si>
    <t>시도보조금(보조금)</t>
  </si>
  <si>
    <t>시군구보조금(보조금)</t>
  </si>
  <si>
    <t>기타보조금(보조금)</t>
  </si>
  <si>
    <t>전년도이월금(보조금)</t>
  </si>
  <si>
    <t>기타예금이자수입(보조금)</t>
  </si>
  <si>
    <t>지정후원금(후원금)</t>
  </si>
  <si>
    <t>비지정후원금(후원금)</t>
  </si>
  <si>
    <t>기타예금이자수입(후원금)</t>
  </si>
  <si>
    <t>국고보조금(수익사업)</t>
    <phoneticPr fontId="1" type="noConversion"/>
  </si>
  <si>
    <t>시도보조금(수익사업)</t>
    <phoneticPr fontId="1" type="noConversion"/>
  </si>
  <si>
    <t>시군구보조금(수익사업)</t>
    <phoneticPr fontId="1" type="noConversion"/>
  </si>
  <si>
    <t>기타보조금(수익사업)</t>
    <phoneticPr fontId="1" type="noConversion"/>
  </si>
  <si>
    <t>급여(직접비)(수익사업)</t>
  </si>
  <si>
    <t>급여(간접비)(수익사업)</t>
  </si>
  <si>
    <t>각종수당(직접비)(수익사업)</t>
  </si>
  <si>
    <t>각종수당(간접비)(수익사업)</t>
  </si>
  <si>
    <t>일용잡급(직접비)(수익사업)</t>
  </si>
  <si>
    <t>일용잡급(간접비)(수익사업)</t>
  </si>
  <si>
    <t>퇴직금 및 퇴직적립금(직접비)(수익사업)</t>
  </si>
  <si>
    <t>퇴직금 및 퇴직적립금(간접비)(수익사업)</t>
  </si>
  <si>
    <t>사회보험부담금(직접비)(수익사업)</t>
  </si>
  <si>
    <t>사회보험부담금(간접비)(수익사업)</t>
  </si>
  <si>
    <t>기관운영비(수익사업)</t>
  </si>
  <si>
    <t>직책보조비(수익사업)</t>
  </si>
  <si>
    <t>회의비(수익사업)</t>
  </si>
  <si>
    <t>여비(수익사업)</t>
  </si>
  <si>
    <t>수용비 및 수수료(수익사업)</t>
  </si>
  <si>
    <t>차량비(수익사업)</t>
  </si>
  <si>
    <t>임차료(수익사업)</t>
  </si>
  <si>
    <t>기타운영비(수익사업)</t>
  </si>
  <si>
    <t>시설비(수익사업)</t>
  </si>
  <si>
    <t>자산취득비(수익사업)</t>
  </si>
  <si>
    <t>시설장비유지비(수익사업)</t>
  </si>
  <si>
    <t>생계비(수익사업)</t>
  </si>
  <si>
    <t>수용기관경비(수익사업)</t>
  </si>
  <si>
    <t>의료비(수익사업)</t>
  </si>
  <si>
    <t>장의비(수익사업)</t>
  </si>
  <si>
    <t>프로그램 사업비(수익사업)</t>
  </si>
  <si>
    <t>대여용구취득비(수익사업)</t>
  </si>
  <si>
    <t>판매용구취득비(수익사업)</t>
  </si>
  <si>
    <t>법인회계전출금(수익사업)</t>
  </si>
  <si>
    <t>기타전출금(수익사업)</t>
  </si>
  <si>
    <t>과년도지출(수익사업)</t>
  </si>
  <si>
    <t>원금상환금(수익사업)</t>
  </si>
  <si>
    <t>이자지불금(수익사업)</t>
  </si>
  <si>
    <t>잡지출(수익사업)</t>
  </si>
  <si>
    <t>예비비(수익사업)</t>
  </si>
  <si>
    <t>반환금(수익사업)</t>
  </si>
  <si>
    <t>운영충당적립금(수익사업)</t>
  </si>
  <si>
    <t>시설환경 개선준비금(수익사업)</t>
  </si>
  <si>
    <t>급여(직접비)(보조금)</t>
  </si>
  <si>
    <t>급여(간접비)(보조금)</t>
  </si>
  <si>
    <t>각종수당(직접비)(보조금)</t>
  </si>
  <si>
    <t>각종수당(간접비)(보조금)</t>
  </si>
  <si>
    <t>일용잡급(직접비)(보조금)</t>
  </si>
  <si>
    <t>일용잡급(간접비)(보조금)</t>
  </si>
  <si>
    <t>퇴직금 및 퇴직적립금(직접비)(보조금)</t>
  </si>
  <si>
    <t>퇴직금 및 퇴직적립금(간접비)(보조금)</t>
  </si>
  <si>
    <t>사회보험부담금(직접비)(보조금)</t>
  </si>
  <si>
    <t>사회보험부담금(간접비)(보조금)</t>
  </si>
  <si>
    <t>기관운영비(보조금)</t>
  </si>
  <si>
    <t>직책보조비(보조금)</t>
  </si>
  <si>
    <t>회의비(보조금)</t>
  </si>
  <si>
    <t>여비(보조금)</t>
  </si>
  <si>
    <t>수용비 및 수수료(보조금)</t>
  </si>
  <si>
    <t>차량비(보조금)</t>
  </si>
  <si>
    <t>임차료(보조금)</t>
  </si>
  <si>
    <t>기타운영비(보조금)</t>
  </si>
  <si>
    <t>시설비(보조금)</t>
  </si>
  <si>
    <t>자산취득비(보조금)</t>
  </si>
  <si>
    <t>시설장비유지비(보조금)</t>
  </si>
  <si>
    <t>생계비(보조금)</t>
  </si>
  <si>
    <t>수용기관경비(보조금)</t>
  </si>
  <si>
    <t>의료비(보조금)</t>
  </si>
  <si>
    <t>장의비(보조금)</t>
  </si>
  <si>
    <t>프로그램 사업비(보조금)</t>
  </si>
  <si>
    <t>과년도지출(보조금)</t>
  </si>
  <si>
    <t>잡지출(보조금)</t>
  </si>
  <si>
    <t>반환금(보조금)</t>
  </si>
  <si>
    <t>급여(직접비)(후원금)</t>
  </si>
  <si>
    <t>급여(간접비)(후원금)</t>
  </si>
  <si>
    <t>각종수당(직접비)(후원금)</t>
  </si>
  <si>
    <t>각종수당(간접비)(후원금)</t>
  </si>
  <si>
    <t>일용잡급(직접비)(후원금)</t>
  </si>
  <si>
    <t>일용잡급(간접비)(후원금)</t>
  </si>
  <si>
    <t>퇴직금 및 퇴직적립금(직접비)(후원금)</t>
  </si>
  <si>
    <t>퇴직금 및 퇴직적립금(간접비)(후원금)</t>
  </si>
  <si>
    <t>사회보험부담금(직접비)(후원금)</t>
  </si>
  <si>
    <t>사회보험부담금(간접비)(후원금)</t>
  </si>
  <si>
    <t>기관운영비(후원금)</t>
  </si>
  <si>
    <t>회의비(후원금)</t>
  </si>
  <si>
    <t>여비(후원금)</t>
  </si>
  <si>
    <t>수용비 및 수수료(후원금)</t>
  </si>
  <si>
    <t>차량비(후원금)</t>
  </si>
  <si>
    <t>임차료(후원금)</t>
  </si>
  <si>
    <t>기타운영비(후원금)</t>
  </si>
  <si>
    <t>시설비(후원금)</t>
  </si>
  <si>
    <t>자산취득비(후원금)</t>
  </si>
  <si>
    <t>시설장비유지비(후원금)</t>
  </si>
  <si>
    <t>생계비(후원금)</t>
  </si>
  <si>
    <t>수용기관경비(후원금)</t>
  </si>
  <si>
    <t>의료비(후원금)</t>
  </si>
  <si>
    <t>장의비(후원금)</t>
  </si>
  <si>
    <t>프로그램 사업비(후원금)</t>
  </si>
  <si>
    <t>과년도지출(후원금)</t>
  </si>
  <si>
    <t>보조금</t>
    <phoneticPr fontId="1" type="noConversion"/>
  </si>
  <si>
    <t>07</t>
    <phoneticPr fontId="1" type="noConversion"/>
  </si>
  <si>
    <t>06</t>
    <phoneticPr fontId="1" type="noConversion"/>
  </si>
  <si>
    <t>차량목욕</t>
    <phoneticPr fontId="1" type="noConversion"/>
  </si>
  <si>
    <t>단기</t>
    <phoneticPr fontId="1" type="noConversion"/>
  </si>
  <si>
    <t>복지용구</t>
    <phoneticPr fontId="1" type="noConversion"/>
  </si>
  <si>
    <t>재가장기요양기관 방문요양</t>
    <phoneticPr fontId="1" type="noConversion"/>
  </si>
  <si>
    <t>유형별 템플릿</t>
    <phoneticPr fontId="1" type="noConversion"/>
  </si>
  <si>
    <t>합계</t>
    <phoneticPr fontId="10" type="noConversion"/>
  </si>
  <si>
    <t>생계비</t>
    <phoneticPr fontId="10" type="noConversion"/>
  </si>
  <si>
    <t>이자+전년도이월금+산출내역</t>
    <phoneticPr fontId="1" type="noConversion"/>
  </si>
  <si>
    <t>시군구보조금+산출내역</t>
    <phoneticPr fontId="1" type="noConversion"/>
  </si>
  <si>
    <t>생계비보조금+산출내역</t>
    <phoneticPr fontId="1" type="noConversion"/>
  </si>
  <si>
    <t>일반사업코드</t>
    <phoneticPr fontId="1" type="noConversion"/>
  </si>
  <si>
    <t>보조금사업코드</t>
    <phoneticPr fontId="1" type="noConversion"/>
  </si>
  <si>
    <t>후원금사업코드</t>
    <phoneticPr fontId="1" type="noConversion"/>
  </si>
  <si>
    <t>차량목욕</t>
  </si>
  <si>
    <t>최소금액</t>
    <phoneticPr fontId="1" type="noConversion"/>
  </si>
  <si>
    <t>부족금액</t>
    <phoneticPr fontId="1" type="noConversion"/>
  </si>
  <si>
    <t>계정항목</t>
    <phoneticPr fontId="1" type="noConversion"/>
  </si>
  <si>
    <t>추경(성립전예산)</t>
    <phoneticPr fontId="1" type="noConversion"/>
  </si>
  <si>
    <t>변경전</t>
    <phoneticPr fontId="1" type="noConversion"/>
  </si>
  <si>
    <t>변경후</t>
    <phoneticPr fontId="10" type="noConversion"/>
  </si>
  <si>
    <t>일반사업코드</t>
  </si>
  <si>
    <t>보조금사업코드</t>
  </si>
  <si>
    <t>후원금사업코드</t>
  </si>
  <si>
    <t>예산서 작성년도</t>
  </si>
  <si>
    <t>업체명</t>
  </si>
  <si>
    <t>대표자명</t>
  </si>
  <si>
    <t>예산서 작성일자</t>
  </si>
  <si>
    <t>업체유형</t>
  </si>
  <si>
    <t>추경여부</t>
  </si>
  <si>
    <t>업체명+</t>
  </si>
  <si>
    <t>업체유형별 인건비비율</t>
  </si>
  <si>
    <t>일반사업[일반]</t>
  </si>
  <si>
    <t>수익사업 세입예산서 산출내역관리 (월별금액)</t>
  </si>
  <si>
    <t>인원/개월</t>
  </si>
  <si>
    <t>수익사업 세출예산서 산출내역관리 (월별금액)</t>
  </si>
  <si>
    <t>공공요금 및 각종세금공과금</t>
  </si>
  <si>
    <t>개월</t>
  </si>
  <si>
    <t>각종수수료</t>
  </si>
  <si>
    <t>공공요금</t>
  </si>
  <si>
    <t>제세공과금</t>
  </si>
  <si>
    <t>주유비</t>
  </si>
  <si>
    <t>렌탈료</t>
  </si>
  <si>
    <t>각종세금 등</t>
  </si>
  <si>
    <t>수리비</t>
  </si>
  <si>
    <t>사무용품</t>
  </si>
  <si>
    <t>TV,통신요금 등</t>
  </si>
  <si>
    <t>각종공과금 등</t>
  </si>
  <si>
    <t>기타(소독,점검비 등)</t>
  </si>
  <si>
    <t>기타(관리비 등)</t>
  </si>
  <si>
    <t>기타(보험료 등)</t>
  </si>
  <si>
    <t>인원</t>
  </si>
  <si>
    <t>기저귀 등</t>
  </si>
  <si>
    <t>욕실용품 등</t>
  </si>
  <si>
    <t>기타(이불,피복비 등)</t>
  </si>
  <si>
    <t>프로그램사업비</t>
  </si>
  <si>
    <t>기타</t>
  </si>
  <si>
    <t>후원금 세입예산서 산출내역관리 (월별금액)</t>
  </si>
  <si>
    <t>보조금 세입예산서 산출내역관리 (월별금액)</t>
  </si>
  <si>
    <t>복지용구</t>
  </si>
  <si>
    <t>기준개월수</t>
  </si>
  <si>
    <t>추경(예산전용/변경)</t>
    <phoneticPr fontId="1" type="noConversion"/>
  </si>
  <si>
    <t>추경예산 보수일람표 업로드</t>
    <phoneticPr fontId="1" type="noConversion"/>
  </si>
  <si>
    <t>원</t>
    <phoneticPr fontId="1" type="noConversion"/>
  </si>
  <si>
    <t>식대</t>
    <phoneticPr fontId="10" type="noConversion"/>
  </si>
  <si>
    <t>고용(근로자)</t>
    <phoneticPr fontId="1" type="noConversion"/>
  </si>
  <si>
    <t>고용(기관)</t>
    <phoneticPr fontId="1" type="noConversion"/>
  </si>
  <si>
    <t>4대보험계산급여</t>
    <phoneticPr fontId="1" type="noConversion"/>
  </si>
  <si>
    <t>퇴직금계산급여</t>
    <phoneticPr fontId="1" type="noConversion"/>
  </si>
  <si>
    <t>추경차수+</t>
    <phoneticPr fontId="1" type="noConversion"/>
  </si>
  <si>
    <t>W4C마감월(보조금외)</t>
    <phoneticPr fontId="1" type="noConversion"/>
  </si>
  <si>
    <t>W4C마감월(보조금)</t>
    <phoneticPr fontId="1" type="noConversion"/>
  </si>
  <si>
    <t>W4C용</t>
    <phoneticPr fontId="1" type="noConversion"/>
  </si>
  <si>
    <t>희망이음용</t>
    <phoneticPr fontId="1" type="noConversion"/>
  </si>
  <si>
    <t>시설/공생</t>
    <phoneticPr fontId="1" type="noConversion"/>
  </si>
  <si>
    <t>주야간</t>
    <phoneticPr fontId="1" type="noConversion"/>
  </si>
  <si>
    <t>방문계열</t>
    <phoneticPr fontId="1" type="noConversion"/>
  </si>
  <si>
    <t>직원상여금</t>
  </si>
  <si>
    <t>명절상여금</t>
  </si>
  <si>
    <t>직원교육비</t>
  </si>
  <si>
    <t>경조사비</t>
  </si>
  <si>
    <t>직원식대</t>
    <phoneticPr fontId="1" type="noConversion"/>
  </si>
  <si>
    <t>차량렌트비</t>
    <phoneticPr fontId="1" type="noConversion"/>
  </si>
  <si>
    <t>90분</t>
    <phoneticPr fontId="1" type="noConversion"/>
  </si>
  <si>
    <t>60분</t>
    <phoneticPr fontId="1" type="noConversion"/>
  </si>
  <si>
    <t>X</t>
  </si>
  <si>
    <t>명절잔치(수급자)</t>
  </si>
  <si>
    <t>생일잔치(수급자)</t>
  </si>
  <si>
    <t>재료비 등</t>
  </si>
  <si>
    <t>작성일자</t>
    <phoneticPr fontId="1" type="noConversion"/>
  </si>
  <si>
    <t>직원복지관련비용</t>
  </si>
  <si>
    <t>기관운영비</t>
    <phoneticPr fontId="1" type="noConversion"/>
  </si>
  <si>
    <t>직책보조비</t>
    <phoneticPr fontId="1" type="noConversion"/>
  </si>
  <si>
    <t>회의비</t>
    <phoneticPr fontId="1" type="noConversion"/>
  </si>
  <si>
    <t>여비</t>
    <phoneticPr fontId="1" type="noConversion"/>
  </si>
  <si>
    <t>상담,타시설 미팅등</t>
  </si>
  <si>
    <t>직종(간접인원)</t>
    <phoneticPr fontId="1" type="noConversion"/>
  </si>
  <si>
    <t>직종(직접인원)</t>
    <phoneticPr fontId="1" type="noConversion"/>
  </si>
  <si>
    <t>보수일람표</t>
    <phoneticPr fontId="1" type="noConversion"/>
  </si>
  <si>
    <t>00</t>
  </si>
  <si>
    <t>식대</t>
  </si>
  <si>
    <t>의료비대납외</t>
  </si>
  <si>
    <t>각종근로지원금</t>
  </si>
  <si>
    <t>진료비 등</t>
  </si>
  <si>
    <t>상비약구입 등</t>
  </si>
  <si>
    <t>02</t>
  </si>
  <si>
    <t>경조사비(직원)</t>
  </si>
  <si>
    <t>구분</t>
  </si>
  <si>
    <t>장기요양요원</t>
  </si>
  <si>
    <t>요양보호사</t>
  </si>
  <si>
    <t>사회복지사</t>
  </si>
  <si>
    <t>치과위생사</t>
  </si>
  <si>
    <t>노인요양시설</t>
  </si>
  <si>
    <t>(요양원)</t>
  </si>
  <si>
    <t>간호(조무)사</t>
  </si>
  <si>
    <t>물리(작업)치료사</t>
  </si>
  <si>
    <t>요양보호사 1급</t>
  </si>
  <si>
    <t>요양보호사 1급</t>
    <phoneticPr fontId="1" type="noConversion"/>
  </si>
  <si>
    <t>시설장(관리책임자)</t>
    <phoneticPr fontId="1" type="noConversion"/>
  </si>
  <si>
    <t>사무국장</t>
    <phoneticPr fontId="1" type="noConversion"/>
  </si>
  <si>
    <t>사회복지사</t>
    <phoneticPr fontId="1" type="noConversion"/>
  </si>
  <si>
    <t>간호(조무)사</t>
    <phoneticPr fontId="1" type="noConversion"/>
  </si>
  <si>
    <t>사무원</t>
    <phoneticPr fontId="1" type="noConversion"/>
  </si>
  <si>
    <t>영양사</t>
    <phoneticPr fontId="1" type="noConversion"/>
  </si>
  <si>
    <t>조리원</t>
    <phoneticPr fontId="1" type="noConversion"/>
  </si>
  <si>
    <t>위생원</t>
    <phoneticPr fontId="1" type="noConversion"/>
  </si>
  <si>
    <t>관리원</t>
    <phoneticPr fontId="1" type="noConversion"/>
  </si>
  <si>
    <t>수급자수</t>
    <phoneticPr fontId="1" type="noConversion"/>
  </si>
  <si>
    <t>10~29명</t>
    <phoneticPr fontId="1" type="noConversion"/>
  </si>
  <si>
    <t>30명이상</t>
    <phoneticPr fontId="1" type="noConversion"/>
  </si>
  <si>
    <t>1명</t>
  </si>
  <si>
    <t>1명</t>
    <phoneticPr fontId="1" type="noConversion"/>
  </si>
  <si>
    <t>50명이상</t>
    <phoneticPr fontId="1" type="noConversion"/>
  </si>
  <si>
    <t>-</t>
  </si>
  <si>
    <t>-</t>
    <phoneticPr fontId="1" type="noConversion"/>
  </si>
  <si>
    <t>25명당 1명(반올림)</t>
    <phoneticPr fontId="1" type="noConversion"/>
  </si>
  <si>
    <t>100명이상</t>
    <phoneticPr fontId="1" type="noConversion"/>
  </si>
  <si>
    <t>2명</t>
    <phoneticPr fontId="1" type="noConversion"/>
  </si>
  <si>
    <t>2.3명당 1명</t>
    <phoneticPr fontId="1" type="noConversion"/>
  </si>
  <si>
    <t>1명
(선택)</t>
    <phoneticPr fontId="1" type="noConversion"/>
  </si>
  <si>
    <t>인력배치기준(2022년도, 시설기준)</t>
    <phoneticPr fontId="1" type="noConversion"/>
  </si>
  <si>
    <t>생계비(시군구보조금외)</t>
    <phoneticPr fontId="1" type="noConversion"/>
  </si>
  <si>
    <t>=</t>
  </si>
  <si>
    <t>월동대책비</t>
  </si>
  <si>
    <t>특별위로금</t>
  </si>
  <si>
    <t>보조금 세입결산서상 금액</t>
    <phoneticPr fontId="1" type="noConversion"/>
  </si>
  <si>
    <t>4대보험</t>
    <phoneticPr fontId="1" type="noConversion"/>
  </si>
  <si>
    <t>국민연금</t>
    <phoneticPr fontId="1" type="noConversion"/>
  </si>
  <si>
    <t>건강보험</t>
    <phoneticPr fontId="1" type="noConversion"/>
  </si>
  <si>
    <t>장기요양보험</t>
    <phoneticPr fontId="1" type="noConversion"/>
  </si>
  <si>
    <t>고용보험(근로자)</t>
    <phoneticPr fontId="1" type="noConversion"/>
  </si>
  <si>
    <t>고용보험(사업자)</t>
    <phoneticPr fontId="1" type="noConversion"/>
  </si>
  <si>
    <t>산재보험</t>
    <phoneticPr fontId="1" type="noConversion"/>
  </si>
  <si>
    <t>업체유형별 인건비비율</t>
    <phoneticPr fontId="1" type="noConversion"/>
  </si>
  <si>
    <t>필수인원</t>
    <phoneticPr fontId="1" type="noConversion"/>
  </si>
  <si>
    <t>2023(추경)</t>
    <phoneticPr fontId="1" type="noConversion"/>
  </si>
  <si>
    <t>2024(본)</t>
    <phoneticPr fontId="1" type="noConversion"/>
  </si>
  <si>
    <t>인건비비율</t>
    <phoneticPr fontId="1" type="noConversion"/>
  </si>
  <si>
    <t>2023년도</t>
    <phoneticPr fontId="1" type="noConversion"/>
  </si>
  <si>
    <t>2024년도</t>
    <phoneticPr fontId="1" type="noConversion"/>
  </si>
  <si>
    <t>인지지원등급</t>
  </si>
  <si>
    <t>가족요양</t>
  </si>
  <si>
    <t>90분</t>
  </si>
  <si>
    <t>60분</t>
  </si>
  <si>
    <t>장기요양수가(1일당)</t>
    <phoneticPr fontId="1" type="noConversion"/>
  </si>
  <si>
    <t>한마음데이케어센터</t>
  </si>
  <si>
    <t>윤의영</t>
  </si>
  <si>
    <t>추경</t>
  </si>
  <si>
    <t>2023년도 수급자수(전체)</t>
  </si>
  <si>
    <t>2023년도 수급자수(보조금)</t>
  </si>
  <si>
    <t>경조사지원</t>
  </si>
  <si>
    <t>직원중식지원</t>
  </si>
  <si>
    <t>인지기능 등</t>
  </si>
  <si>
    <t>신체기능 등</t>
  </si>
  <si>
    <t>사회적응</t>
  </si>
  <si>
    <t>과태료외</t>
  </si>
  <si>
    <t>가족내방참여</t>
  </si>
  <si>
    <t>외부나들이</t>
  </si>
  <si>
    <t>소계</t>
  </si>
  <si>
    <t>세입계</t>
  </si>
  <si>
    <t>공공요금 및 각종 세금공과금</t>
  </si>
  <si>
    <t>세출계</t>
  </si>
  <si>
    <t>김현주</t>
  </si>
  <si>
    <t>시설장(관리책임자)</t>
  </si>
  <si>
    <t>유미남</t>
  </si>
  <si>
    <t>조리원</t>
  </si>
  <si>
    <t>신규1</t>
  </si>
  <si>
    <t>보조원 운전사</t>
  </si>
  <si>
    <t>신정숙</t>
  </si>
  <si>
    <t>최선옥</t>
  </si>
  <si>
    <t>간호조무사</t>
  </si>
  <si>
    <t>강태술</t>
  </si>
  <si>
    <t>김수연</t>
  </si>
  <si>
    <t>신규2</t>
    <phoneticPr fontId="1" type="noConversion"/>
  </si>
  <si>
    <t>한마음데이케어센터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</si>
</sst>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176" formatCode="0&quot;인&quot;"/>
    <numFmt numFmtId="177" formatCode="#,##0_ "/>
    <numFmt numFmtId="178" formatCode="0&quot;분&quot;&quot;기&quot;"/>
    <numFmt numFmtId="179" formatCode="0&quot;회&quot;"/>
    <numFmt numFmtId="180" formatCode="0&quot;식&quot;"/>
    <numFmt numFmtId="181" formatCode="0&quot;개&quot;&quot;월&quot;"/>
    <numFmt numFmtId="182" formatCode="0&quot;년&quot;&quot;도&quot;"/>
    <numFmt numFmtId="183" formatCode="0_);[Red]\(0\)"/>
    <numFmt numFmtId="184" formatCode="0.0%"/>
    <numFmt numFmtId="185" formatCode="0.000%"/>
    <numFmt numFmtId="186" formatCode="0.0&quot;인&quot;"/>
    <numFmt numFmtId="187" formatCode="#,##0_);[Red]\(#,##0\)"/>
    <numFmt numFmtId="188" formatCode="#,#00&quot;원&quot;"/>
    <numFmt numFmtId="189" formatCode="0&quot;월&quot;"/>
    <numFmt numFmtId="190" formatCode="#,##0,"/>
    <numFmt numFmtId="191" formatCode="###,###,###,###,###,###"/>
    <numFmt numFmtId="192" formatCode="0&quot;분기&quot;"/>
    <numFmt numFmtId="193" formatCode="0.0&quot;회&quot;"/>
    <numFmt numFmtId="194" formatCode="0.0&quot;건&quot;"/>
    <numFmt numFmtId="195" formatCode="0&quot;개월&quot;"/>
  </numFmts>
  <fonts count="99">
    <font>
      <sz val="11"/>
      <color theme="1"/>
      <name val="맑은 고딕"/>
      <family val="2"/>
      <charset val="129"/>
      <scheme val="minor"/>
    </font>
    <font>
      <sz val="8"/>
      <name val="맑은 고딕"/>
      <family val="2"/>
      <charset val="129"/>
      <scheme val="minor"/>
    </font>
    <font>
      <sz val="9"/>
      <color rgb="FF286892"/>
      <name val="굴림체"/>
      <family val="3"/>
      <charset val="129"/>
    </font>
    <font>
      <sz val="9"/>
      <color rgb="FF000000"/>
      <name val="굴림체"/>
      <family val="3"/>
      <charset val="129"/>
    </font>
    <font>
      <sz val="11"/>
      <color theme="1"/>
      <name val="맑은 고딕"/>
      <family val="2"/>
      <charset val="129"/>
      <scheme val="minor"/>
    </font>
    <font>
      <sz val="9"/>
      <color rgb="FF286892"/>
      <name val="맑은 고딕"/>
      <family val="3"/>
      <charset val="129"/>
      <scheme val="major"/>
    </font>
    <font>
      <b/>
      <sz val="11"/>
      <color rgb="FF000000"/>
      <name val="맑은 고딕"/>
      <family val="3"/>
      <charset val="129"/>
      <scheme val="major"/>
    </font>
    <font>
      <b/>
      <sz val="9"/>
      <color rgb="FF000000"/>
      <name val="맑은 고딕"/>
      <family val="3"/>
      <charset val="129"/>
      <scheme val="major"/>
    </font>
    <font>
      <sz val="10"/>
      <name val="맑은 고딕"/>
      <family val="3"/>
      <charset val="129"/>
      <scheme val="major"/>
    </font>
    <font>
      <b/>
      <sz val="11"/>
      <color rgb="FFFF0000"/>
      <name val="맑은 고딕"/>
      <family val="3"/>
      <charset val="129"/>
      <scheme val="major"/>
    </font>
    <font>
      <sz val="8"/>
      <name val="돋움"/>
      <family val="3"/>
      <charset val="129"/>
    </font>
    <font>
      <sz val="11"/>
      <color theme="1"/>
      <name val="맑은 고딕"/>
      <family val="3"/>
      <charset val="129"/>
      <scheme val="major"/>
    </font>
    <font>
      <b/>
      <sz val="11"/>
      <color theme="1"/>
      <name val="맑은 고딕"/>
      <family val="3"/>
      <charset val="129"/>
      <scheme val="major"/>
    </font>
    <font>
      <sz val="10"/>
      <color theme="1"/>
      <name val="맑은 고딕"/>
      <family val="3"/>
      <charset val="129"/>
      <scheme val="major"/>
    </font>
    <font>
      <b/>
      <sz val="10"/>
      <name val="맑은 고딕"/>
      <family val="3"/>
      <charset val="129"/>
      <scheme val="major"/>
    </font>
    <font>
      <sz val="9"/>
      <name val="맑은 고딕"/>
      <family val="3"/>
      <charset val="129"/>
      <scheme val="major"/>
    </font>
    <font>
      <sz val="9"/>
      <color theme="1"/>
      <name val="맑은 고딕"/>
      <family val="3"/>
      <charset val="129"/>
      <scheme val="major"/>
    </font>
    <font>
      <b/>
      <sz val="9"/>
      <color indexed="81"/>
      <name val="돋움"/>
      <family val="3"/>
      <charset val="129"/>
    </font>
    <font>
      <b/>
      <sz val="9"/>
      <color indexed="81"/>
      <name val="Tahoma"/>
      <family val="2"/>
    </font>
    <font>
      <sz val="9"/>
      <color indexed="81"/>
      <name val="Tahoma"/>
      <family val="2"/>
    </font>
    <font>
      <b/>
      <sz val="10"/>
      <color indexed="81"/>
      <name val="맑은 고딕"/>
      <family val="3"/>
      <charset val="129"/>
      <scheme val="major"/>
    </font>
    <font>
      <sz val="9"/>
      <color indexed="81"/>
      <name val="돋움"/>
      <family val="3"/>
      <charset val="129"/>
    </font>
    <font>
      <b/>
      <sz val="9"/>
      <color indexed="81"/>
      <name val="맑은 고딕"/>
      <family val="3"/>
      <charset val="129"/>
      <scheme val="major"/>
    </font>
    <font>
      <sz val="8"/>
      <name val="맑은 고딕"/>
      <family val="3"/>
      <charset val="129"/>
      <scheme val="major"/>
    </font>
    <font>
      <sz val="10"/>
      <color theme="1"/>
      <name val="맑은 고딕"/>
      <family val="3"/>
      <charset val="129"/>
      <scheme val="minor"/>
    </font>
    <font>
      <b/>
      <sz val="10"/>
      <color theme="1"/>
      <name val="맑은 고딕"/>
      <family val="3"/>
      <charset val="129"/>
      <scheme val="minor"/>
    </font>
    <font>
      <b/>
      <sz val="11"/>
      <color theme="1"/>
      <name val="맑은 고딕"/>
      <family val="3"/>
      <charset val="129"/>
      <scheme val="minor"/>
    </font>
    <font>
      <b/>
      <sz val="10"/>
      <name val="굴림"/>
      <family val="3"/>
      <charset val="129"/>
    </font>
    <font>
      <b/>
      <sz val="11"/>
      <name val="맑은 고딕"/>
      <family val="3"/>
      <charset val="129"/>
      <scheme val="minor"/>
    </font>
    <font>
      <b/>
      <sz val="14"/>
      <color theme="1"/>
      <name val="맑은 고딕"/>
      <family val="3"/>
      <charset val="129"/>
      <scheme val="minor"/>
    </font>
    <font>
      <b/>
      <sz val="10"/>
      <color theme="1"/>
      <name val="맑은 고딕"/>
      <family val="3"/>
      <charset val="129"/>
      <scheme val="major"/>
    </font>
    <font>
      <sz val="10"/>
      <color theme="1"/>
      <name val="맑은 고딕"/>
      <family val="2"/>
      <charset val="129"/>
      <scheme val="minor"/>
    </font>
    <font>
      <sz val="11"/>
      <name val="돋움"/>
      <family val="3"/>
      <charset val="129"/>
    </font>
    <font>
      <sz val="10"/>
      <color theme="1"/>
      <name val="맑은 고딕"/>
      <family val="2"/>
      <charset val="129"/>
      <scheme val="major"/>
    </font>
    <font>
      <b/>
      <sz val="9"/>
      <color theme="1"/>
      <name val="맑은 고딕"/>
      <family val="3"/>
      <charset val="129"/>
      <scheme val="major"/>
    </font>
    <font>
      <b/>
      <sz val="9"/>
      <color theme="1"/>
      <name val="맑은 고딕"/>
      <family val="3"/>
      <charset val="129"/>
      <scheme val="minor"/>
    </font>
    <font>
      <b/>
      <sz val="9"/>
      <name val="맑은 고딕"/>
      <family val="3"/>
      <charset val="129"/>
      <scheme val="major"/>
    </font>
    <font>
      <sz val="9"/>
      <color theme="1"/>
      <name val="맑은 고딕"/>
      <family val="3"/>
      <charset val="129"/>
      <scheme val="minor"/>
    </font>
    <font>
      <b/>
      <sz val="12"/>
      <color theme="1"/>
      <name val="맑은 고딕"/>
      <family val="3"/>
      <charset val="129"/>
      <scheme val="minor"/>
    </font>
    <font>
      <b/>
      <sz val="9"/>
      <name val="굴림체"/>
      <family val="3"/>
      <charset val="129"/>
    </font>
    <font>
      <sz val="9"/>
      <color rgb="FF000000"/>
      <name val="굴림"/>
      <family val="3"/>
      <charset val="129"/>
    </font>
    <font>
      <b/>
      <sz val="10"/>
      <name val="맑은 고딕"/>
      <family val="3"/>
      <charset val="129"/>
      <scheme val="minor"/>
    </font>
    <font>
      <b/>
      <sz val="10"/>
      <color rgb="FF286892"/>
      <name val="맑은 고딕"/>
      <family val="3"/>
      <charset val="129"/>
      <scheme val="minor"/>
    </font>
    <font>
      <sz val="10"/>
      <color rgb="FF000000"/>
      <name val="맑은 고딕"/>
      <family val="3"/>
      <charset val="129"/>
      <scheme val="minor"/>
    </font>
    <font>
      <sz val="10"/>
      <name val="맑은 고딕"/>
      <family val="3"/>
      <charset val="129"/>
      <scheme val="minor"/>
    </font>
    <font>
      <b/>
      <sz val="9"/>
      <color rgb="FF000000"/>
      <name val="굴림"/>
      <family val="3"/>
      <charset val="129"/>
    </font>
    <font>
      <sz val="11"/>
      <name val="맑은 고딕"/>
      <family val="3"/>
      <charset val="129"/>
      <scheme val="major"/>
    </font>
    <font>
      <b/>
      <sz val="11"/>
      <name val="맑은 고딕"/>
      <family val="3"/>
      <charset val="129"/>
      <scheme val="major"/>
    </font>
    <font>
      <sz val="28"/>
      <name val="맑은 고딕"/>
      <family val="3"/>
      <charset val="129"/>
      <scheme val="major"/>
    </font>
    <font>
      <b/>
      <sz val="28"/>
      <name val="맑은 고딕"/>
      <family val="3"/>
      <charset val="129"/>
      <scheme val="major"/>
    </font>
    <font>
      <b/>
      <sz val="12"/>
      <name val="맑은 고딕"/>
      <family val="3"/>
      <charset val="129"/>
      <scheme val="major"/>
    </font>
    <font>
      <b/>
      <sz val="18"/>
      <name val="맑은 고딕"/>
      <family val="3"/>
      <charset val="129"/>
      <scheme val="major"/>
    </font>
    <font>
      <b/>
      <sz val="24"/>
      <name val="맑은 고딕"/>
      <family val="3"/>
      <charset val="129"/>
      <scheme val="major"/>
    </font>
    <font>
      <b/>
      <sz val="26"/>
      <color theme="1"/>
      <name val="맑은 고딕"/>
      <family val="3"/>
      <charset val="129"/>
      <scheme val="major"/>
    </font>
    <font>
      <sz val="11"/>
      <name val="굴림"/>
      <family val="3"/>
      <charset val="129"/>
    </font>
    <font>
      <b/>
      <sz val="26"/>
      <color theme="1"/>
      <name val="맑은 고딕"/>
      <family val="3"/>
      <charset val="129"/>
      <scheme val="minor"/>
    </font>
    <font>
      <sz val="12"/>
      <color rgb="FF000000"/>
      <name val="돋움"/>
      <family val="3"/>
      <charset val="129"/>
    </font>
    <font>
      <sz val="9"/>
      <color rgb="FF000000"/>
      <name val="돋움"/>
      <family val="3"/>
      <charset val="129"/>
    </font>
    <font>
      <sz val="11"/>
      <color rgb="FF000000"/>
      <name val="돋움"/>
      <family val="3"/>
      <charset val="129"/>
    </font>
    <font>
      <sz val="2"/>
      <color rgb="FF000000"/>
      <name val="돋움"/>
      <family val="3"/>
      <charset val="129"/>
    </font>
    <font>
      <b/>
      <sz val="14"/>
      <color rgb="FF000000"/>
      <name val="돋움"/>
      <family val="3"/>
      <charset val="129"/>
    </font>
    <font>
      <sz val="10"/>
      <color rgb="FF000000"/>
      <name val="돋움"/>
      <family val="3"/>
      <charset val="129"/>
    </font>
    <font>
      <sz val="12"/>
      <color rgb="FF191919"/>
      <name val="돋움"/>
      <family val="3"/>
      <charset val="129"/>
    </font>
    <font>
      <b/>
      <sz val="13"/>
      <color rgb="FF000000"/>
      <name val="돋움"/>
      <family val="3"/>
      <charset val="129"/>
    </font>
    <font>
      <sz val="14"/>
      <color rgb="FF000000"/>
      <name val="돋움"/>
      <family val="3"/>
      <charset val="129"/>
    </font>
    <font>
      <b/>
      <sz val="16"/>
      <color rgb="FF000000"/>
      <name val="돋움"/>
      <family val="3"/>
      <charset val="129"/>
    </font>
    <font>
      <b/>
      <sz val="18"/>
      <color rgb="FF000000"/>
      <name val="한양견고딕"/>
      <family val="3"/>
      <charset val="129"/>
    </font>
    <font>
      <b/>
      <sz val="18"/>
      <color rgb="FF000000"/>
      <name val="Arial Unicode MS"/>
      <family val="3"/>
      <charset val="129"/>
    </font>
    <font>
      <b/>
      <sz val="11"/>
      <name val="굴림"/>
      <family val="3"/>
      <charset val="129"/>
    </font>
    <font>
      <sz val="9"/>
      <color rgb="FF000000"/>
      <name val="맑은 고딕"/>
      <family val="3"/>
      <charset val="129"/>
      <scheme val="major"/>
    </font>
    <font>
      <sz val="10"/>
      <color rgb="FF000000"/>
      <name val="맑은 고딕"/>
      <family val="3"/>
      <charset val="129"/>
      <scheme val="major"/>
    </font>
    <font>
      <sz val="10"/>
      <name val="굴림"/>
      <family val="3"/>
      <charset val="129"/>
    </font>
    <font>
      <sz val="9"/>
      <name val="굴림"/>
      <family val="3"/>
      <charset val="129"/>
    </font>
    <font>
      <b/>
      <sz val="11"/>
      <name val="돋움"/>
      <family val="3"/>
      <charset val="129"/>
    </font>
    <font>
      <sz val="9"/>
      <color rgb="FFFF0000"/>
      <name val="굴림체"/>
      <family val="3"/>
      <charset val="129"/>
    </font>
    <font>
      <sz val="9"/>
      <name val="굴림체"/>
      <family val="3"/>
      <charset val="129"/>
    </font>
    <font>
      <b/>
      <sz val="9"/>
      <color rgb="FFC00000"/>
      <name val="맑은 고딕"/>
      <family val="3"/>
      <charset val="129"/>
      <scheme val="major"/>
    </font>
    <font>
      <b/>
      <sz val="11"/>
      <color rgb="FFC00000"/>
      <name val="맑은 고딕"/>
      <family val="3"/>
      <charset val="129"/>
      <scheme val="minor"/>
    </font>
    <font>
      <b/>
      <sz val="11"/>
      <color rgb="FF000000"/>
      <name val="맑은 고딕"/>
      <family val="3"/>
      <charset val="129"/>
      <scheme val="minor"/>
    </font>
    <font>
      <b/>
      <sz val="9"/>
      <color rgb="FF000000"/>
      <name val="굴림체"/>
      <family val="3"/>
      <charset val="129"/>
    </font>
    <font>
      <b/>
      <sz val="26"/>
      <name val="굴림체"/>
      <family val="3"/>
      <charset val="129"/>
    </font>
    <font>
      <b/>
      <sz val="14"/>
      <color theme="1"/>
      <name val="맑은 고딕"/>
      <family val="3"/>
      <charset val="129"/>
      <scheme val="major"/>
    </font>
    <font>
      <sz val="9"/>
      <color rgb="FF286892"/>
      <name val="맑은 고딕"/>
      <family val="3"/>
      <charset val="129"/>
      <scheme val="minor"/>
    </font>
    <font>
      <sz val="9"/>
      <color theme="1"/>
      <name val="굴림체"/>
      <family val="3"/>
      <charset val="129"/>
    </font>
    <font>
      <sz val="11"/>
      <color rgb="FF286892"/>
      <name val="맑은 고딕"/>
      <family val="3"/>
      <charset val="129"/>
      <scheme val="major"/>
    </font>
    <font>
      <sz val="11"/>
      <color theme="1"/>
      <name val="맑은 고딕"/>
      <family val="3"/>
      <charset val="129"/>
      <scheme val="minor"/>
    </font>
    <font>
      <b/>
      <sz val="11"/>
      <color rgb="FF286892"/>
      <name val="맑은 고딕"/>
      <family val="3"/>
      <charset val="129"/>
      <scheme val="major"/>
    </font>
    <font>
      <b/>
      <sz val="10"/>
      <color rgb="FF000000"/>
      <name val="맑은 고딕"/>
      <family val="3"/>
      <charset val="129"/>
      <scheme val="major"/>
    </font>
    <font>
      <sz val="11"/>
      <color theme="5" tint="0.79998168889431442"/>
      <name val="맑은 고딕"/>
      <family val="2"/>
      <charset val="129"/>
      <scheme val="minor"/>
    </font>
    <font>
      <b/>
      <sz val="6"/>
      <color theme="1"/>
      <name val="맑은 고딕"/>
      <family val="3"/>
      <charset val="129"/>
      <scheme val="minor"/>
    </font>
    <font>
      <sz val="8"/>
      <color theme="1"/>
      <name val="맑은 고딕"/>
      <family val="2"/>
      <charset val="129"/>
      <scheme val="minor"/>
    </font>
    <font>
      <b/>
      <sz val="10"/>
      <color theme="5" tint="0.79998168889431442"/>
      <name val="맑은 고딕"/>
      <family val="3"/>
      <charset val="129"/>
      <scheme val="minor"/>
    </font>
    <font>
      <b/>
      <sz val="10"/>
      <color indexed="81"/>
      <name val="돋움"/>
      <family val="3"/>
      <charset val="129"/>
    </font>
    <font>
      <b/>
      <sz val="16"/>
      <name val="굴림체"/>
      <family val="3"/>
      <charset val="129"/>
    </font>
    <font>
      <b/>
      <sz val="10"/>
      <color indexed="81"/>
      <name val="맑은 고딕"/>
      <family val="2"/>
      <scheme val="major"/>
    </font>
    <font>
      <b/>
      <sz val="34"/>
      <name val="맑은 고딕"/>
      <family val="3"/>
      <charset val="129"/>
      <scheme val="major"/>
    </font>
    <font>
      <sz val="8"/>
      <color theme="1"/>
      <name val="맑은 고딕"/>
      <family val="3"/>
      <charset val="129"/>
      <scheme val="minor"/>
    </font>
    <font>
      <sz val="10"/>
      <color rgb="FF333333"/>
      <name val="맑은 고딕"/>
      <family val="3"/>
      <charset val="129"/>
      <scheme val="minor"/>
    </font>
    <font>
      <sz val="11"/>
      <color theme="6"/>
      <name val="맑은 고딕"/>
      <family val="2"/>
      <charset val="129"/>
      <scheme val="minor"/>
    </font>
  </fonts>
  <fills count="2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4F4F4"/>
        <bgColor indexed="64"/>
      </patternFill>
    </fill>
    <fill>
      <patternFill patternType="solid">
        <fgColor theme="9" tint="0.59999389629810485"/>
        <bgColor indexed="64"/>
      </patternFill>
    </fill>
    <fill>
      <patternFill patternType="solid">
        <fgColor rgb="FFBBBBBB"/>
        <bgColor indexed="64"/>
      </patternFill>
    </fill>
    <fill>
      <patternFill patternType="solid">
        <fgColor theme="2" tint="-0.24994659260841701"/>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FFC000"/>
        <bgColor indexed="64"/>
      </patternFill>
    </fill>
    <fill>
      <patternFill patternType="solid">
        <fgColor theme="2"/>
        <bgColor indexed="64"/>
      </patternFill>
    </fill>
    <fill>
      <patternFill patternType="solid">
        <fgColor theme="3" tint="0.79998168889431442"/>
        <bgColor indexed="64"/>
      </patternFill>
    </fill>
    <fill>
      <patternFill patternType="solid">
        <fgColor theme="9" tint="0.39997558519241921"/>
        <bgColor indexed="64"/>
      </patternFill>
    </fill>
  </fills>
  <borders count="25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right style="thin">
        <color indexed="64"/>
      </right>
      <top/>
      <bottom style="medium">
        <color indexed="64"/>
      </bottom>
      <diagonal/>
    </border>
    <border>
      <left style="thin">
        <color auto="1"/>
      </left>
      <right style="thin">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
      <left/>
      <right style="thin">
        <color rgb="FF000000"/>
      </right>
      <top style="medium">
        <color indexed="64"/>
      </top>
      <bottom style="thin">
        <color rgb="FF000000"/>
      </bottom>
      <diagonal/>
    </border>
    <border>
      <left/>
      <right style="thin">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rgb="FF000000"/>
      </right>
      <top/>
      <bottom/>
      <diagonal/>
    </border>
    <border>
      <left style="medium">
        <color auto="1"/>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auto="1"/>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5D5D5D"/>
      </bottom>
      <diagonal/>
    </border>
    <border>
      <left/>
      <right style="thin">
        <color rgb="FF939393"/>
      </right>
      <top style="thin">
        <color rgb="FF000000"/>
      </top>
      <bottom style="thin">
        <color rgb="FF5D5D5D"/>
      </bottom>
      <diagonal/>
    </border>
    <border>
      <left style="thin">
        <color rgb="FF939393"/>
      </left>
      <right/>
      <top style="thin">
        <color rgb="FF000000"/>
      </top>
      <bottom style="thin">
        <color rgb="FF5D5D5D"/>
      </bottom>
      <diagonal/>
    </border>
    <border>
      <left/>
      <right style="thin">
        <color rgb="FF000000"/>
      </right>
      <top style="thin">
        <color rgb="FF000000"/>
      </top>
      <bottom style="thin">
        <color rgb="FF5D5D5D"/>
      </bottom>
      <diagonal/>
    </border>
    <border>
      <left style="thin">
        <color rgb="FF000000"/>
      </left>
      <right/>
      <top style="thin">
        <color rgb="FF5D5D5D"/>
      </top>
      <bottom style="thin">
        <color rgb="FF000000"/>
      </bottom>
      <diagonal/>
    </border>
    <border>
      <left/>
      <right/>
      <top style="thin">
        <color rgb="FF5D5D5D"/>
      </top>
      <bottom style="thin">
        <color rgb="FF000000"/>
      </bottom>
      <diagonal/>
    </border>
    <border>
      <left/>
      <right style="thin">
        <color rgb="FF000000"/>
      </right>
      <top style="thin">
        <color rgb="FF5D5D5D"/>
      </top>
      <bottom style="thin">
        <color rgb="FF000000"/>
      </bottom>
      <diagonal/>
    </border>
    <border>
      <left/>
      <right style="thin">
        <color rgb="FF666666"/>
      </right>
      <top style="thin">
        <color rgb="FF000000"/>
      </top>
      <bottom/>
      <diagonal/>
    </border>
    <border>
      <left style="thin">
        <color rgb="FF666666"/>
      </left>
      <right/>
      <top style="thin">
        <color rgb="FF000000"/>
      </top>
      <bottom style="thin">
        <color rgb="FFBBBBBB"/>
      </bottom>
      <diagonal/>
    </border>
    <border>
      <left/>
      <right style="thin">
        <color rgb="FF666666"/>
      </right>
      <top style="thin">
        <color rgb="FF000000"/>
      </top>
      <bottom style="thin">
        <color rgb="FFBBBBBB"/>
      </bottom>
      <diagonal/>
    </border>
    <border>
      <left/>
      <right style="thin">
        <color rgb="FF000000"/>
      </right>
      <top style="thin">
        <color rgb="FF000000"/>
      </top>
      <bottom style="thin">
        <color rgb="FFBBBBBB"/>
      </bottom>
      <diagonal/>
    </border>
    <border>
      <left style="thin">
        <color rgb="FF000000"/>
      </left>
      <right/>
      <top/>
      <bottom style="medium">
        <color rgb="FF000000"/>
      </bottom>
      <diagonal/>
    </border>
    <border>
      <left/>
      <right style="thin">
        <color rgb="FF666666"/>
      </right>
      <top/>
      <bottom style="medium">
        <color rgb="FF000000"/>
      </bottom>
      <diagonal/>
    </border>
    <border>
      <left style="thin">
        <color rgb="FF666666"/>
      </left>
      <right/>
      <top style="thin">
        <color rgb="FFBBBBBB"/>
      </top>
      <bottom style="medium">
        <color rgb="FF000000"/>
      </bottom>
      <diagonal/>
    </border>
    <border>
      <left/>
      <right style="thin">
        <color rgb="FF666666"/>
      </right>
      <top style="thin">
        <color rgb="FFBBBBBB"/>
      </top>
      <bottom style="medium">
        <color rgb="FF000000"/>
      </bottom>
      <diagonal/>
    </border>
    <border>
      <left/>
      <right style="thin">
        <color rgb="FF000000"/>
      </right>
      <top style="thin">
        <color rgb="FFBBBBBB"/>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939393"/>
      </bottom>
      <diagonal/>
    </border>
    <border>
      <left/>
      <right style="thin">
        <color rgb="FF939393"/>
      </right>
      <top style="thin">
        <color rgb="FF000000"/>
      </top>
      <bottom style="thin">
        <color rgb="FF939393"/>
      </bottom>
      <diagonal/>
    </border>
    <border>
      <left style="thin">
        <color rgb="FF939393"/>
      </left>
      <right/>
      <top style="thin">
        <color rgb="FF000000"/>
      </top>
      <bottom style="thin">
        <color rgb="FF939393"/>
      </bottom>
      <diagonal/>
    </border>
    <border>
      <left/>
      <right/>
      <top style="thin">
        <color rgb="FF000000"/>
      </top>
      <bottom style="thin">
        <color rgb="FF939393"/>
      </bottom>
      <diagonal/>
    </border>
    <border>
      <left/>
      <right style="thin">
        <color rgb="FF000000"/>
      </right>
      <top style="thin">
        <color rgb="FF000000"/>
      </top>
      <bottom style="thin">
        <color rgb="FF939393"/>
      </bottom>
      <diagonal/>
    </border>
    <border>
      <left style="thin">
        <color rgb="FF000000"/>
      </left>
      <right/>
      <top style="thin">
        <color rgb="FF939393"/>
      </top>
      <bottom/>
      <diagonal/>
    </border>
    <border>
      <left/>
      <right style="thin">
        <color rgb="FF939393"/>
      </right>
      <top style="thin">
        <color rgb="FF939393"/>
      </top>
      <bottom/>
      <diagonal/>
    </border>
    <border>
      <left style="thin">
        <color rgb="FF939393"/>
      </left>
      <right/>
      <top style="thin">
        <color rgb="FF939393"/>
      </top>
      <bottom/>
      <diagonal/>
    </border>
    <border>
      <left/>
      <right/>
      <top style="thin">
        <color rgb="FF939393"/>
      </top>
      <bottom/>
      <diagonal/>
    </border>
    <border>
      <left/>
      <right style="thin">
        <color rgb="FF000000"/>
      </right>
      <top style="thin">
        <color rgb="FF939393"/>
      </top>
      <bottom/>
      <diagonal/>
    </border>
    <border>
      <left/>
      <right style="thin">
        <color rgb="FF939393"/>
      </right>
      <top/>
      <bottom style="thin">
        <color rgb="FF000000"/>
      </bottom>
      <diagonal/>
    </border>
    <border>
      <left style="thin">
        <color rgb="FF939393"/>
      </left>
      <right/>
      <top/>
      <bottom style="thin">
        <color rgb="FF000000"/>
      </bottom>
      <diagonal/>
    </border>
    <border>
      <left/>
      <right style="thin">
        <color rgb="FF939393"/>
      </right>
      <top style="thin">
        <color rgb="FF000000"/>
      </top>
      <bottom/>
      <diagonal/>
    </border>
    <border>
      <left style="thin">
        <color rgb="FF939393"/>
      </left>
      <right/>
      <top style="thin">
        <color rgb="FF000000"/>
      </top>
      <bottom/>
      <diagonal/>
    </border>
    <border>
      <left/>
      <right style="thin">
        <color rgb="FF939393"/>
      </right>
      <top/>
      <bottom style="medium">
        <color rgb="FF000000"/>
      </bottom>
      <diagonal/>
    </border>
    <border>
      <left style="thin">
        <color rgb="FF939393"/>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style="thin">
        <color rgb="FF000000"/>
      </left>
      <right/>
      <top/>
      <bottom style="thick">
        <color rgb="FF666666"/>
      </bottom>
      <diagonal/>
    </border>
    <border>
      <left/>
      <right/>
      <top/>
      <bottom style="thick">
        <color rgb="FF666666"/>
      </bottom>
      <diagonal/>
    </border>
    <border>
      <left/>
      <right style="thin">
        <color rgb="FF000000"/>
      </right>
      <top/>
      <bottom style="thick">
        <color rgb="FF666666"/>
      </bottom>
      <diagonal/>
    </border>
    <border>
      <left style="thin">
        <color rgb="FF000000"/>
      </left>
      <right/>
      <top style="thick">
        <color rgb="FF666666"/>
      </top>
      <bottom style="thin">
        <color rgb="FF5D5D5D"/>
      </bottom>
      <diagonal/>
    </border>
    <border>
      <left/>
      <right/>
      <top style="thick">
        <color rgb="FF666666"/>
      </top>
      <bottom style="thin">
        <color rgb="FF5D5D5D"/>
      </bottom>
      <diagonal/>
    </border>
    <border>
      <left/>
      <right style="thin">
        <color rgb="FF000000"/>
      </right>
      <top style="thick">
        <color rgb="FF666666"/>
      </top>
      <bottom style="thin">
        <color rgb="FF5D5D5D"/>
      </bottom>
      <diagonal/>
    </border>
    <border>
      <left style="thin">
        <color rgb="FF000000"/>
      </left>
      <right style="thin">
        <color rgb="FF939393"/>
      </right>
      <top style="thin">
        <color rgb="FF5D5D5D"/>
      </top>
      <bottom/>
      <diagonal/>
    </border>
    <border>
      <left style="thin">
        <color rgb="FF939393"/>
      </left>
      <right/>
      <top style="thin">
        <color rgb="FF5D5D5D"/>
      </top>
      <bottom/>
      <diagonal/>
    </border>
    <border>
      <left/>
      <right/>
      <top style="thin">
        <color rgb="FF5D5D5D"/>
      </top>
      <bottom/>
      <diagonal/>
    </border>
    <border>
      <left/>
      <right style="thin">
        <color rgb="FF939393"/>
      </right>
      <top style="thin">
        <color rgb="FF5D5D5D"/>
      </top>
      <bottom/>
      <diagonal/>
    </border>
    <border>
      <left style="thin">
        <color rgb="FF939393"/>
      </left>
      <right style="thin">
        <color rgb="FF000000"/>
      </right>
      <top style="thin">
        <color rgb="FF5D5D5D"/>
      </top>
      <bottom/>
      <diagonal/>
    </border>
    <border>
      <left style="thin">
        <color rgb="FF000000"/>
      </left>
      <right style="thin">
        <color rgb="FF939393"/>
      </right>
      <top/>
      <bottom style="thin">
        <color rgb="FF000000"/>
      </bottom>
      <diagonal/>
    </border>
    <border>
      <left style="thin">
        <color rgb="FF939393"/>
      </left>
      <right style="thin">
        <color rgb="FF000000"/>
      </right>
      <top/>
      <bottom/>
      <diagonal/>
    </border>
    <border>
      <left/>
      <right/>
      <top style="thin">
        <color rgb="FF000000"/>
      </top>
      <bottom style="thin">
        <color rgb="FF5D5D5D"/>
      </bottom>
      <diagonal/>
    </border>
    <border>
      <left style="thick">
        <color rgb="FF666666"/>
      </left>
      <right/>
      <top style="thick">
        <color rgb="FF666666"/>
      </top>
      <bottom/>
      <diagonal/>
    </border>
    <border>
      <left/>
      <right/>
      <top style="thick">
        <color rgb="FF666666"/>
      </top>
      <bottom/>
      <diagonal/>
    </border>
    <border>
      <left/>
      <right style="thick">
        <color rgb="FF666666"/>
      </right>
      <top style="thick">
        <color rgb="FF666666"/>
      </top>
      <bottom/>
      <diagonal/>
    </border>
    <border>
      <left style="thick">
        <color rgb="FF666666"/>
      </left>
      <right/>
      <top style="thin">
        <color rgb="FF000000"/>
      </top>
      <bottom/>
      <diagonal/>
    </border>
    <border>
      <left style="thick">
        <color rgb="FF666666"/>
      </left>
      <right/>
      <top/>
      <bottom style="thin">
        <color rgb="FF000000"/>
      </bottom>
      <diagonal/>
    </border>
    <border>
      <left/>
      <right style="thick">
        <color rgb="FF666666"/>
      </right>
      <top/>
      <bottom style="thin">
        <color rgb="FF000000"/>
      </bottom>
      <diagonal/>
    </border>
    <border>
      <left style="thick">
        <color rgb="FF666666"/>
      </left>
      <right/>
      <top style="thin">
        <color rgb="FF000000"/>
      </top>
      <bottom style="thin">
        <color rgb="FF5D5D5D"/>
      </bottom>
      <diagonal/>
    </border>
    <border>
      <left/>
      <right style="thick">
        <color rgb="FF666666"/>
      </right>
      <top style="thin">
        <color rgb="FF000000"/>
      </top>
      <bottom style="thin">
        <color rgb="FF5D5D5D"/>
      </bottom>
      <diagonal/>
    </border>
    <border>
      <left style="thick">
        <color rgb="FF666666"/>
      </left>
      <right/>
      <top style="thin">
        <color rgb="FF5D5D5D"/>
      </top>
      <bottom style="thin">
        <color rgb="FF000000"/>
      </bottom>
      <diagonal/>
    </border>
    <border>
      <left/>
      <right style="thick">
        <color rgb="FF666666"/>
      </right>
      <top style="thin">
        <color rgb="FF5D5D5D"/>
      </top>
      <bottom style="thin">
        <color rgb="FF000000"/>
      </bottom>
      <diagonal/>
    </border>
    <border>
      <left/>
      <right style="thick">
        <color rgb="FF666666"/>
      </right>
      <top style="thin">
        <color rgb="FF000000"/>
      </top>
      <bottom style="thin">
        <color rgb="FFBBBBBB"/>
      </bottom>
      <diagonal/>
    </border>
    <border>
      <left style="thick">
        <color rgb="FF666666"/>
      </left>
      <right/>
      <top/>
      <bottom style="medium">
        <color rgb="FF000000"/>
      </bottom>
      <diagonal/>
    </border>
    <border>
      <left/>
      <right style="thick">
        <color rgb="FF666666"/>
      </right>
      <top style="thin">
        <color rgb="FFBBBBBB"/>
      </top>
      <bottom style="medium">
        <color rgb="FF000000"/>
      </bottom>
      <diagonal/>
    </border>
    <border>
      <left style="thick">
        <color rgb="FF666666"/>
      </left>
      <right/>
      <top style="medium">
        <color rgb="FF000000"/>
      </top>
      <bottom/>
      <diagonal/>
    </border>
    <border>
      <left/>
      <right style="thick">
        <color rgb="FF666666"/>
      </right>
      <top style="medium">
        <color rgb="FF000000"/>
      </top>
      <bottom/>
      <diagonal/>
    </border>
    <border>
      <left style="thick">
        <color rgb="FF666666"/>
      </left>
      <right/>
      <top/>
      <bottom/>
      <diagonal/>
    </border>
    <border>
      <left/>
      <right style="thick">
        <color rgb="FF666666"/>
      </right>
      <top/>
      <bottom/>
      <diagonal/>
    </border>
    <border>
      <left style="thick">
        <color rgb="FF666666"/>
      </left>
      <right/>
      <top/>
      <bottom style="thick">
        <color rgb="FF666666"/>
      </bottom>
      <diagonal/>
    </border>
    <border>
      <left/>
      <right style="thick">
        <color rgb="FF666666"/>
      </right>
      <top/>
      <bottom style="thick">
        <color rgb="FF666666"/>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auto="1"/>
      </right>
      <top style="thick">
        <color auto="1"/>
      </top>
      <bottom style="thick">
        <color auto="1"/>
      </bottom>
      <diagonal/>
    </border>
    <border>
      <left style="thin">
        <color rgb="FF000000"/>
      </left>
      <right style="thin">
        <color rgb="FF000000"/>
      </right>
      <top style="thick">
        <color rgb="FF000000"/>
      </top>
      <bottom style="thin">
        <color rgb="FF000000"/>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ck">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left style="thin">
        <color rgb="FF000000"/>
      </left>
      <right style="thin">
        <color rgb="FF000000"/>
      </right>
      <top/>
      <bottom style="thick">
        <color rgb="FF000000"/>
      </bottom>
      <diagonal/>
    </border>
    <border>
      <left style="medium">
        <color auto="1"/>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medium">
        <color indexed="64"/>
      </right>
      <top/>
      <bottom style="thick">
        <color indexed="64"/>
      </bottom>
      <diagonal/>
    </border>
    <border>
      <left/>
      <right style="medium">
        <color indexed="64"/>
      </right>
      <top style="thin">
        <color indexed="64"/>
      </top>
      <bottom/>
      <diagonal/>
    </border>
    <border>
      <left style="medium">
        <color indexed="64"/>
      </left>
      <right/>
      <top style="thin">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thick">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diagonalDown="1">
      <left style="medium">
        <color indexed="64"/>
      </left>
      <right style="thin">
        <color indexed="64"/>
      </right>
      <top style="thin">
        <color indexed="64"/>
      </top>
      <bottom/>
      <diagonal style="thin">
        <color indexed="64"/>
      </diagonal>
    </border>
    <border>
      <left style="medium">
        <color indexed="64"/>
      </left>
      <right/>
      <top style="medium">
        <color indexed="64"/>
      </top>
      <bottom style="thick">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0">
    <xf numFmtId="0" fontId="0" fillId="0" borderId="0">
      <alignment vertical="center"/>
    </xf>
    <xf numFmtId="41" fontId="4" fillId="0" borderId="0" applyFont="0" applyFill="0" applyBorder="0" applyAlignment="0" applyProtection="0">
      <alignment vertical="center"/>
    </xf>
    <xf numFmtId="9" fontId="4" fillId="0" borderId="0" applyFont="0" applyFill="0" applyBorder="0" applyAlignment="0" applyProtection="0">
      <alignment vertical="center"/>
    </xf>
    <xf numFmtId="0" fontId="32" fillId="0" borderId="0">
      <alignment vertical="center"/>
    </xf>
    <xf numFmtId="0" fontId="32" fillId="0" borderId="0"/>
    <xf numFmtId="0" fontId="32" fillId="0" borderId="0">
      <alignment vertical="center"/>
    </xf>
    <xf numFmtId="41" fontId="32" fillId="0" borderId="0" applyFont="0" applyFill="0" applyBorder="0" applyAlignment="0" applyProtection="0"/>
    <xf numFmtId="0" fontId="32" fillId="0" borderId="0"/>
    <xf numFmtId="0" fontId="32" fillId="0" borderId="0"/>
    <xf numFmtId="41" fontId="32" fillId="0" borderId="0" applyFont="0" applyFill="0" applyBorder="0" applyAlignment="0" applyProtection="0">
      <alignment vertical="center"/>
    </xf>
  </cellStyleXfs>
  <cellXfs count="1876">
    <xf numFmtId="0" fontId="0" fillId="0" borderId="0" xfId="0">
      <alignment vertical="center"/>
    </xf>
    <xf numFmtId="0" fontId="11" fillId="0" borderId="0" xfId="0" applyFont="1">
      <alignment vertical="center"/>
    </xf>
    <xf numFmtId="0" fontId="3" fillId="3" borderId="36" xfId="0" applyFont="1" applyFill="1" applyBorder="1" applyAlignment="1">
      <alignment horizontal="center" vertical="center" wrapText="1"/>
    </xf>
    <xf numFmtId="0" fontId="8" fillId="0" borderId="34" xfId="3" applyFont="1" applyBorder="1" applyAlignment="1" applyProtection="1">
      <alignment horizontal="left" vertical="center" shrinkToFit="1"/>
      <protection hidden="1"/>
    </xf>
    <xf numFmtId="0" fontId="0" fillId="0" borderId="34"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40" fillId="14" borderId="96" xfId="0" applyFont="1" applyFill="1" applyBorder="1" applyAlignment="1">
      <alignment horizontal="left" vertical="center" wrapText="1"/>
    </xf>
    <xf numFmtId="177" fontId="40" fillId="14" borderId="96" xfId="0" applyNumberFormat="1" applyFont="1" applyFill="1" applyBorder="1" applyAlignment="1">
      <alignment horizontal="right" vertical="center" wrapText="1"/>
    </xf>
    <xf numFmtId="177" fontId="40" fillId="11" borderId="0" xfId="0" applyNumberFormat="1" applyFont="1" applyFill="1" applyAlignment="1" applyProtection="1">
      <alignment horizontal="right" vertical="center" wrapText="1"/>
      <protection locked="0"/>
    </xf>
    <xf numFmtId="0" fontId="0" fillId="11" borderId="0" xfId="0" applyFill="1">
      <alignment vertical="center"/>
    </xf>
    <xf numFmtId="0" fontId="40" fillId="15" borderId="2" xfId="0" applyFont="1" applyFill="1" applyBorder="1" applyAlignment="1">
      <alignment horizontal="left" vertical="center" wrapText="1"/>
    </xf>
    <xf numFmtId="177" fontId="40" fillId="15" borderId="2" xfId="0" applyNumberFormat="1" applyFont="1" applyFill="1" applyBorder="1" applyAlignment="1">
      <alignment horizontal="right" vertical="center" wrapText="1"/>
    </xf>
    <xf numFmtId="0" fontId="40" fillId="14" borderId="2" xfId="0" applyFont="1" applyFill="1" applyBorder="1" applyAlignment="1">
      <alignment horizontal="left" vertical="center" wrapText="1"/>
    </xf>
    <xf numFmtId="177" fontId="40" fillId="14" borderId="2" xfId="0" applyNumberFormat="1" applyFont="1" applyFill="1" applyBorder="1" applyAlignment="1">
      <alignment horizontal="right" vertical="center" wrapText="1"/>
    </xf>
    <xf numFmtId="177" fontId="40" fillId="11" borderId="99" xfId="0" applyNumberFormat="1" applyFont="1" applyFill="1" applyBorder="1" applyAlignment="1" applyProtection="1">
      <alignment horizontal="right" vertical="center" wrapText="1"/>
      <protection locked="0"/>
    </xf>
    <xf numFmtId="0" fontId="43" fillId="4" borderId="100" xfId="0" applyFont="1" applyFill="1" applyBorder="1" applyAlignment="1">
      <alignment horizontal="left" vertical="center" shrinkToFit="1"/>
    </xf>
    <xf numFmtId="177" fontId="43" fillId="4" borderId="101" xfId="0" applyNumberFormat="1" applyFont="1" applyFill="1" applyBorder="1" applyAlignment="1">
      <alignment horizontal="right" vertical="center" wrapText="1"/>
    </xf>
    <xf numFmtId="0" fontId="43" fillId="4" borderId="102" xfId="0" applyFont="1" applyFill="1" applyBorder="1" applyAlignment="1">
      <alignment horizontal="left" vertical="center" shrinkToFit="1"/>
    </xf>
    <xf numFmtId="177" fontId="43" fillId="4" borderId="103" xfId="0" applyNumberFormat="1" applyFont="1" applyFill="1" applyBorder="1" applyAlignment="1">
      <alignment horizontal="right" vertical="center" wrapText="1"/>
    </xf>
    <xf numFmtId="0" fontId="44" fillId="11" borderId="34" xfId="0" applyFont="1" applyFill="1" applyBorder="1" applyAlignment="1">
      <alignment horizontal="center" vertical="center"/>
    </xf>
    <xf numFmtId="0" fontId="43" fillId="3" borderId="102" xfId="0" applyFont="1" applyFill="1" applyBorder="1" applyAlignment="1">
      <alignment horizontal="left" vertical="center" wrapText="1"/>
    </xf>
    <xf numFmtId="177" fontId="43" fillId="3" borderId="103" xfId="0" applyNumberFormat="1" applyFont="1" applyFill="1" applyBorder="1" applyAlignment="1">
      <alignment horizontal="right" vertical="center" wrapText="1"/>
    </xf>
    <xf numFmtId="0" fontId="44" fillId="11" borderId="57" xfId="0" applyFont="1" applyFill="1" applyBorder="1" applyAlignment="1">
      <alignment horizontal="center" vertical="center"/>
    </xf>
    <xf numFmtId="0" fontId="43" fillId="3" borderId="104" xfId="0" applyFont="1" applyFill="1" applyBorder="1" applyAlignment="1">
      <alignment horizontal="left" vertical="center" wrapText="1"/>
    </xf>
    <xf numFmtId="177" fontId="43" fillId="3" borderId="105" xfId="0" applyNumberFormat="1" applyFont="1" applyFill="1" applyBorder="1" applyAlignment="1">
      <alignment horizontal="right" vertical="center" wrapText="1"/>
    </xf>
    <xf numFmtId="0" fontId="40" fillId="4" borderId="102" xfId="0" applyFont="1" applyFill="1" applyBorder="1" applyAlignment="1">
      <alignment horizontal="left" vertical="center" wrapText="1"/>
    </xf>
    <xf numFmtId="177" fontId="40" fillId="4" borderId="103" xfId="0" applyNumberFormat="1" applyFont="1" applyFill="1" applyBorder="1" applyAlignment="1">
      <alignment horizontal="right" vertical="center" wrapText="1"/>
    </xf>
    <xf numFmtId="0" fontId="40" fillId="3" borderId="102" xfId="0" applyFont="1" applyFill="1" applyBorder="1" applyAlignment="1">
      <alignment horizontal="left" vertical="center" wrapText="1"/>
    </xf>
    <xf numFmtId="177" fontId="40" fillId="3" borderId="103" xfId="0" applyNumberFormat="1" applyFont="1" applyFill="1" applyBorder="1" applyAlignment="1">
      <alignment horizontal="right" vertical="center" wrapText="1"/>
    </xf>
    <xf numFmtId="0" fontId="45" fillId="6" borderId="104" xfId="0" applyFont="1" applyFill="1" applyBorder="1" applyAlignment="1">
      <alignment horizontal="left" vertical="center" wrapText="1"/>
    </xf>
    <xf numFmtId="0" fontId="25" fillId="0" borderId="54" xfId="0" applyFont="1" applyBorder="1">
      <alignment vertical="center"/>
    </xf>
    <xf numFmtId="0" fontId="25" fillId="0" borderId="25" xfId="0" applyFont="1" applyBorder="1" applyAlignment="1">
      <alignment horizontal="right" vertical="center"/>
    </xf>
    <xf numFmtId="0" fontId="45" fillId="0" borderId="34" xfId="0" applyFont="1" applyBorder="1" applyAlignment="1">
      <alignment horizontal="left" vertical="center" wrapText="1"/>
    </xf>
    <xf numFmtId="10" fontId="45" fillId="0" borderId="32" xfId="2" applyNumberFormat="1" applyFont="1" applyFill="1" applyBorder="1" applyAlignment="1">
      <alignment horizontal="right" vertical="center" wrapText="1"/>
    </xf>
    <xf numFmtId="0" fontId="40" fillId="4" borderId="34" xfId="0" applyFont="1" applyFill="1" applyBorder="1" applyAlignment="1">
      <alignment horizontal="left" vertical="center" wrapText="1"/>
    </xf>
    <xf numFmtId="177" fontId="40" fillId="4" borderId="32" xfId="0" applyNumberFormat="1" applyFont="1" applyFill="1" applyBorder="1" applyAlignment="1">
      <alignment horizontal="right" vertical="center" wrapText="1"/>
    </xf>
    <xf numFmtId="0" fontId="40" fillId="3" borderId="34" xfId="0" applyFont="1" applyFill="1" applyBorder="1" applyAlignment="1">
      <alignment horizontal="left" vertical="center" wrapText="1"/>
    </xf>
    <xf numFmtId="177" fontId="40" fillId="3" borderId="32" xfId="0" applyNumberFormat="1" applyFont="1" applyFill="1" applyBorder="1" applyAlignment="1">
      <alignment horizontal="right" vertical="center" wrapText="1"/>
    </xf>
    <xf numFmtId="0" fontId="42" fillId="0" borderId="108" xfId="0" applyFont="1" applyBorder="1" applyAlignment="1">
      <alignment horizontal="center" vertical="center" wrapText="1"/>
    </xf>
    <xf numFmtId="0" fontId="42" fillId="0" borderId="109" xfId="0" applyFont="1" applyBorder="1" applyAlignment="1">
      <alignment horizontal="center" vertical="center" wrapText="1"/>
    </xf>
    <xf numFmtId="0" fontId="37" fillId="11" borderId="0" xfId="0" applyFont="1" applyFill="1" applyAlignment="1">
      <alignment vertical="center" wrapText="1"/>
    </xf>
    <xf numFmtId="0" fontId="3" fillId="15" borderId="2" xfId="0" applyFont="1" applyFill="1" applyBorder="1" applyAlignment="1">
      <alignment horizontal="center" vertical="center" wrapText="1"/>
    </xf>
    <xf numFmtId="0" fontId="3" fillId="14" borderId="2" xfId="0" applyFont="1" applyFill="1" applyBorder="1" applyAlignment="1">
      <alignment horizontal="center" vertical="center" wrapText="1"/>
    </xf>
    <xf numFmtId="177" fontId="40" fillId="14" borderId="0" xfId="0" applyNumberFormat="1" applyFont="1" applyFill="1" applyAlignment="1" applyProtection="1">
      <alignment horizontal="right" vertical="center" wrapText="1"/>
      <protection locked="0"/>
    </xf>
    <xf numFmtId="0" fontId="45" fillId="15" borderId="2" xfId="0" applyFont="1" applyFill="1" applyBorder="1" applyAlignment="1">
      <alignment horizontal="left" vertical="center" wrapText="1"/>
    </xf>
    <xf numFmtId="0" fontId="45" fillId="14" borderId="2" xfId="0" applyFont="1" applyFill="1" applyBorder="1" applyAlignment="1">
      <alignment horizontal="left" vertical="center" wrapText="1"/>
    </xf>
    <xf numFmtId="0" fontId="47" fillId="11" borderId="0" xfId="0" applyFont="1" applyFill="1" applyAlignment="1">
      <alignment horizontal="center" vertical="center"/>
    </xf>
    <xf numFmtId="0" fontId="46" fillId="11" borderId="0" xfId="0" applyFont="1" applyFill="1" applyAlignment="1">
      <alignment horizontal="center" vertical="center"/>
    </xf>
    <xf numFmtId="0" fontId="48" fillId="11" borderId="0" xfId="0" applyFont="1" applyFill="1">
      <alignment vertical="center"/>
    </xf>
    <xf numFmtId="0" fontId="11" fillId="11" borderId="0" xfId="0" applyFont="1" applyFill="1">
      <alignment vertical="center"/>
    </xf>
    <xf numFmtId="0" fontId="46" fillId="0" borderId="0" xfId="5" applyFont="1">
      <alignment vertical="center"/>
    </xf>
    <xf numFmtId="0" fontId="46" fillId="11" borderId="0" xfId="5" applyFont="1" applyFill="1">
      <alignment vertical="center"/>
    </xf>
    <xf numFmtId="0" fontId="46" fillId="11" borderId="36" xfId="5" applyFont="1" applyFill="1" applyBorder="1" applyAlignment="1">
      <alignment horizontal="center" vertical="center"/>
    </xf>
    <xf numFmtId="0" fontId="46" fillId="11" borderId="36" xfId="5" applyFont="1" applyFill="1" applyBorder="1" applyAlignment="1">
      <alignment horizontal="center" vertical="center" wrapText="1"/>
    </xf>
    <xf numFmtId="41" fontId="46" fillId="11" borderId="36" xfId="5" applyNumberFormat="1" applyFont="1" applyFill="1" applyBorder="1" applyAlignment="1">
      <alignment horizontal="center" vertical="center"/>
    </xf>
    <xf numFmtId="41" fontId="46" fillId="11" borderId="36" xfId="6" applyFont="1" applyFill="1" applyBorder="1" applyAlignment="1">
      <alignment horizontal="center" vertical="center"/>
    </xf>
    <xf numFmtId="0" fontId="46" fillId="11" borderId="0" xfId="5" applyFont="1" applyFill="1" applyProtection="1">
      <alignment vertical="center"/>
      <protection hidden="1"/>
    </xf>
    <xf numFmtId="0" fontId="46" fillId="11" borderId="0" xfId="5" applyFont="1" applyFill="1" applyAlignment="1">
      <alignment horizontal="left" vertical="center"/>
    </xf>
    <xf numFmtId="0" fontId="46" fillId="11" borderId="0" xfId="7" applyFont="1" applyFill="1" applyAlignment="1">
      <alignment vertical="center"/>
    </xf>
    <xf numFmtId="0" fontId="46" fillId="11" borderId="0" xfId="5" applyFont="1" applyFill="1" applyAlignment="1">
      <alignment horizontal="center" vertical="center"/>
    </xf>
    <xf numFmtId="0" fontId="47" fillId="11" borderId="0" xfId="4" applyFont="1" applyFill="1" applyProtection="1">
      <protection hidden="1"/>
    </xf>
    <xf numFmtId="0" fontId="46" fillId="11" borderId="0" xfId="4" applyFont="1" applyFill="1" applyAlignment="1" applyProtection="1">
      <alignment horizontal="center"/>
      <protection hidden="1"/>
    </xf>
    <xf numFmtId="0" fontId="46" fillId="11" borderId="0" xfId="4" applyFont="1" applyFill="1" applyProtection="1">
      <protection hidden="1"/>
    </xf>
    <xf numFmtId="0" fontId="46" fillId="11" borderId="0" xfId="4" applyFont="1" applyFill="1" applyAlignment="1" applyProtection="1">
      <alignment horizontal="right"/>
      <protection hidden="1"/>
    </xf>
    <xf numFmtId="0" fontId="46" fillId="11" borderId="56" xfId="4" applyFont="1" applyFill="1" applyBorder="1" applyAlignment="1" applyProtection="1">
      <alignment horizontal="center" vertical="center" wrapText="1"/>
      <protection hidden="1"/>
    </xf>
    <xf numFmtId="0" fontId="46" fillId="11" borderId="25" xfId="4" applyFont="1" applyFill="1" applyBorder="1" applyAlignment="1" applyProtection="1">
      <alignment horizontal="center" vertical="center"/>
      <protection hidden="1"/>
    </xf>
    <xf numFmtId="49" fontId="46" fillId="11" borderId="27" xfId="4" applyNumberFormat="1" applyFont="1" applyFill="1" applyBorder="1" applyAlignment="1" applyProtection="1">
      <alignment horizontal="center" vertical="center"/>
      <protection hidden="1"/>
    </xf>
    <xf numFmtId="49" fontId="46" fillId="11" borderId="29" xfId="4" applyNumberFormat="1" applyFont="1" applyFill="1" applyBorder="1" applyAlignment="1" applyProtection="1">
      <alignment horizontal="center" vertical="center" wrapText="1"/>
      <protection hidden="1"/>
    </xf>
    <xf numFmtId="49" fontId="46" fillId="11" borderId="29" xfId="4" applyNumberFormat="1" applyFont="1" applyFill="1" applyBorder="1" applyAlignment="1" applyProtection="1">
      <alignment horizontal="center" vertical="center"/>
      <protection hidden="1"/>
    </xf>
    <xf numFmtId="177" fontId="46" fillId="11" borderId="29" xfId="4" applyNumberFormat="1" applyFont="1" applyFill="1" applyBorder="1" applyAlignment="1" applyProtection="1">
      <alignment horizontal="right" vertical="center" wrapText="1"/>
      <protection hidden="1"/>
    </xf>
    <xf numFmtId="49" fontId="46" fillId="11" borderId="44" xfId="4" applyNumberFormat="1" applyFont="1" applyFill="1" applyBorder="1" applyAlignment="1" applyProtection="1">
      <alignment horizontal="center" vertical="center"/>
      <protection hidden="1"/>
    </xf>
    <xf numFmtId="49" fontId="46" fillId="11" borderId="42" xfId="4" applyNumberFormat="1" applyFont="1" applyFill="1" applyBorder="1" applyAlignment="1" applyProtection="1">
      <alignment horizontal="center" vertical="center" wrapText="1"/>
      <protection hidden="1"/>
    </xf>
    <xf numFmtId="49" fontId="46" fillId="11" borderId="34" xfId="4" quotePrefix="1" applyNumberFormat="1" applyFont="1" applyFill="1" applyBorder="1" applyAlignment="1" applyProtection="1">
      <alignment horizontal="center" vertical="center"/>
      <protection hidden="1"/>
    </xf>
    <xf numFmtId="49" fontId="46" fillId="11" borderId="36" xfId="4" applyNumberFormat="1" applyFont="1" applyFill="1" applyBorder="1" applyAlignment="1" applyProtection="1">
      <alignment horizontal="center" vertical="center"/>
      <protection hidden="1"/>
    </xf>
    <xf numFmtId="49" fontId="46" fillId="11" borderId="36" xfId="4" applyNumberFormat="1" applyFont="1" applyFill="1" applyBorder="1" applyAlignment="1" applyProtection="1">
      <alignment horizontal="center" vertical="center" wrapText="1"/>
      <protection hidden="1"/>
    </xf>
    <xf numFmtId="177" fontId="46" fillId="11" borderId="36" xfId="4" applyNumberFormat="1" applyFont="1" applyFill="1" applyBorder="1" applyAlignment="1" applyProtection="1">
      <alignment horizontal="right" vertical="center" wrapText="1"/>
      <protection hidden="1"/>
    </xf>
    <xf numFmtId="49" fontId="46" fillId="11" borderId="116" xfId="4" quotePrefix="1" applyNumberFormat="1" applyFont="1" applyFill="1" applyBorder="1" applyAlignment="1" applyProtection="1">
      <alignment horizontal="center" vertical="center"/>
      <protection hidden="1"/>
    </xf>
    <xf numFmtId="49" fontId="46" fillId="11" borderId="86" xfId="4" applyNumberFormat="1" applyFont="1" applyFill="1" applyBorder="1" applyAlignment="1" applyProtection="1">
      <alignment horizontal="center" vertical="center"/>
      <protection hidden="1"/>
    </xf>
    <xf numFmtId="177" fontId="46" fillId="11" borderId="36" xfId="4" applyNumberFormat="1" applyFont="1" applyFill="1" applyBorder="1" applyAlignment="1" applyProtection="1">
      <alignment horizontal="right" vertical="center"/>
      <protection hidden="1"/>
    </xf>
    <xf numFmtId="49" fontId="46" fillId="11" borderId="27" xfId="4" quotePrefix="1" applyNumberFormat="1" applyFont="1" applyFill="1" applyBorder="1" applyAlignment="1" applyProtection="1">
      <alignment horizontal="center" vertical="center"/>
      <protection hidden="1"/>
    </xf>
    <xf numFmtId="49" fontId="46" fillId="11" borderId="28" xfId="4" applyNumberFormat="1" applyFont="1" applyFill="1" applyBorder="1" applyAlignment="1" applyProtection="1">
      <alignment horizontal="center" vertical="center"/>
      <protection hidden="1"/>
    </xf>
    <xf numFmtId="49" fontId="46" fillId="11" borderId="34" xfId="0" applyNumberFormat="1" applyFont="1" applyFill="1" applyBorder="1" applyAlignment="1" applyProtection="1">
      <alignment horizontal="center" vertical="center" shrinkToFit="1"/>
      <protection hidden="1"/>
    </xf>
    <xf numFmtId="49" fontId="46" fillId="11" borderId="36" xfId="0" applyNumberFormat="1" applyFont="1" applyFill="1" applyBorder="1" applyAlignment="1" applyProtection="1">
      <alignment horizontal="center" vertical="center" shrinkToFit="1"/>
      <protection hidden="1"/>
    </xf>
    <xf numFmtId="49" fontId="46" fillId="11" borderId="35" xfId="0" applyNumberFormat="1" applyFont="1" applyFill="1" applyBorder="1" applyAlignment="1" applyProtection="1">
      <alignment horizontal="center" vertical="center" shrinkToFit="1"/>
      <protection hidden="1"/>
    </xf>
    <xf numFmtId="49" fontId="46" fillId="11" borderId="34" xfId="4" applyNumberFormat="1" applyFont="1" applyFill="1" applyBorder="1" applyAlignment="1" applyProtection="1">
      <alignment horizontal="center" vertical="center"/>
      <protection hidden="1"/>
    </xf>
    <xf numFmtId="49" fontId="46" fillId="11" borderId="34" xfId="0" applyNumberFormat="1" applyFont="1" applyFill="1" applyBorder="1" applyAlignment="1" applyProtection="1">
      <alignment horizontal="center" vertical="center"/>
      <protection hidden="1"/>
    </xf>
    <xf numFmtId="49" fontId="46" fillId="11" borderId="36" xfId="0" applyNumberFormat="1" applyFont="1" applyFill="1" applyBorder="1" applyAlignment="1" applyProtection="1">
      <alignment horizontal="center" vertical="center"/>
      <protection hidden="1"/>
    </xf>
    <xf numFmtId="49" fontId="46" fillId="11" borderId="34" xfId="4" applyNumberFormat="1" applyFont="1" applyFill="1" applyBorder="1" applyAlignment="1" applyProtection="1">
      <alignment horizontal="center"/>
      <protection hidden="1"/>
    </xf>
    <xf numFmtId="49" fontId="46" fillId="11" borderId="36" xfId="4" applyNumberFormat="1" applyFont="1" applyFill="1" applyBorder="1" applyAlignment="1" applyProtection="1">
      <alignment horizontal="center"/>
      <protection hidden="1"/>
    </xf>
    <xf numFmtId="49" fontId="46" fillId="11" borderId="36" xfId="0" applyNumberFormat="1" applyFont="1" applyFill="1" applyBorder="1" applyAlignment="1" applyProtection="1">
      <alignment horizontal="left" vertical="center" shrinkToFit="1"/>
      <protection hidden="1"/>
    </xf>
    <xf numFmtId="0" fontId="46" fillId="11" borderId="36" xfId="4" applyFont="1" applyFill="1" applyBorder="1" applyAlignment="1" applyProtection="1">
      <alignment horizontal="center"/>
      <protection hidden="1"/>
    </xf>
    <xf numFmtId="0" fontId="46" fillId="11" borderId="32" xfId="4" applyFont="1" applyFill="1" applyBorder="1" applyProtection="1">
      <protection hidden="1"/>
    </xf>
    <xf numFmtId="177" fontId="46" fillId="11" borderId="32" xfId="4" applyNumberFormat="1" applyFont="1" applyFill="1" applyBorder="1" applyAlignment="1" applyProtection="1">
      <alignment horizontal="right" vertical="center"/>
      <protection hidden="1"/>
    </xf>
    <xf numFmtId="177" fontId="47" fillId="11" borderId="47" xfId="4" applyNumberFormat="1" applyFont="1" applyFill="1" applyBorder="1" applyAlignment="1" applyProtection="1">
      <alignment horizontal="right" vertical="center"/>
      <protection hidden="1"/>
    </xf>
    <xf numFmtId="0" fontId="54" fillId="11" borderId="0" xfId="4" applyFont="1" applyFill="1" applyAlignment="1" applyProtection="1">
      <alignment horizontal="center"/>
      <protection hidden="1"/>
    </xf>
    <xf numFmtId="0" fontId="54" fillId="11" borderId="0" xfId="4" applyFont="1" applyFill="1" applyProtection="1">
      <protection hidden="1"/>
    </xf>
    <xf numFmtId="177" fontId="54" fillId="11" borderId="0" xfId="4" applyNumberFormat="1" applyFont="1" applyFill="1" applyAlignment="1" applyProtection="1">
      <alignment horizontal="center"/>
      <protection hidden="1"/>
    </xf>
    <xf numFmtId="0" fontId="55" fillId="11" borderId="0" xfId="0" applyFont="1" applyFill="1" applyProtection="1">
      <alignment vertical="center"/>
      <protection hidden="1"/>
    </xf>
    <xf numFmtId="0" fontId="0" fillId="11" borderId="0" xfId="0" applyFill="1" applyProtection="1">
      <alignment vertical="center"/>
      <protection hidden="1"/>
    </xf>
    <xf numFmtId="49" fontId="68" fillId="11" borderId="0" xfId="0" applyNumberFormat="1" applyFont="1" applyFill="1" applyAlignment="1" applyProtection="1">
      <protection locked="0" hidden="1"/>
    </xf>
    <xf numFmtId="0" fontId="5" fillId="11" borderId="0" xfId="0" applyFont="1" applyFill="1" applyAlignment="1" applyProtection="1">
      <alignment vertical="center" wrapText="1"/>
      <protection hidden="1"/>
    </xf>
    <xf numFmtId="0" fontId="11" fillId="11" borderId="0" xfId="0" applyFont="1" applyFill="1" applyProtection="1">
      <alignment vertical="center"/>
      <protection hidden="1"/>
    </xf>
    <xf numFmtId="0" fontId="11" fillId="11" borderId="0" xfId="0" applyFont="1" applyFill="1" applyAlignment="1" applyProtection="1">
      <alignment horizontal="center" vertical="center"/>
      <protection hidden="1"/>
    </xf>
    <xf numFmtId="0" fontId="8" fillId="11" borderId="36" xfId="0" applyFont="1" applyFill="1" applyBorder="1" applyAlignment="1" applyProtection="1">
      <alignment horizontal="center" vertical="center" wrapText="1"/>
      <protection hidden="1"/>
    </xf>
    <xf numFmtId="41" fontId="8" fillId="11" borderId="36" xfId="1" applyFont="1" applyFill="1" applyBorder="1" applyAlignment="1" applyProtection="1">
      <alignment horizontal="center" vertical="center" shrinkToFit="1"/>
      <protection hidden="1"/>
    </xf>
    <xf numFmtId="0" fontId="8" fillId="11" borderId="36" xfId="0" applyFont="1" applyFill="1" applyBorder="1" applyAlignment="1" applyProtection="1">
      <alignment horizontal="center" vertical="center" shrinkToFit="1"/>
      <protection hidden="1"/>
    </xf>
    <xf numFmtId="0" fontId="69" fillId="11" borderId="41" xfId="0" applyFont="1" applyFill="1" applyBorder="1" applyAlignment="1" applyProtection="1">
      <alignment horizontal="center" vertical="center" wrapText="1"/>
      <protection hidden="1"/>
    </xf>
    <xf numFmtId="0" fontId="11" fillId="11" borderId="43" xfId="0" applyFont="1" applyFill="1" applyBorder="1" applyProtection="1">
      <alignment vertical="center"/>
      <protection hidden="1"/>
    </xf>
    <xf numFmtId="0" fontId="69" fillId="11" borderId="43" xfId="0" applyFont="1" applyFill="1" applyBorder="1" applyAlignment="1" applyProtection="1">
      <alignment horizontal="center" vertical="center" wrapText="1"/>
      <protection hidden="1"/>
    </xf>
    <xf numFmtId="49" fontId="69" fillId="11" borderId="43" xfId="0" applyNumberFormat="1" applyFont="1" applyFill="1" applyBorder="1" applyAlignment="1" applyProtection="1">
      <alignment horizontal="center" vertical="center" wrapText="1"/>
      <protection hidden="1"/>
    </xf>
    <xf numFmtId="41" fontId="70" fillId="11" borderId="43" xfId="3" applyNumberFormat="1" applyFont="1" applyFill="1" applyBorder="1" applyAlignment="1" applyProtection="1">
      <alignment horizontal="center" vertical="center" wrapText="1"/>
      <protection hidden="1"/>
    </xf>
    <xf numFmtId="41" fontId="8" fillId="11" borderId="43" xfId="9" applyFont="1" applyFill="1" applyBorder="1" applyAlignment="1" applyProtection="1">
      <alignment horizontal="center" vertical="center" wrapText="1"/>
      <protection hidden="1"/>
    </xf>
    <xf numFmtId="0" fontId="8" fillId="11" borderId="200" xfId="3" applyFont="1" applyFill="1" applyBorder="1" applyAlignment="1" applyProtection="1">
      <alignment horizontal="left" vertical="center" shrinkToFit="1"/>
      <protection hidden="1"/>
    </xf>
    <xf numFmtId="0" fontId="8" fillId="11" borderId="201" xfId="3" applyFont="1" applyFill="1" applyBorder="1" applyAlignment="1" applyProtection="1">
      <alignment horizontal="left" vertical="center" shrinkToFit="1"/>
      <protection hidden="1"/>
    </xf>
    <xf numFmtId="0" fontId="11" fillId="11" borderId="201" xfId="0" applyFont="1" applyFill="1" applyBorder="1" applyProtection="1">
      <alignment vertical="center"/>
      <protection hidden="1"/>
    </xf>
    <xf numFmtId="0" fontId="11" fillId="11" borderId="201" xfId="0" applyFont="1" applyFill="1" applyBorder="1" applyAlignment="1" applyProtection="1">
      <alignment horizontal="center" vertical="center"/>
      <protection hidden="1"/>
    </xf>
    <xf numFmtId="188" fontId="11" fillId="11" borderId="43" xfId="0" applyNumberFormat="1" applyFont="1" applyFill="1" applyBorder="1" applyProtection="1">
      <alignment vertical="center"/>
      <protection hidden="1"/>
    </xf>
    <xf numFmtId="49" fontId="15" fillId="11" borderId="91" xfId="0" applyNumberFormat="1" applyFont="1" applyFill="1" applyBorder="1" applyProtection="1">
      <alignment vertical="center"/>
      <protection hidden="1"/>
    </xf>
    <xf numFmtId="0" fontId="69" fillId="11" borderId="91" xfId="0" applyFont="1" applyFill="1" applyBorder="1" applyAlignment="1" applyProtection="1">
      <alignment horizontal="center" vertical="center" wrapText="1"/>
      <protection hidden="1"/>
    </xf>
    <xf numFmtId="49" fontId="8" fillId="11" borderId="91" xfId="0" applyNumberFormat="1" applyFont="1" applyFill="1" applyBorder="1" applyAlignment="1" applyProtection="1">
      <alignment vertical="top"/>
      <protection hidden="1"/>
    </xf>
    <xf numFmtId="49" fontId="8" fillId="11" borderId="91" xfId="0" applyNumberFormat="1" applyFont="1" applyFill="1" applyBorder="1" applyProtection="1">
      <alignment vertical="center"/>
      <protection hidden="1"/>
    </xf>
    <xf numFmtId="41" fontId="8" fillId="11" borderId="0" xfId="9" applyFont="1" applyFill="1" applyBorder="1" applyAlignment="1" applyProtection="1">
      <alignment horizontal="center" vertical="center"/>
      <protection hidden="1"/>
    </xf>
    <xf numFmtId="188" fontId="8" fillId="11" borderId="91" xfId="9" applyNumberFormat="1" applyFont="1" applyFill="1" applyBorder="1" applyAlignment="1" applyProtection="1">
      <alignment horizontal="right" vertical="center"/>
      <protection hidden="1"/>
    </xf>
    <xf numFmtId="9" fontId="0" fillId="11" borderId="0" xfId="0" applyNumberFormat="1" applyFill="1" applyProtection="1">
      <alignment vertical="center"/>
      <protection hidden="1"/>
    </xf>
    <xf numFmtId="188" fontId="8" fillId="11" borderId="0" xfId="6" applyNumberFormat="1" applyFont="1" applyFill="1" applyBorder="1" applyAlignment="1" applyProtection="1">
      <alignment vertical="center"/>
      <protection hidden="1"/>
    </xf>
    <xf numFmtId="186" fontId="8" fillId="11" borderId="0" xfId="9" applyNumberFormat="1" applyFont="1" applyFill="1" applyBorder="1" applyAlignment="1" applyProtection="1">
      <alignment vertical="center"/>
      <protection hidden="1"/>
    </xf>
    <xf numFmtId="189" fontId="8" fillId="11" borderId="0" xfId="9" applyNumberFormat="1" applyFont="1" applyFill="1" applyBorder="1" applyAlignment="1" applyProtection="1">
      <alignment vertical="center"/>
      <protection hidden="1"/>
    </xf>
    <xf numFmtId="0" fontId="8" fillId="11" borderId="202" xfId="3" applyFont="1" applyFill="1" applyBorder="1" applyAlignment="1" applyProtection="1">
      <alignment horizontal="left" vertical="center" shrinkToFit="1"/>
      <protection hidden="1"/>
    </xf>
    <xf numFmtId="0" fontId="71" fillId="11" borderId="0" xfId="0" applyFont="1" applyFill="1" applyAlignment="1" applyProtection="1">
      <protection hidden="1"/>
    </xf>
    <xf numFmtId="49" fontId="8" fillId="11" borderId="29" xfId="0" applyNumberFormat="1" applyFont="1" applyFill="1" applyBorder="1" applyProtection="1">
      <alignment vertical="center"/>
      <protection hidden="1"/>
    </xf>
    <xf numFmtId="0" fontId="8" fillId="11" borderId="30" xfId="3" applyFont="1" applyFill="1" applyBorder="1" applyAlignment="1" applyProtection="1">
      <alignment horizontal="left" vertical="center" shrinkToFit="1"/>
      <protection hidden="1"/>
    </xf>
    <xf numFmtId="41" fontId="8" fillId="11" borderId="198" xfId="9" applyFont="1" applyFill="1" applyBorder="1" applyAlignment="1" applyProtection="1">
      <alignment horizontal="center" vertical="center"/>
      <protection hidden="1"/>
    </xf>
    <xf numFmtId="49" fontId="69" fillId="11" borderId="91" xfId="0" applyNumberFormat="1" applyFont="1" applyFill="1" applyBorder="1" applyAlignment="1" applyProtection="1">
      <alignment horizontal="center" vertical="center" wrapText="1"/>
      <protection hidden="1"/>
    </xf>
    <xf numFmtId="0" fontId="11" fillId="11" borderId="91" xfId="0" applyFont="1" applyFill="1" applyBorder="1" applyProtection="1">
      <alignment vertical="center"/>
      <protection hidden="1"/>
    </xf>
    <xf numFmtId="0" fontId="69" fillId="11" borderId="29" xfId="0" applyFont="1" applyFill="1" applyBorder="1" applyAlignment="1" applyProtection="1">
      <alignment horizontal="center" vertical="center" wrapText="1"/>
      <protection hidden="1"/>
    </xf>
    <xf numFmtId="49" fontId="69" fillId="11" borderId="29" xfId="0" applyNumberFormat="1" applyFont="1" applyFill="1" applyBorder="1" applyAlignment="1" applyProtection="1">
      <alignment horizontal="center" vertical="center" wrapText="1"/>
      <protection hidden="1"/>
    </xf>
    <xf numFmtId="0" fontId="11" fillId="11" borderId="29" xfId="0" applyFont="1" applyFill="1" applyBorder="1" applyProtection="1">
      <alignment vertical="center"/>
      <protection hidden="1"/>
    </xf>
    <xf numFmtId="0" fontId="8" fillId="11" borderId="198" xfId="3" applyFont="1" applyFill="1" applyBorder="1" applyAlignment="1" applyProtection="1">
      <alignment horizontal="left" vertical="center" shrinkToFit="1"/>
      <protection hidden="1"/>
    </xf>
    <xf numFmtId="188" fontId="8" fillId="11" borderId="198" xfId="6" applyNumberFormat="1" applyFont="1" applyFill="1" applyBorder="1" applyAlignment="1" applyProtection="1">
      <alignment vertical="center"/>
      <protection hidden="1"/>
    </xf>
    <xf numFmtId="186" fontId="8" fillId="11" borderId="198" xfId="9" applyNumberFormat="1" applyFont="1" applyFill="1" applyBorder="1" applyAlignment="1" applyProtection="1">
      <alignment vertical="center"/>
      <protection hidden="1"/>
    </xf>
    <xf numFmtId="189" fontId="8" fillId="11" borderId="198" xfId="9" applyNumberFormat="1" applyFont="1" applyFill="1" applyBorder="1" applyAlignment="1" applyProtection="1">
      <alignment vertical="center"/>
      <protection hidden="1"/>
    </xf>
    <xf numFmtId="188" fontId="8" fillId="11" borderId="29" xfId="9" applyNumberFormat="1" applyFont="1" applyFill="1" applyBorder="1" applyAlignment="1" applyProtection="1">
      <alignment horizontal="right" vertical="center"/>
      <protection hidden="1"/>
    </xf>
    <xf numFmtId="41" fontId="14" fillId="11" borderId="36" xfId="0" applyNumberFormat="1" applyFont="1" applyFill="1" applyBorder="1" applyAlignment="1" applyProtection="1">
      <alignment horizontal="right" vertical="center" shrinkToFit="1"/>
      <protection hidden="1"/>
    </xf>
    <xf numFmtId="0" fontId="72" fillId="11" borderId="0" xfId="0" applyFont="1" applyFill="1" applyAlignment="1" applyProtection="1">
      <protection hidden="1"/>
    </xf>
    <xf numFmtId="0" fontId="71" fillId="11" borderId="0" xfId="0" applyFont="1" applyFill="1" applyProtection="1">
      <alignment vertical="center"/>
      <protection hidden="1"/>
    </xf>
    <xf numFmtId="49" fontId="11" fillId="11" borderId="0" xfId="0" applyNumberFormat="1" applyFont="1" applyFill="1" applyProtection="1">
      <alignment vertical="center"/>
      <protection hidden="1"/>
    </xf>
    <xf numFmtId="49" fontId="0" fillId="11" borderId="0" xfId="0" applyNumberFormat="1" applyFill="1" applyProtection="1">
      <alignment vertical="center"/>
      <protection hidden="1"/>
    </xf>
    <xf numFmtId="0" fontId="0" fillId="11" borderId="0" xfId="0" applyFill="1" applyAlignment="1" applyProtection="1">
      <alignment horizontal="center" vertical="center"/>
      <protection hidden="1"/>
    </xf>
    <xf numFmtId="0" fontId="73" fillId="11" borderId="0" xfId="0" applyFont="1" applyFill="1" applyAlignment="1"/>
    <xf numFmtId="0" fontId="69" fillId="11" borderId="199" xfId="0" applyFont="1" applyFill="1" applyBorder="1" applyAlignment="1" applyProtection="1">
      <alignment horizontal="center" vertical="center" wrapText="1"/>
      <protection hidden="1"/>
    </xf>
    <xf numFmtId="0" fontId="69" fillId="11" borderId="202" xfId="0" applyFont="1" applyFill="1" applyBorder="1" applyAlignment="1" applyProtection="1">
      <alignment horizontal="center" vertical="center" wrapText="1"/>
      <protection hidden="1"/>
    </xf>
    <xf numFmtId="41" fontId="11" fillId="11" borderId="0" xfId="0" applyNumberFormat="1" applyFont="1" applyFill="1" applyProtection="1">
      <alignment vertical="center"/>
      <protection hidden="1"/>
    </xf>
    <xf numFmtId="0" fontId="69" fillId="11" borderId="30" xfId="0" applyFont="1" applyFill="1" applyBorder="1" applyAlignment="1" applyProtection="1">
      <alignment horizontal="center" vertical="center" wrapText="1"/>
      <protection hidden="1"/>
    </xf>
    <xf numFmtId="0" fontId="69" fillId="11" borderId="198" xfId="0" applyFont="1" applyFill="1" applyBorder="1" applyAlignment="1" applyProtection="1">
      <alignment horizontal="center" vertical="center" wrapText="1"/>
      <protection hidden="1"/>
    </xf>
    <xf numFmtId="0" fontId="11" fillId="11" borderId="86" xfId="0" applyFont="1" applyFill="1" applyBorder="1" applyProtection="1">
      <alignment vertical="center"/>
      <protection hidden="1"/>
    </xf>
    <xf numFmtId="41" fontId="12" fillId="11" borderId="0" xfId="0" applyNumberFormat="1" applyFont="1" applyFill="1" applyProtection="1">
      <alignment vertical="center"/>
      <protection hidden="1"/>
    </xf>
    <xf numFmtId="0" fontId="12" fillId="11" borderId="0" xfId="0" applyFont="1" applyFill="1" applyProtection="1">
      <alignment vertical="center"/>
      <protection hidden="1"/>
    </xf>
    <xf numFmtId="41" fontId="11" fillId="11" borderId="0" xfId="1" applyFont="1" applyFill="1" applyBorder="1" applyProtection="1">
      <alignment vertical="center"/>
      <protection hidden="1"/>
    </xf>
    <xf numFmtId="0" fontId="69" fillId="11" borderId="86" xfId="0" applyFont="1" applyFill="1" applyBorder="1" applyAlignment="1" applyProtection="1">
      <alignment horizontal="center" vertical="center" wrapText="1"/>
      <protection hidden="1"/>
    </xf>
    <xf numFmtId="0" fontId="11" fillId="0" borderId="0" xfId="0" applyFont="1" applyProtection="1">
      <alignment vertical="center"/>
      <protection hidden="1"/>
    </xf>
    <xf numFmtId="0" fontId="0" fillId="0" borderId="54" xfId="0" applyBorder="1" applyProtection="1">
      <alignment vertical="center"/>
      <protection hidden="1"/>
    </xf>
    <xf numFmtId="0" fontId="0" fillId="0" borderId="0" xfId="0" applyAlignment="1" applyProtection="1">
      <alignment horizontal="center" vertical="center"/>
      <protection hidden="1"/>
    </xf>
    <xf numFmtId="0" fontId="0" fillId="0" borderId="34" xfId="0" applyBorder="1" applyProtection="1">
      <alignment vertical="center"/>
      <protection hidden="1"/>
    </xf>
    <xf numFmtId="0" fontId="0" fillId="0" borderId="57" xfId="0" applyBorder="1" applyProtection="1">
      <alignment vertical="center"/>
      <protection hidden="1"/>
    </xf>
    <xf numFmtId="10" fontId="0" fillId="0" borderId="44" xfId="2" applyNumberFormat="1" applyFont="1" applyBorder="1" applyAlignment="1" applyProtection="1">
      <alignment horizontal="center" vertical="center"/>
      <protection hidden="1"/>
    </xf>
    <xf numFmtId="185" fontId="0" fillId="0" borderId="43" xfId="2" applyNumberFormat="1" applyFont="1" applyBorder="1" applyAlignment="1" applyProtection="1">
      <alignment horizontal="center" vertical="center"/>
      <protection hidden="1"/>
    </xf>
    <xf numFmtId="10" fontId="0" fillId="0" borderId="43" xfId="2" applyNumberFormat="1" applyFont="1" applyBorder="1" applyAlignment="1" applyProtection="1">
      <alignment horizontal="center" vertical="center"/>
      <protection hidden="1"/>
    </xf>
    <xf numFmtId="10" fontId="0" fillId="0" borderId="57" xfId="2" applyNumberFormat="1" applyFont="1" applyBorder="1" applyAlignment="1" applyProtection="1">
      <alignment horizontal="center" vertical="center"/>
      <protection hidden="1"/>
    </xf>
    <xf numFmtId="185" fontId="0" fillId="0" borderId="58" xfId="2" applyNumberFormat="1" applyFont="1" applyBorder="1" applyAlignment="1" applyProtection="1">
      <alignment horizontal="center" vertical="center"/>
      <protection hidden="1"/>
    </xf>
    <xf numFmtId="0" fontId="75" fillId="0" borderId="2" xfId="0" applyFont="1" applyBorder="1" applyAlignment="1" applyProtection="1">
      <alignment horizontal="center" vertical="center" wrapText="1"/>
      <protection hidden="1"/>
    </xf>
    <xf numFmtId="0" fontId="75" fillId="0" borderId="95" xfId="0" applyFont="1" applyBorder="1" applyAlignment="1" applyProtection="1">
      <alignment horizontal="center" vertical="center" wrapText="1"/>
      <protection hidden="1"/>
    </xf>
    <xf numFmtId="183" fontId="3" fillId="15" borderId="2" xfId="0" applyNumberFormat="1" applyFont="1" applyFill="1" applyBorder="1" applyAlignment="1" applyProtection="1">
      <alignment horizontal="center" vertical="center" wrapText="1"/>
      <protection hidden="1"/>
    </xf>
    <xf numFmtId="49" fontId="3" fillId="15" borderId="2" xfId="0" applyNumberFormat="1" applyFont="1" applyFill="1" applyBorder="1" applyAlignment="1" applyProtection="1">
      <alignment horizontal="center" vertical="center" wrapText="1"/>
      <protection hidden="1"/>
    </xf>
    <xf numFmtId="0" fontId="3" fillId="15" borderId="2" xfId="0" applyFont="1" applyFill="1" applyBorder="1" applyAlignment="1" applyProtection="1">
      <alignment horizontal="center" vertical="center" wrapText="1"/>
      <protection hidden="1"/>
    </xf>
    <xf numFmtId="0" fontId="3" fillId="15" borderId="2" xfId="0" applyFont="1" applyFill="1" applyBorder="1" applyAlignment="1" applyProtection="1">
      <alignment horizontal="left" vertical="center" wrapText="1"/>
      <protection hidden="1"/>
    </xf>
    <xf numFmtId="191" fontId="3" fillId="8" borderId="96" xfId="0" applyNumberFormat="1" applyFont="1" applyFill="1" applyBorder="1" applyAlignment="1" applyProtection="1">
      <alignment horizontal="right" vertical="center" wrapText="1"/>
      <protection hidden="1"/>
    </xf>
    <xf numFmtId="191" fontId="3" fillId="15" borderId="2" xfId="0" applyNumberFormat="1" applyFont="1" applyFill="1" applyBorder="1" applyAlignment="1" applyProtection="1">
      <alignment horizontal="right" vertical="center" wrapText="1"/>
      <protection hidden="1"/>
    </xf>
    <xf numFmtId="41" fontId="13" fillId="0" borderId="30" xfId="1" applyFont="1" applyBorder="1" applyProtection="1">
      <alignment vertical="center"/>
      <protection locked="0"/>
    </xf>
    <xf numFmtId="41" fontId="30" fillId="0" borderId="26" xfId="1" applyFont="1" applyBorder="1" applyProtection="1">
      <alignment vertical="center"/>
      <protection hidden="1"/>
    </xf>
    <xf numFmtId="49" fontId="3" fillId="14" borderId="2" xfId="0" applyNumberFormat="1" applyFont="1" applyFill="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191" fontId="3" fillId="0" borderId="2" xfId="0" applyNumberFormat="1" applyFont="1" applyBorder="1" applyAlignment="1" applyProtection="1">
      <alignment horizontal="right" vertical="center" wrapText="1"/>
      <protection hidden="1"/>
    </xf>
    <xf numFmtId="191" fontId="3" fillId="14" borderId="2" xfId="0" applyNumberFormat="1" applyFont="1" applyFill="1" applyBorder="1" applyAlignment="1" applyProtection="1">
      <alignment horizontal="right" vertical="center" wrapText="1"/>
      <protection hidden="1"/>
    </xf>
    <xf numFmtId="0" fontId="13" fillId="0" borderId="34" xfId="0" applyFont="1" applyBorder="1" applyProtection="1">
      <alignment vertical="center"/>
      <protection locked="0"/>
    </xf>
    <xf numFmtId="0" fontId="13" fillId="0" borderId="36" xfId="0" applyFont="1" applyBorder="1" applyProtection="1">
      <alignment vertical="center"/>
      <protection locked="0"/>
    </xf>
    <xf numFmtId="41" fontId="13" fillId="0" borderId="36" xfId="1" applyFont="1" applyBorder="1" applyProtection="1">
      <alignment vertical="center"/>
      <protection locked="0"/>
    </xf>
    <xf numFmtId="41" fontId="13" fillId="0" borderId="41" xfId="1" applyFont="1" applyBorder="1" applyProtection="1">
      <alignment vertical="center"/>
      <protection locked="0"/>
    </xf>
    <xf numFmtId="49" fontId="3" fillId="8" borderId="206" xfId="0" applyNumberFormat="1" applyFont="1" applyFill="1" applyBorder="1" applyAlignment="1" applyProtection="1">
      <alignment horizontal="center" vertical="center" wrapText="1"/>
      <protection hidden="1"/>
    </xf>
    <xf numFmtId="0" fontId="3" fillId="15" borderId="206" xfId="0" applyFont="1" applyFill="1" applyBorder="1" applyAlignment="1" applyProtection="1">
      <alignment horizontal="center" vertical="center" wrapText="1"/>
      <protection hidden="1"/>
    </xf>
    <xf numFmtId="0" fontId="3" fillId="8" borderId="206" xfId="0" applyFont="1" applyFill="1" applyBorder="1" applyAlignment="1" applyProtection="1">
      <alignment horizontal="center" vertical="center" wrapText="1"/>
      <protection hidden="1"/>
    </xf>
    <xf numFmtId="0" fontId="3" fillId="15" borderId="206" xfId="0" applyFont="1" applyFill="1" applyBorder="1" applyAlignment="1" applyProtection="1">
      <alignment horizontal="left" vertical="center" wrapText="1"/>
      <protection hidden="1"/>
    </xf>
    <xf numFmtId="191" fontId="3" fillId="8" borderId="206" xfId="0" applyNumberFormat="1" applyFont="1" applyFill="1" applyBorder="1" applyAlignment="1" applyProtection="1">
      <alignment horizontal="right" vertical="center" wrapText="1"/>
      <protection hidden="1"/>
    </xf>
    <xf numFmtId="191" fontId="3" fillId="15" borderId="206" xfId="0" applyNumberFormat="1" applyFont="1" applyFill="1" applyBorder="1" applyAlignment="1" applyProtection="1">
      <alignment horizontal="right" vertical="center" wrapText="1"/>
      <protection hidden="1"/>
    </xf>
    <xf numFmtId="0" fontId="13" fillId="0" borderId="207" xfId="0" applyFont="1" applyBorder="1" applyProtection="1">
      <alignment vertical="center"/>
      <protection locked="0"/>
    </xf>
    <xf numFmtId="0" fontId="13" fillId="0" borderId="208" xfId="0" applyFont="1" applyBorder="1" applyProtection="1">
      <alignment vertical="center"/>
      <protection locked="0"/>
    </xf>
    <xf numFmtId="41" fontId="13" fillId="0" borderId="208" xfId="1" applyFont="1" applyBorder="1" applyProtection="1">
      <alignment vertical="center"/>
      <protection locked="0"/>
    </xf>
    <xf numFmtId="41" fontId="30" fillId="0" borderId="210" xfId="1" applyFont="1" applyBorder="1" applyProtection="1">
      <alignment vertical="center"/>
      <protection hidden="1"/>
    </xf>
    <xf numFmtId="49" fontId="3" fillId="0" borderId="2" xfId="0" applyNumberFormat="1" applyFont="1" applyBorder="1" applyAlignment="1" applyProtection="1">
      <alignment horizontal="center" vertical="center" wrapText="1"/>
      <protection hidden="1"/>
    </xf>
    <xf numFmtId="191" fontId="3" fillId="0" borderId="96" xfId="0" applyNumberFormat="1" applyFont="1" applyBorder="1" applyAlignment="1" applyProtection="1">
      <alignment horizontal="right" vertical="center" wrapText="1"/>
      <protection hidden="1"/>
    </xf>
    <xf numFmtId="49" fontId="3" fillId="8" borderId="2" xfId="0" applyNumberFormat="1" applyFont="1" applyFill="1" applyBorder="1" applyAlignment="1" applyProtection="1">
      <alignment horizontal="center" vertical="center" wrapText="1"/>
      <protection hidden="1"/>
    </xf>
    <xf numFmtId="0" fontId="3" fillId="8" borderId="2" xfId="0" applyFont="1" applyFill="1" applyBorder="1" applyAlignment="1" applyProtection="1">
      <alignment horizontal="center" vertical="center" wrapText="1"/>
      <protection hidden="1"/>
    </xf>
    <xf numFmtId="191" fontId="3" fillId="8" borderId="2" xfId="0" applyNumberFormat="1" applyFont="1" applyFill="1" applyBorder="1" applyAlignment="1" applyProtection="1">
      <alignment horizontal="right" vertical="center" wrapText="1"/>
      <protection hidden="1"/>
    </xf>
    <xf numFmtId="191" fontId="3" fillId="15" borderId="96" xfId="0" applyNumberFormat="1" applyFont="1" applyFill="1" applyBorder="1" applyAlignment="1" applyProtection="1">
      <alignment horizontal="right" vertical="center" wrapText="1"/>
      <protection hidden="1"/>
    </xf>
    <xf numFmtId="49" fontId="3" fillId="15" borderId="211" xfId="0" applyNumberFormat="1" applyFont="1" applyFill="1" applyBorder="1" applyAlignment="1" applyProtection="1">
      <alignment horizontal="center" vertical="center" wrapText="1"/>
      <protection hidden="1"/>
    </xf>
    <xf numFmtId="191" fontId="79" fillId="15" borderId="212" xfId="0" applyNumberFormat="1" applyFont="1" applyFill="1" applyBorder="1" applyAlignment="1" applyProtection="1">
      <alignment horizontal="right" vertical="center" wrapText="1"/>
      <protection hidden="1"/>
    </xf>
    <xf numFmtId="191" fontId="79" fillId="15" borderId="213" xfId="0" applyNumberFormat="1" applyFont="1" applyFill="1" applyBorder="1" applyAlignment="1" applyProtection="1">
      <alignment horizontal="right" vertical="center" wrapText="1"/>
      <protection hidden="1"/>
    </xf>
    <xf numFmtId="41" fontId="30" fillId="0" borderId="74" xfId="1" applyFont="1" applyBorder="1" applyProtection="1">
      <alignment vertical="center"/>
      <protection hidden="1"/>
    </xf>
    <xf numFmtId="41" fontId="30" fillId="0" borderId="49" xfId="1" applyFont="1" applyBorder="1" applyProtection="1">
      <alignment vertical="center"/>
      <protection hidden="1"/>
    </xf>
    <xf numFmtId="41" fontId="30" fillId="0" borderId="50" xfId="1" applyFont="1" applyBorder="1" applyProtection="1">
      <alignment vertical="center"/>
      <protection hidden="1"/>
    </xf>
    <xf numFmtId="41" fontId="30" fillId="0" borderId="51" xfId="1" applyFont="1" applyBorder="1" applyProtection="1">
      <alignment vertical="center"/>
      <protection hidden="1"/>
    </xf>
    <xf numFmtId="49" fontId="79" fillId="15" borderId="123" xfId="0" applyNumberFormat="1" applyFont="1" applyFill="1" applyBorder="1" applyAlignment="1" applyProtection="1">
      <alignment horizontal="center" vertical="center" wrapText="1"/>
      <protection hidden="1"/>
    </xf>
    <xf numFmtId="191" fontId="79" fillId="15" borderId="51" xfId="0" applyNumberFormat="1" applyFont="1" applyFill="1" applyBorder="1" applyAlignment="1" applyProtection="1">
      <alignment horizontal="right" vertical="center" wrapText="1"/>
      <protection hidden="1"/>
    </xf>
    <xf numFmtId="0" fontId="26" fillId="0" borderId="0" xfId="0" applyFont="1" applyProtection="1">
      <alignment vertical="center"/>
      <protection hidden="1"/>
    </xf>
    <xf numFmtId="0" fontId="0" fillId="0" borderId="0" xfId="0" applyProtection="1">
      <alignment vertical="center"/>
      <protection hidden="1"/>
    </xf>
    <xf numFmtId="0" fontId="3" fillId="3" borderId="34" xfId="0" applyFont="1" applyFill="1" applyBorder="1" applyAlignment="1">
      <alignment horizontal="left" vertical="center" wrapText="1"/>
    </xf>
    <xf numFmtId="0" fontId="39" fillId="11" borderId="0" xfId="0" applyFont="1" applyFill="1" applyAlignment="1" applyProtection="1">
      <alignment horizontal="center" vertical="center" wrapText="1"/>
      <protection locked="0"/>
    </xf>
    <xf numFmtId="0" fontId="80" fillId="11" borderId="0" xfId="0" applyFont="1" applyFill="1" applyAlignment="1">
      <alignment horizontal="center" vertical="center" wrapText="1"/>
    </xf>
    <xf numFmtId="41" fontId="40" fillId="11" borderId="0" xfId="0" applyNumberFormat="1" applyFont="1" applyFill="1" applyAlignment="1" applyProtection="1">
      <alignment horizontal="right" vertical="center" wrapText="1"/>
      <protection locked="0"/>
    </xf>
    <xf numFmtId="0" fontId="39" fillId="11" borderId="0" xfId="0" applyFont="1" applyFill="1" applyAlignment="1">
      <alignment horizontal="center" vertical="center" wrapText="1"/>
    </xf>
    <xf numFmtId="0" fontId="39" fillId="11" borderId="88" xfId="0" applyFont="1" applyFill="1" applyBorder="1" applyAlignment="1">
      <alignment horizontal="center" vertical="center" wrapText="1"/>
    </xf>
    <xf numFmtId="0" fontId="3" fillId="15" borderId="95" xfId="0" applyFont="1" applyFill="1" applyBorder="1" applyAlignment="1">
      <alignment horizontal="center" vertical="center" wrapText="1"/>
    </xf>
    <xf numFmtId="0" fontId="40" fillId="15" borderId="95" xfId="0" applyFont="1" applyFill="1" applyBorder="1" applyAlignment="1">
      <alignment horizontal="left" vertical="center" wrapText="1"/>
    </xf>
    <xf numFmtId="177" fontId="40" fillId="15" borderId="95" xfId="0" applyNumberFormat="1" applyFont="1" applyFill="1" applyBorder="1" applyAlignment="1">
      <alignment horizontal="right" vertical="center" wrapText="1"/>
    </xf>
    <xf numFmtId="0" fontId="81" fillId="0" borderId="0" xfId="0" applyFont="1" applyAlignment="1"/>
    <xf numFmtId="0" fontId="0" fillId="0" borderId="0" xfId="0" applyAlignment="1"/>
    <xf numFmtId="49" fontId="2" fillId="11" borderId="96" xfId="0" applyNumberFormat="1" applyFont="1" applyFill="1" applyBorder="1" applyAlignment="1">
      <alignment horizontal="center" vertical="center" wrapText="1"/>
    </xf>
    <xf numFmtId="0" fontId="2" fillId="11" borderId="96" xfId="0" applyFont="1" applyFill="1" applyBorder="1" applyAlignment="1">
      <alignment horizontal="center" vertical="center" wrapText="1"/>
    </xf>
    <xf numFmtId="0" fontId="2" fillId="0" borderId="96" xfId="0" applyFont="1" applyBorder="1" applyAlignment="1">
      <alignment horizontal="center" vertical="center" wrapText="1"/>
    </xf>
    <xf numFmtId="49" fontId="2" fillId="0" borderId="96" xfId="0" applyNumberFormat="1" applyFont="1" applyBorder="1" applyAlignment="1">
      <alignment horizontal="center" vertical="center" wrapText="1"/>
    </xf>
    <xf numFmtId="187" fontId="2" fillId="0" borderId="96" xfId="0" applyNumberFormat="1" applyFont="1" applyBorder="1" applyAlignment="1">
      <alignment horizontal="center" vertical="center" wrapText="1"/>
    </xf>
    <xf numFmtId="0" fontId="82" fillId="0" borderId="36" xfId="0" applyFont="1" applyBorder="1" applyAlignment="1">
      <alignment horizontal="center" vertical="center" wrapText="1"/>
    </xf>
    <xf numFmtId="177" fontId="82" fillId="0" borderId="36" xfId="0" applyNumberFormat="1" applyFont="1" applyBorder="1" applyAlignment="1">
      <alignment horizontal="center" vertical="center" wrapText="1"/>
    </xf>
    <xf numFmtId="49" fontId="3" fillId="8" borderId="96" xfId="0" applyNumberFormat="1" applyFont="1" applyFill="1" applyBorder="1" applyAlignment="1">
      <alignment horizontal="center" vertical="center" wrapText="1"/>
    </xf>
    <xf numFmtId="49" fontId="3" fillId="8" borderId="2" xfId="0" applyNumberFormat="1" applyFont="1" applyFill="1" applyBorder="1" applyAlignment="1">
      <alignment horizontal="right" vertical="center" wrapText="1"/>
    </xf>
    <xf numFmtId="49" fontId="37" fillId="0" borderId="36" xfId="0" applyNumberFormat="1" applyFont="1" applyBorder="1" applyAlignment="1">
      <alignment horizontal="center" vertical="center" wrapText="1"/>
    </xf>
    <xf numFmtId="0" fontId="37" fillId="0" borderId="36" xfId="0" applyFont="1" applyBorder="1" applyAlignment="1">
      <alignment horizontal="center" vertical="center" wrapText="1"/>
    </xf>
    <xf numFmtId="41" fontId="37" fillId="0" borderId="36" xfId="1" applyFont="1" applyBorder="1" applyAlignment="1">
      <alignment horizontal="center" vertical="center" wrapText="1"/>
    </xf>
    <xf numFmtId="0" fontId="3" fillId="0" borderId="2" xfId="0" applyFont="1" applyBorder="1" applyAlignment="1">
      <alignment horizontal="center" vertical="center" wrapText="1"/>
    </xf>
    <xf numFmtId="41" fontId="3" fillId="0" borderId="2" xfId="1" applyFont="1" applyFill="1" applyBorder="1" applyAlignment="1">
      <alignment horizontal="center" vertical="center" wrapText="1"/>
    </xf>
    <xf numFmtId="49" fontId="3" fillId="0" borderId="2" xfId="0" applyNumberFormat="1" applyFont="1" applyBorder="1" applyAlignment="1">
      <alignment horizontal="right" vertical="center" wrapText="1"/>
    </xf>
    <xf numFmtId="41" fontId="0" fillId="0" borderId="0" xfId="0" applyNumberFormat="1" applyAlignment="1"/>
    <xf numFmtId="49" fontId="83" fillId="11" borderId="0" xfId="0" applyNumberFormat="1" applyFont="1" applyFill="1">
      <alignment vertical="center"/>
    </xf>
    <xf numFmtId="0" fontId="83" fillId="11" borderId="0" xfId="0" applyFont="1" applyFill="1">
      <alignment vertical="center"/>
    </xf>
    <xf numFmtId="187" fontId="0" fillId="0" borderId="0" xfId="0" applyNumberFormat="1" applyAlignment="1">
      <alignment horizontal="center" vertical="center"/>
    </xf>
    <xf numFmtId="0" fontId="37" fillId="0" borderId="0" xfId="0" applyFont="1" applyAlignment="1">
      <alignment wrapText="1"/>
    </xf>
    <xf numFmtId="0" fontId="37" fillId="0" borderId="0" xfId="0" applyFont="1" applyAlignment="1">
      <alignment horizontal="center" vertical="center" wrapText="1"/>
    </xf>
    <xf numFmtId="0" fontId="37" fillId="0" borderId="0" xfId="0" applyFont="1" applyAlignment="1">
      <alignment vertical="center" wrapText="1"/>
    </xf>
    <xf numFmtId="177" fontId="37" fillId="0" borderId="0" xfId="0" applyNumberFormat="1" applyFont="1" applyAlignment="1">
      <alignment vertical="center" wrapText="1"/>
    </xf>
    <xf numFmtId="177" fontId="37" fillId="0" borderId="0" xfId="0" applyNumberFormat="1" applyFont="1" applyAlignment="1">
      <alignment wrapText="1"/>
    </xf>
    <xf numFmtId="0" fontId="3" fillId="14" borderId="96" xfId="0" applyFont="1" applyFill="1" applyBorder="1" applyAlignment="1">
      <alignment horizontal="center" vertical="center" wrapText="1"/>
    </xf>
    <xf numFmtId="177" fontId="45" fillId="15" borderId="2" xfId="0" applyNumberFormat="1" applyFont="1" applyFill="1" applyBorder="1" applyAlignment="1">
      <alignment horizontal="right" vertical="center" wrapText="1"/>
    </xf>
    <xf numFmtId="177" fontId="45" fillId="14" borderId="2" xfId="0" applyNumberFormat="1" applyFont="1" applyFill="1" applyBorder="1" applyAlignment="1">
      <alignment horizontal="right" vertical="center" wrapText="1"/>
    </xf>
    <xf numFmtId="41" fontId="3" fillId="3" borderId="36" xfId="1" applyFont="1" applyFill="1" applyBorder="1" applyAlignment="1">
      <alignment horizontal="center" vertical="center" wrapText="1"/>
    </xf>
    <xf numFmtId="41" fontId="0" fillId="0" borderId="86" xfId="1" applyFont="1" applyBorder="1">
      <alignment vertical="center"/>
    </xf>
    <xf numFmtId="41" fontId="8" fillId="11" borderId="41" xfId="1" applyFont="1" applyFill="1" applyBorder="1" applyAlignment="1" applyProtection="1">
      <alignment horizontal="center" vertical="center" shrinkToFit="1"/>
      <protection hidden="1"/>
    </xf>
    <xf numFmtId="41" fontId="8" fillId="11" borderId="200" xfId="9" applyFont="1" applyFill="1" applyBorder="1" applyAlignment="1" applyProtection="1">
      <alignment horizontal="center" vertical="center" wrapText="1"/>
      <protection hidden="1"/>
    </xf>
    <xf numFmtId="49" fontId="8" fillId="11" borderId="202" xfId="0" applyNumberFormat="1" applyFont="1" applyFill="1" applyBorder="1" applyProtection="1">
      <alignment vertical="center"/>
      <protection hidden="1"/>
    </xf>
    <xf numFmtId="49" fontId="8" fillId="11" borderId="30" xfId="0" applyNumberFormat="1" applyFont="1" applyFill="1" applyBorder="1" applyProtection="1">
      <alignment vertical="center"/>
      <protection hidden="1"/>
    </xf>
    <xf numFmtId="0" fontId="11" fillId="11" borderId="202" xfId="0" applyFont="1" applyFill="1" applyBorder="1" applyProtection="1">
      <alignment vertical="center"/>
      <protection hidden="1"/>
    </xf>
    <xf numFmtId="0" fontId="11" fillId="11" borderId="30" xfId="0" applyFont="1" applyFill="1" applyBorder="1" applyProtection="1">
      <alignment vertical="center"/>
      <protection hidden="1"/>
    </xf>
    <xf numFmtId="41" fontId="14" fillId="11" borderId="41" xfId="0" applyNumberFormat="1" applyFont="1" applyFill="1" applyBorder="1" applyAlignment="1" applyProtection="1">
      <alignment horizontal="right" vertical="center" shrinkToFit="1"/>
      <protection hidden="1"/>
    </xf>
    <xf numFmtId="0" fontId="53" fillId="11" borderId="0" xfId="0" applyFont="1" applyFill="1" applyAlignment="1" applyProtection="1">
      <alignment horizontal="center" vertical="center"/>
      <protection hidden="1"/>
    </xf>
    <xf numFmtId="0" fontId="8" fillId="11" borderId="0" xfId="3" applyFont="1" applyFill="1" applyAlignment="1" applyProtection="1">
      <alignment horizontal="left" vertical="center" shrinkToFit="1"/>
      <protection hidden="1"/>
    </xf>
    <xf numFmtId="0" fontId="0" fillId="11" borderId="198" xfId="0" applyFill="1" applyBorder="1" applyProtection="1">
      <alignment vertical="center"/>
      <protection hidden="1"/>
    </xf>
    <xf numFmtId="9" fontId="8" fillId="11" borderId="0" xfId="3" applyNumberFormat="1" applyFont="1" applyFill="1" applyAlignment="1" applyProtection="1">
      <alignment horizontal="left" vertical="center" shrinkToFit="1"/>
      <protection hidden="1"/>
    </xf>
    <xf numFmtId="41" fontId="8" fillId="11" borderId="0" xfId="1" applyFont="1" applyFill="1" applyBorder="1" applyAlignment="1" applyProtection="1">
      <alignment horizontal="left" vertical="center" shrinkToFit="1"/>
      <protection hidden="1"/>
    </xf>
    <xf numFmtId="0" fontId="8" fillId="11" borderId="0" xfId="1" applyNumberFormat="1" applyFont="1" applyFill="1" applyBorder="1" applyAlignment="1" applyProtection="1">
      <alignment horizontal="left" vertical="center" shrinkToFit="1"/>
      <protection hidden="1"/>
    </xf>
    <xf numFmtId="186" fontId="8" fillId="11" borderId="0" xfId="1" applyNumberFormat="1" applyFont="1" applyFill="1" applyBorder="1" applyAlignment="1" applyProtection="1">
      <alignment vertical="center" shrinkToFit="1"/>
      <protection hidden="1"/>
    </xf>
    <xf numFmtId="189" fontId="8" fillId="11" borderId="0" xfId="1" applyNumberFormat="1" applyFont="1" applyFill="1" applyBorder="1" applyAlignment="1" applyProtection="1">
      <alignment vertical="center" shrinkToFit="1"/>
      <protection hidden="1"/>
    </xf>
    <xf numFmtId="0" fontId="8" fillId="11" borderId="0" xfId="1" applyNumberFormat="1" applyFont="1" applyFill="1" applyBorder="1" applyAlignment="1" applyProtection="1">
      <alignment vertical="center" shrinkToFit="1"/>
      <protection hidden="1"/>
    </xf>
    <xf numFmtId="9" fontId="8" fillId="11" borderId="0" xfId="2" applyFont="1" applyFill="1" applyBorder="1" applyAlignment="1" applyProtection="1">
      <alignment horizontal="left" vertical="center" shrinkToFit="1"/>
      <protection hidden="1"/>
    </xf>
    <xf numFmtId="9" fontId="8" fillId="11" borderId="198" xfId="2" applyFont="1" applyFill="1" applyBorder="1" applyAlignment="1" applyProtection="1">
      <alignment horizontal="left" vertical="center" shrinkToFit="1"/>
      <protection hidden="1"/>
    </xf>
    <xf numFmtId="0" fontId="71" fillId="11" borderId="198" xfId="0" applyFont="1" applyFill="1" applyBorder="1" applyAlignment="1" applyProtection="1">
      <protection hidden="1"/>
    </xf>
    <xf numFmtId="0" fontId="8" fillId="11" borderId="201" xfId="0" applyFont="1" applyFill="1" applyBorder="1" applyProtection="1">
      <alignment vertical="center"/>
      <protection hidden="1"/>
    </xf>
    <xf numFmtId="0" fontId="8" fillId="11" borderId="200" xfId="0" applyFont="1" applyFill="1" applyBorder="1" applyProtection="1">
      <alignment vertical="center"/>
      <protection hidden="1"/>
    </xf>
    <xf numFmtId="178" fontId="8" fillId="11" borderId="0" xfId="9" applyNumberFormat="1" applyFont="1" applyFill="1" applyBorder="1" applyAlignment="1" applyProtection="1">
      <alignment vertical="center"/>
      <protection hidden="1"/>
    </xf>
    <xf numFmtId="49" fontId="8" fillId="11" borderId="201" xfId="3" applyNumberFormat="1" applyFont="1" applyFill="1" applyBorder="1" applyAlignment="1" applyProtection="1">
      <alignment horizontal="left" vertical="center" shrinkToFit="1"/>
      <protection hidden="1"/>
    </xf>
    <xf numFmtId="0" fontId="11" fillId="11" borderId="42" xfId="0" applyFont="1" applyFill="1" applyBorder="1" applyAlignment="1" applyProtection="1">
      <alignment horizontal="center" vertical="center"/>
      <protection hidden="1"/>
    </xf>
    <xf numFmtId="41" fontId="8" fillId="11" borderId="86" xfId="9" applyFont="1" applyFill="1" applyBorder="1" applyAlignment="1" applyProtection="1">
      <alignment horizontal="center" vertical="center"/>
      <protection hidden="1"/>
    </xf>
    <xf numFmtId="41" fontId="8" fillId="11" borderId="28" xfId="9" applyFont="1" applyFill="1" applyBorder="1" applyAlignment="1" applyProtection="1">
      <alignment horizontal="center" vertical="center"/>
      <protection hidden="1"/>
    </xf>
    <xf numFmtId="191" fontId="3" fillId="14" borderId="219" xfId="0" applyNumberFormat="1" applyFont="1" applyFill="1" applyBorder="1" applyAlignment="1" applyProtection="1">
      <alignment horizontal="right" vertical="center" wrapText="1"/>
      <protection hidden="1"/>
    </xf>
    <xf numFmtId="41" fontId="12" fillId="4" borderId="0" xfId="0" applyNumberFormat="1" applyFont="1" applyFill="1" applyProtection="1">
      <alignment vertical="center"/>
      <protection hidden="1"/>
    </xf>
    <xf numFmtId="0" fontId="12" fillId="4" borderId="0" xfId="0" applyFont="1" applyFill="1" applyProtection="1">
      <alignment vertical="center"/>
      <protection hidden="1"/>
    </xf>
    <xf numFmtId="0" fontId="11" fillId="4" borderId="0" xfId="0" applyFont="1" applyFill="1" applyProtection="1">
      <alignment vertical="center"/>
      <protection hidden="1"/>
    </xf>
    <xf numFmtId="0" fontId="8" fillId="11" borderId="222" xfId="3" applyFont="1" applyFill="1" applyBorder="1" applyAlignment="1" applyProtection="1">
      <alignment horizontal="center" vertical="center" shrinkToFit="1"/>
      <protection hidden="1"/>
    </xf>
    <xf numFmtId="0" fontId="8" fillId="11" borderId="225" xfId="3" applyFont="1" applyFill="1" applyBorder="1" applyAlignment="1" applyProtection="1">
      <alignment horizontal="center" vertical="center" shrinkToFit="1"/>
      <protection hidden="1"/>
    </xf>
    <xf numFmtId="0" fontId="8" fillId="11" borderId="41" xfId="0" applyFont="1" applyFill="1" applyBorder="1" applyAlignment="1" applyProtection="1">
      <alignment horizontal="center" vertical="center" shrinkToFit="1"/>
      <protection hidden="1"/>
    </xf>
    <xf numFmtId="0" fontId="8" fillId="11" borderId="199" xfId="0" applyFont="1" applyFill="1" applyBorder="1" applyAlignment="1" applyProtection="1">
      <alignment horizontal="center" vertical="center" shrinkToFit="1"/>
      <protection hidden="1"/>
    </xf>
    <xf numFmtId="0" fontId="69" fillId="11" borderId="43" xfId="0" applyFont="1" applyFill="1" applyBorder="1" applyAlignment="1" applyProtection="1">
      <alignment horizontal="center" vertical="top" wrapText="1"/>
      <protection hidden="1"/>
    </xf>
    <xf numFmtId="0" fontId="69" fillId="11" borderId="91" xfId="0" applyFont="1" applyFill="1" applyBorder="1" applyAlignment="1" applyProtection="1">
      <alignment horizontal="center" vertical="top" wrapText="1"/>
      <protection hidden="1"/>
    </xf>
    <xf numFmtId="0" fontId="69" fillId="11" borderId="29" xfId="0" applyFont="1" applyFill="1" applyBorder="1" applyAlignment="1" applyProtection="1">
      <alignment horizontal="center" vertical="top" wrapText="1"/>
      <protection hidden="1"/>
    </xf>
    <xf numFmtId="0" fontId="74" fillId="0" borderId="0" xfId="0" applyFont="1" applyAlignment="1" applyProtection="1">
      <alignment horizontal="center" vertical="center" wrapText="1"/>
      <protection hidden="1"/>
    </xf>
    <xf numFmtId="0" fontId="8" fillId="11" borderId="199" xfId="3" applyFont="1" applyFill="1" applyBorder="1" applyAlignment="1" applyProtection="1">
      <alignment horizontal="left" vertical="center" shrinkToFit="1"/>
      <protection hidden="1"/>
    </xf>
    <xf numFmtId="0" fontId="8" fillId="11" borderId="222" xfId="3" applyFont="1" applyFill="1" applyBorder="1" applyAlignment="1" applyProtection="1">
      <alignment horizontal="left" vertical="center" shrinkToFit="1"/>
      <protection hidden="1"/>
    </xf>
    <xf numFmtId="0" fontId="8" fillId="11" borderId="223" xfId="3" applyFont="1" applyFill="1" applyBorder="1" applyAlignment="1" applyProtection="1">
      <alignment horizontal="left" vertical="center" shrinkToFit="1"/>
      <protection hidden="1"/>
    </xf>
    <xf numFmtId="0" fontId="8" fillId="11" borderId="225" xfId="3" applyFont="1" applyFill="1" applyBorder="1" applyAlignment="1" applyProtection="1">
      <alignment horizontal="left" vertical="center" shrinkToFit="1"/>
      <protection hidden="1"/>
    </xf>
    <xf numFmtId="0" fontId="8" fillId="11" borderId="226" xfId="3" applyFont="1" applyFill="1" applyBorder="1" applyAlignment="1" applyProtection="1">
      <alignment horizontal="left" vertical="center" shrinkToFit="1"/>
      <protection hidden="1"/>
    </xf>
    <xf numFmtId="0" fontId="69" fillId="11" borderId="0" xfId="0" applyFont="1" applyFill="1" applyAlignment="1" applyProtection="1">
      <alignment horizontal="center" vertical="center" wrapText="1"/>
      <protection hidden="1"/>
    </xf>
    <xf numFmtId="0" fontId="8" fillId="11" borderId="202" xfId="3" applyFont="1" applyFill="1" applyBorder="1" applyAlignment="1" applyProtection="1">
      <alignment vertical="center" shrinkToFit="1"/>
      <protection hidden="1"/>
    </xf>
    <xf numFmtId="0" fontId="8" fillId="11" borderId="0" xfId="3" applyFont="1" applyFill="1" applyAlignment="1" applyProtection="1">
      <alignment vertical="center" shrinkToFit="1"/>
      <protection hidden="1"/>
    </xf>
    <xf numFmtId="41" fontId="47" fillId="11" borderId="199" xfId="0" applyNumberFormat="1" applyFont="1" applyFill="1" applyBorder="1" applyAlignment="1" applyProtection="1">
      <alignment horizontal="right" vertical="center" shrinkToFit="1"/>
      <protection hidden="1"/>
    </xf>
    <xf numFmtId="188" fontId="47" fillId="11" borderId="36" xfId="0" applyNumberFormat="1" applyFont="1" applyFill="1" applyBorder="1" applyAlignment="1" applyProtection="1">
      <alignment vertical="center" shrinkToFit="1"/>
      <protection hidden="1"/>
    </xf>
    <xf numFmtId="0" fontId="85" fillId="0" borderId="0" xfId="0" applyFont="1">
      <alignment vertical="center"/>
    </xf>
    <xf numFmtId="0" fontId="84" fillId="13" borderId="199" xfId="0" applyFont="1" applyFill="1" applyBorder="1" applyAlignment="1" applyProtection="1">
      <alignment horizontal="center" vertical="center" wrapText="1"/>
      <protection hidden="1"/>
    </xf>
    <xf numFmtId="41" fontId="47" fillId="13" borderId="199" xfId="0" applyNumberFormat="1" applyFont="1" applyFill="1" applyBorder="1" applyAlignment="1" applyProtection="1">
      <alignment horizontal="right" vertical="center" shrinkToFit="1"/>
      <protection hidden="1"/>
    </xf>
    <xf numFmtId="0" fontId="46" fillId="13" borderId="199" xfId="0" applyFont="1" applyFill="1" applyBorder="1" applyAlignment="1" applyProtection="1">
      <alignment horizontal="center" vertical="center" shrinkToFit="1"/>
      <protection hidden="1"/>
    </xf>
    <xf numFmtId="188" fontId="47" fillId="13" borderId="36" xfId="0" applyNumberFormat="1" applyFont="1" applyFill="1" applyBorder="1" applyAlignment="1" applyProtection="1">
      <alignment vertical="center" shrinkToFit="1"/>
      <protection hidden="1"/>
    </xf>
    <xf numFmtId="0" fontId="7" fillId="11" borderId="91" xfId="0" applyFont="1" applyFill="1" applyBorder="1" applyAlignment="1" applyProtection="1">
      <alignment horizontal="center" vertical="center" wrapText="1"/>
      <protection hidden="1"/>
    </xf>
    <xf numFmtId="0" fontId="26" fillId="0" borderId="0" xfId="0" applyFont="1">
      <alignment vertical="center"/>
    </xf>
    <xf numFmtId="0" fontId="6" fillId="11" borderId="41" xfId="0" applyFont="1" applyFill="1" applyBorder="1" applyAlignment="1" applyProtection="1">
      <alignment horizontal="center" vertical="center" wrapText="1"/>
      <protection hidden="1"/>
    </xf>
    <xf numFmtId="0" fontId="86" fillId="11" borderId="41" xfId="0" applyFont="1" applyFill="1" applyBorder="1" applyAlignment="1" applyProtection="1">
      <alignment horizontal="center" vertical="center" wrapText="1"/>
      <protection hidden="1"/>
    </xf>
    <xf numFmtId="0" fontId="86" fillId="11" borderId="199" xfId="0" applyFont="1" applyFill="1" applyBorder="1" applyAlignment="1" applyProtection="1">
      <alignment horizontal="center" vertical="center" wrapText="1"/>
      <protection hidden="1"/>
    </xf>
    <xf numFmtId="0" fontId="47" fillId="11" borderId="199" xfId="0" applyFont="1" applyFill="1" applyBorder="1" applyAlignment="1" applyProtection="1">
      <alignment horizontal="center" vertical="center" shrinkToFit="1"/>
      <protection hidden="1"/>
    </xf>
    <xf numFmtId="0" fontId="6" fillId="13" borderId="36" xfId="0" applyFont="1" applyFill="1" applyBorder="1" applyAlignment="1" applyProtection="1">
      <alignment horizontal="center" vertical="center" wrapText="1"/>
      <protection hidden="1"/>
    </xf>
    <xf numFmtId="0" fontId="6" fillId="13" borderId="41" xfId="0" applyFont="1" applyFill="1" applyBorder="1" applyAlignment="1" applyProtection="1">
      <alignment horizontal="center" vertical="center" wrapText="1"/>
      <protection hidden="1"/>
    </xf>
    <xf numFmtId="0" fontId="86" fillId="13" borderId="41" xfId="0" applyFont="1" applyFill="1" applyBorder="1" applyAlignment="1" applyProtection="1">
      <alignment horizontal="center" vertical="center" wrapText="1"/>
      <protection hidden="1"/>
    </xf>
    <xf numFmtId="0" fontId="86" fillId="13" borderId="199" xfId="0" applyFont="1" applyFill="1" applyBorder="1" applyAlignment="1" applyProtection="1">
      <alignment horizontal="center" vertical="center" wrapText="1"/>
      <protection hidden="1"/>
    </xf>
    <xf numFmtId="0" fontId="47" fillId="13" borderId="199" xfId="0" applyFont="1" applyFill="1" applyBorder="1" applyAlignment="1" applyProtection="1">
      <alignment horizontal="center" vertical="center" shrinkToFit="1"/>
      <protection hidden="1"/>
    </xf>
    <xf numFmtId="0" fontId="6" fillId="11" borderId="30" xfId="0" applyFont="1" applyFill="1" applyBorder="1" applyAlignment="1" applyProtection="1">
      <alignment horizontal="center" vertical="center" wrapText="1"/>
      <protection hidden="1"/>
    </xf>
    <xf numFmtId="0" fontId="87" fillId="13" borderId="36" xfId="0" applyFont="1" applyFill="1" applyBorder="1" applyAlignment="1" applyProtection="1">
      <alignment horizontal="center" vertical="center" wrapText="1"/>
      <protection hidden="1"/>
    </xf>
    <xf numFmtId="0" fontId="87" fillId="13" borderId="41" xfId="0" applyFont="1" applyFill="1" applyBorder="1" applyAlignment="1" applyProtection="1">
      <alignment horizontal="center" vertical="center" wrapText="1"/>
      <protection hidden="1"/>
    </xf>
    <xf numFmtId="0" fontId="6" fillId="11" borderId="200" xfId="0" applyFont="1" applyFill="1" applyBorder="1" applyAlignment="1" applyProtection="1">
      <alignment horizontal="center" vertical="center" wrapText="1"/>
      <protection hidden="1"/>
    </xf>
    <xf numFmtId="0" fontId="7" fillId="13" borderId="200" xfId="0" applyFont="1" applyFill="1" applyBorder="1" applyAlignment="1" applyProtection="1">
      <alignment horizontal="center" vertical="center" wrapText="1"/>
      <protection hidden="1"/>
    </xf>
    <xf numFmtId="0" fontId="87" fillId="13" borderId="43" xfId="0" applyFont="1" applyFill="1" applyBorder="1" applyAlignment="1" applyProtection="1">
      <alignment horizontal="center" vertical="center" wrapText="1"/>
      <protection hidden="1"/>
    </xf>
    <xf numFmtId="0" fontId="6" fillId="11" borderId="91" xfId="0" applyFont="1" applyFill="1" applyBorder="1" applyAlignment="1" applyProtection="1">
      <alignment horizontal="center" vertical="center" wrapText="1"/>
      <protection hidden="1"/>
    </xf>
    <xf numFmtId="0" fontId="6" fillId="11" borderId="201" xfId="0" applyFont="1" applyFill="1" applyBorder="1" applyAlignment="1" applyProtection="1">
      <alignment horizontal="center" vertical="center" wrapText="1"/>
      <protection hidden="1"/>
    </xf>
    <xf numFmtId="0" fontId="47" fillId="11" borderId="201" xfId="3" applyFont="1" applyFill="1" applyBorder="1" applyAlignment="1" applyProtection="1">
      <alignment horizontal="left" vertical="center" shrinkToFit="1"/>
      <protection hidden="1"/>
    </xf>
    <xf numFmtId="188" fontId="47" fillId="13" borderId="36" xfId="0" applyNumberFormat="1" applyFont="1" applyFill="1" applyBorder="1" applyAlignment="1" applyProtection="1">
      <alignment horizontal="right" vertical="center" shrinkToFit="1"/>
      <protection hidden="1"/>
    </xf>
    <xf numFmtId="190" fontId="8" fillId="11" borderId="199" xfId="0" applyNumberFormat="1" applyFont="1" applyFill="1" applyBorder="1" applyAlignment="1" applyProtection="1">
      <alignment vertical="center" shrinkToFit="1"/>
      <protection hidden="1"/>
    </xf>
    <xf numFmtId="0" fontId="8" fillId="11" borderId="199" xfId="0" applyFont="1" applyFill="1" applyBorder="1" applyAlignment="1" applyProtection="1">
      <alignment vertical="center" shrinkToFit="1"/>
      <protection hidden="1"/>
    </xf>
    <xf numFmtId="188" fontId="8" fillId="11" borderId="199" xfId="6" applyNumberFormat="1" applyFont="1" applyFill="1" applyBorder="1" applyAlignment="1" applyProtection="1">
      <alignment horizontal="center" vertical="center" shrinkToFit="1"/>
      <protection hidden="1"/>
    </xf>
    <xf numFmtId="41" fontId="14" fillId="11" borderId="36" xfId="0" applyNumberFormat="1" applyFont="1" applyFill="1" applyBorder="1" applyAlignment="1" applyProtection="1">
      <alignment vertical="center" shrinkToFit="1"/>
      <protection hidden="1"/>
    </xf>
    <xf numFmtId="0" fontId="15" fillId="0" borderId="27" xfId="3" applyFont="1" applyBorder="1" applyAlignment="1" applyProtection="1">
      <alignment horizontal="left" vertical="center" shrinkToFit="1"/>
      <protection hidden="1"/>
    </xf>
    <xf numFmtId="0" fontId="15" fillId="0" borderId="34" xfId="3" applyFont="1" applyBorder="1" applyAlignment="1" applyProtection="1">
      <alignment horizontal="left" vertical="center" shrinkToFit="1"/>
      <protection hidden="1"/>
    </xf>
    <xf numFmtId="49" fontId="3" fillId="15" borderId="96" xfId="0" applyNumberFormat="1" applyFont="1" applyFill="1" applyBorder="1" applyAlignment="1" applyProtection="1">
      <alignment horizontal="center" vertical="center" wrapText="1"/>
      <protection hidden="1"/>
    </xf>
    <xf numFmtId="0" fontId="3" fillId="15" borderId="96" xfId="0" applyFont="1" applyFill="1" applyBorder="1" applyAlignment="1" applyProtection="1">
      <alignment horizontal="center" vertical="center" wrapText="1"/>
      <protection hidden="1"/>
    </xf>
    <xf numFmtId="0" fontId="3" fillId="15" borderId="96" xfId="0" applyFont="1" applyFill="1" applyBorder="1" applyAlignment="1" applyProtection="1">
      <alignment horizontal="left" vertical="center" wrapText="1"/>
      <protection hidden="1"/>
    </xf>
    <xf numFmtId="49" fontId="3" fillId="14" borderId="229" xfId="0" applyNumberFormat="1" applyFont="1" applyFill="1" applyBorder="1" applyAlignment="1" applyProtection="1">
      <alignment horizontal="center" vertical="center" wrapText="1"/>
      <protection hidden="1"/>
    </xf>
    <xf numFmtId="0" fontId="3" fillId="0" borderId="229" xfId="0" applyFont="1" applyBorder="1" applyAlignment="1" applyProtection="1">
      <alignment horizontal="center" vertical="center" wrapText="1"/>
      <protection hidden="1"/>
    </xf>
    <xf numFmtId="0" fontId="3" fillId="0" borderId="229" xfId="0" applyFont="1" applyBorder="1" applyAlignment="1" applyProtection="1">
      <alignment horizontal="left" vertical="center" wrapText="1"/>
      <protection hidden="1"/>
    </xf>
    <xf numFmtId="191" fontId="3" fillId="14" borderId="229" xfId="0" applyNumberFormat="1" applyFont="1" applyFill="1" applyBorder="1" applyAlignment="1" applyProtection="1">
      <alignment horizontal="right" vertical="center" wrapText="1"/>
      <protection hidden="1"/>
    </xf>
    <xf numFmtId="0" fontId="42" fillId="0" borderId="230" xfId="0" applyFont="1" applyBorder="1" applyAlignment="1">
      <alignment horizontal="center" vertical="center" wrapText="1"/>
    </xf>
    <xf numFmtId="0" fontId="42" fillId="0" borderId="231" xfId="0" applyFont="1" applyBorder="1" applyAlignment="1">
      <alignment horizontal="center" vertical="center" wrapText="1"/>
    </xf>
    <xf numFmtId="0" fontId="43" fillId="4" borderId="106" xfId="0" applyFont="1" applyFill="1" applyBorder="1" applyAlignment="1">
      <alignment horizontal="left" vertical="center" shrinkToFit="1"/>
    </xf>
    <xf numFmtId="177" fontId="43" fillId="4" borderId="107" xfId="0" applyNumberFormat="1" applyFont="1" applyFill="1" applyBorder="1" applyAlignment="1">
      <alignment horizontal="right" vertical="center" wrapText="1"/>
    </xf>
    <xf numFmtId="0" fontId="44" fillId="11" borderId="54" xfId="0" applyFont="1" applyFill="1" applyBorder="1" applyAlignment="1">
      <alignment horizontal="center" vertical="center"/>
    </xf>
    <xf numFmtId="177" fontId="47" fillId="11" borderId="58" xfId="4" applyNumberFormat="1" applyFont="1" applyFill="1" applyBorder="1" applyAlignment="1" applyProtection="1">
      <alignment horizontal="right" vertical="center"/>
      <protection hidden="1"/>
    </xf>
    <xf numFmtId="177" fontId="46" fillId="11" borderId="59" xfId="4" applyNumberFormat="1" applyFont="1" applyFill="1" applyBorder="1" applyAlignment="1" applyProtection="1">
      <alignment horizontal="right" vertical="center" wrapText="1"/>
      <protection hidden="1"/>
    </xf>
    <xf numFmtId="0" fontId="86" fillId="11" borderId="36" xfId="0" applyFont="1" applyFill="1" applyBorder="1" applyAlignment="1" applyProtection="1">
      <alignment horizontal="center" vertical="center" wrapText="1"/>
      <protection hidden="1"/>
    </xf>
    <xf numFmtId="0" fontId="86" fillId="11" borderId="30" xfId="0" applyFont="1" applyFill="1" applyBorder="1" applyAlignment="1" applyProtection="1">
      <alignment horizontal="center" vertical="center" wrapText="1"/>
      <protection hidden="1"/>
    </xf>
    <xf numFmtId="0" fontId="7" fillId="13" borderId="199" xfId="0" applyFont="1" applyFill="1" applyBorder="1" applyAlignment="1" applyProtection="1">
      <alignment horizontal="center" vertical="center" wrapText="1"/>
      <protection hidden="1"/>
    </xf>
    <xf numFmtId="0" fontId="7" fillId="13" borderId="41" xfId="0" applyFont="1" applyFill="1" applyBorder="1" applyAlignment="1" applyProtection="1">
      <alignment horizontal="center" vertical="center" wrapText="1"/>
      <protection hidden="1"/>
    </xf>
    <xf numFmtId="0" fontId="0" fillId="11" borderId="0" xfId="0" applyFill="1" applyAlignment="1">
      <alignment horizontal="center" vertical="center"/>
    </xf>
    <xf numFmtId="0" fontId="45" fillId="11" borderId="0" xfId="0" applyFont="1" applyFill="1" applyAlignment="1">
      <alignment horizontal="left" vertical="center" wrapText="1"/>
    </xf>
    <xf numFmtId="0" fontId="25" fillId="9" borderId="48" xfId="0" applyFont="1" applyFill="1" applyBorder="1" applyAlignment="1" applyProtection="1">
      <alignment horizontal="center" vertical="center"/>
      <protection hidden="1"/>
    </xf>
    <xf numFmtId="0" fontId="15" fillId="0" borderId="54" xfId="3" applyFont="1" applyBorder="1" applyAlignment="1" applyProtection="1">
      <alignment horizontal="left" vertical="center" shrinkToFit="1"/>
      <protection hidden="1"/>
    </xf>
    <xf numFmtId="0" fontId="15" fillId="0" borderId="57" xfId="3" applyFont="1" applyBorder="1" applyAlignment="1" applyProtection="1">
      <alignment horizontal="left" vertical="center" shrinkToFit="1"/>
      <protection hidden="1"/>
    </xf>
    <xf numFmtId="0" fontId="24" fillId="0" borderId="54" xfId="0" applyFont="1" applyBorder="1" applyAlignment="1" applyProtection="1">
      <alignment horizontal="center" vertical="center"/>
      <protection hidden="1"/>
    </xf>
    <xf numFmtId="0" fontId="24" fillId="0" borderId="56" xfId="0" applyFont="1" applyBorder="1" applyAlignment="1" applyProtection="1">
      <alignment horizontal="center" vertical="center"/>
      <protection hidden="1"/>
    </xf>
    <xf numFmtId="0" fontId="26" fillId="6" borderId="48"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4" fillId="0" borderId="44" xfId="0" applyFont="1" applyBorder="1" applyAlignment="1" applyProtection="1">
      <alignment horizontal="center" vertical="center"/>
      <protection hidden="1"/>
    </xf>
    <xf numFmtId="0" fontId="24" fillId="0" borderId="43" xfId="0" applyFont="1" applyBorder="1" applyAlignment="1" applyProtection="1">
      <alignment horizontal="center" vertical="center"/>
      <protection hidden="1"/>
    </xf>
    <xf numFmtId="0" fontId="3" fillId="3" borderId="2"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left" vertical="center" wrapText="1"/>
      <protection hidden="1"/>
    </xf>
    <xf numFmtId="41" fontId="69" fillId="3" borderId="2" xfId="1" applyFont="1" applyFill="1" applyBorder="1" applyAlignment="1" applyProtection="1">
      <alignment horizontal="center" vertical="center" shrinkToFit="1"/>
      <protection hidden="1"/>
    </xf>
    <xf numFmtId="41" fontId="69" fillId="9" borderId="2" xfId="1" applyFont="1" applyFill="1" applyBorder="1" applyAlignment="1" applyProtection="1">
      <alignment horizontal="center" vertical="center" shrinkToFit="1"/>
      <protection hidden="1"/>
    </xf>
    <xf numFmtId="176" fontId="13" fillId="0" borderId="25" xfId="1" applyNumberFormat="1" applyFont="1" applyBorder="1" applyAlignment="1" applyProtection="1">
      <alignment horizontal="center" vertical="center"/>
      <protection hidden="1"/>
    </xf>
    <xf numFmtId="0" fontId="8" fillId="0" borderId="54" xfId="0" applyFont="1" applyBorder="1" applyProtection="1">
      <alignment vertical="center"/>
      <protection hidden="1"/>
    </xf>
    <xf numFmtId="0" fontId="8" fillId="0" borderId="55" xfId="0" applyFont="1" applyBorder="1" applyAlignment="1" applyProtection="1">
      <alignment horizontal="center" vertical="center"/>
      <protection hidden="1"/>
    </xf>
    <xf numFmtId="176" fontId="8" fillId="0" borderId="36" xfId="0" applyNumberFormat="1" applyFont="1" applyBorder="1" applyAlignment="1" applyProtection="1">
      <alignment horizontal="center" vertical="center"/>
      <protection hidden="1"/>
    </xf>
    <xf numFmtId="0" fontId="0" fillId="18" borderId="27" xfId="0" applyFill="1" applyBorder="1" applyAlignment="1" applyProtection="1">
      <alignment horizontal="center" vertical="center"/>
      <protection hidden="1"/>
    </xf>
    <xf numFmtId="0" fontId="0" fillId="18" borderId="29" xfId="0" applyFill="1" applyBorder="1" applyAlignment="1" applyProtection="1">
      <alignment horizontal="center" vertical="center"/>
      <protection hidden="1"/>
    </xf>
    <xf numFmtId="0" fontId="0" fillId="18" borderId="59" xfId="0" applyFill="1" applyBorder="1" applyAlignment="1" applyProtection="1">
      <alignment horizontal="center" vertical="center"/>
      <protection hidden="1"/>
    </xf>
    <xf numFmtId="176" fontId="13" fillId="0" borderId="32" xfId="1" applyNumberFormat="1" applyFont="1" applyBorder="1" applyAlignment="1" applyProtection="1">
      <alignment horizontal="center" vertical="center"/>
      <protection hidden="1"/>
    </xf>
    <xf numFmtId="0" fontId="8" fillId="0" borderId="34" xfId="0" applyFont="1" applyBorder="1" applyProtection="1">
      <alignment vertical="center"/>
      <protection hidden="1"/>
    </xf>
    <xf numFmtId="0" fontId="8" fillId="0" borderId="35" xfId="0" applyFont="1" applyBorder="1" applyAlignment="1" applyProtection="1">
      <alignment horizontal="center" vertical="center"/>
      <protection hidden="1"/>
    </xf>
    <xf numFmtId="176" fontId="8" fillId="0" borderId="37" xfId="0" applyNumberFormat="1" applyFont="1" applyBorder="1" applyAlignment="1" applyProtection="1">
      <alignment horizontal="center" vertical="center"/>
      <protection hidden="1"/>
    </xf>
    <xf numFmtId="176" fontId="8" fillId="0" borderId="39" xfId="0" applyNumberFormat="1" applyFont="1" applyBorder="1" applyAlignment="1" applyProtection="1">
      <alignment horizontal="center" vertical="center"/>
      <protection hidden="1"/>
    </xf>
    <xf numFmtId="0" fontId="8" fillId="0" borderId="54" xfId="0" applyFont="1" applyBorder="1" applyAlignment="1" applyProtection="1">
      <alignment vertical="center" shrinkToFit="1"/>
      <protection hidden="1"/>
    </xf>
    <xf numFmtId="0" fontId="8" fillId="0" borderId="34" xfId="0" applyFont="1" applyBorder="1" applyAlignment="1" applyProtection="1">
      <alignment vertical="center" shrinkToFit="1"/>
      <protection hidden="1"/>
    </xf>
    <xf numFmtId="0" fontId="25" fillId="16" borderId="48" xfId="0" applyFont="1" applyFill="1" applyBorder="1" applyAlignment="1" applyProtection="1">
      <alignment horizontal="center" vertical="center"/>
      <protection hidden="1"/>
    </xf>
    <xf numFmtId="49" fontId="41" fillId="12" borderId="48" xfId="0" applyNumberFormat="1" applyFont="1" applyFill="1" applyBorder="1" applyAlignment="1" applyProtection="1">
      <alignment horizontal="center" vertical="center"/>
      <protection hidden="1"/>
    </xf>
    <xf numFmtId="0" fontId="24" fillId="0" borderId="34" xfId="0" applyFont="1" applyBorder="1" applyProtection="1">
      <alignment vertical="center"/>
      <protection hidden="1"/>
    </xf>
    <xf numFmtId="0" fontId="25" fillId="10" borderId="26" xfId="0" applyFont="1" applyFill="1" applyBorder="1" applyAlignment="1" applyProtection="1">
      <alignment horizontal="center" vertical="center"/>
      <protection hidden="1"/>
    </xf>
    <xf numFmtId="0" fontId="8" fillId="0" borderId="57" xfId="0" applyFont="1" applyBorder="1" applyAlignment="1" applyProtection="1">
      <alignment vertical="center" shrinkToFit="1"/>
      <protection hidden="1"/>
    </xf>
    <xf numFmtId="0" fontId="8" fillId="0" borderId="27" xfId="0" applyFont="1" applyBorder="1" applyAlignment="1" applyProtection="1">
      <alignment vertical="center" shrinkToFit="1"/>
      <protection hidden="1"/>
    </xf>
    <xf numFmtId="0" fontId="24" fillId="0" borderId="36" xfId="0" applyFont="1" applyBorder="1" applyAlignment="1" applyProtection="1">
      <alignment horizontal="center" vertical="center"/>
      <protection hidden="1"/>
    </xf>
    <xf numFmtId="0" fontId="8" fillId="0" borderId="44" xfId="0" applyFont="1" applyBorder="1" applyAlignment="1" applyProtection="1">
      <alignment vertical="center" shrinkToFit="1"/>
      <protection hidden="1"/>
    </xf>
    <xf numFmtId="0" fontId="8" fillId="0" borderId="54" xfId="0" applyFont="1" applyBorder="1" applyAlignment="1" applyProtection="1">
      <alignment horizontal="left" vertical="center" shrinkToFit="1"/>
      <protection hidden="1"/>
    </xf>
    <xf numFmtId="0" fontId="13" fillId="0" borderId="34" xfId="0" applyFont="1" applyBorder="1" applyAlignment="1" applyProtection="1">
      <alignment horizontal="left" vertical="center"/>
      <protection hidden="1"/>
    </xf>
    <xf numFmtId="0" fontId="13" fillId="0" borderId="57" xfId="0" applyFont="1" applyBorder="1" applyAlignment="1" applyProtection="1">
      <alignment horizontal="left" vertical="center"/>
      <protection hidden="1"/>
    </xf>
    <xf numFmtId="0" fontId="27" fillId="11" borderId="89" xfId="0" applyFont="1" applyFill="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27" fillId="11" borderId="85" xfId="0" applyFont="1" applyFill="1" applyBorder="1" applyAlignment="1" applyProtection="1">
      <alignment horizontal="center" vertical="center"/>
      <protection hidden="1"/>
    </xf>
    <xf numFmtId="0" fontId="8" fillId="0" borderId="80" xfId="0" applyFont="1" applyBorder="1" applyAlignment="1" applyProtection="1">
      <alignment vertical="center" shrinkToFit="1"/>
      <protection hidden="1"/>
    </xf>
    <xf numFmtId="0" fontId="8" fillId="0" borderId="85" xfId="0" applyFont="1" applyBorder="1" applyAlignment="1" applyProtection="1">
      <alignment vertical="center" shrinkToFit="1"/>
      <protection hidden="1"/>
    </xf>
    <xf numFmtId="0" fontId="8" fillId="0" borderId="84" xfId="0" applyFont="1" applyBorder="1" applyAlignment="1" applyProtection="1">
      <alignment vertical="center" shrinkToFit="1"/>
      <protection hidden="1"/>
    </xf>
    <xf numFmtId="0" fontId="30" fillId="0" borderId="48" xfId="0" applyFont="1" applyBorder="1" applyAlignment="1" applyProtection="1">
      <alignment horizontal="center" vertical="center" shrinkToFit="1"/>
      <protection hidden="1"/>
    </xf>
    <xf numFmtId="0" fontId="30" fillId="0" borderId="52" xfId="0" applyFont="1" applyBorder="1" applyAlignment="1" applyProtection="1">
      <alignment horizontal="center" vertical="center" shrinkToFit="1"/>
      <protection hidden="1"/>
    </xf>
    <xf numFmtId="0" fontId="27" fillId="11" borderId="84" xfId="0" applyFont="1" applyFill="1" applyBorder="1" applyAlignment="1" applyProtection="1">
      <alignment horizontal="center" vertical="center"/>
      <protection hidden="1"/>
    </xf>
    <xf numFmtId="0" fontId="24" fillId="0" borderId="27" xfId="0" applyFont="1" applyBorder="1" applyAlignment="1" applyProtection="1">
      <alignment horizontal="left" vertical="center" shrinkToFit="1"/>
      <protection hidden="1"/>
    </xf>
    <xf numFmtId="0" fontId="25" fillId="0" borderId="17" xfId="0" applyFont="1" applyBorder="1" applyProtection="1">
      <alignment vertical="center"/>
      <protection hidden="1"/>
    </xf>
    <xf numFmtId="41" fontId="25" fillId="0" borderId="19" xfId="0" applyNumberFormat="1" applyFont="1" applyBorder="1" applyAlignment="1" applyProtection="1">
      <alignment horizontal="center" vertical="center"/>
      <protection hidden="1"/>
    </xf>
    <xf numFmtId="0" fontId="24" fillId="0" borderId="34" xfId="0" applyFont="1" applyBorder="1" applyAlignment="1" applyProtection="1">
      <alignment horizontal="left" vertical="center" shrinkToFit="1"/>
      <protection hidden="1"/>
    </xf>
    <xf numFmtId="0" fontId="8" fillId="0" borderId="42" xfId="0" applyFont="1" applyBorder="1" applyAlignment="1" applyProtection="1">
      <alignment horizontal="center" vertical="center"/>
      <protection hidden="1"/>
    </xf>
    <xf numFmtId="0" fontId="25" fillId="0" borderId="48" xfId="0" applyFont="1" applyBorder="1" applyProtection="1">
      <alignment vertical="center"/>
      <protection hidden="1"/>
    </xf>
    <xf numFmtId="0" fontId="8" fillId="0" borderId="44" xfId="0" applyFont="1" applyBorder="1" applyProtection="1">
      <alignment vertical="center"/>
      <protection hidden="1"/>
    </xf>
    <xf numFmtId="176" fontId="8" fillId="0" borderId="30" xfId="0" applyNumberFormat="1" applyFont="1" applyBorder="1" applyAlignment="1" applyProtection="1">
      <alignment horizontal="center" vertical="center"/>
      <protection hidden="1"/>
    </xf>
    <xf numFmtId="0" fontId="3" fillId="2" borderId="2"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left" vertical="center" wrapText="1"/>
      <protection hidden="1"/>
    </xf>
    <xf numFmtId="41" fontId="69" fillId="2" borderId="2" xfId="1" applyFont="1" applyFill="1" applyBorder="1" applyAlignment="1" applyProtection="1">
      <alignment horizontal="center" vertical="center" shrinkToFit="1"/>
      <protection hidden="1"/>
    </xf>
    <xf numFmtId="41" fontId="69" fillId="16" borderId="2" xfId="1" applyFont="1" applyFill="1" applyBorder="1" applyAlignment="1" applyProtection="1">
      <alignment horizontal="center" vertical="center" shrinkToFit="1"/>
      <protection hidden="1"/>
    </xf>
    <xf numFmtId="188" fontId="13" fillId="0" borderId="32" xfId="1" applyNumberFormat="1" applyFont="1" applyBorder="1" applyAlignment="1" applyProtection="1">
      <alignment horizontal="center" vertical="center"/>
      <protection hidden="1"/>
    </xf>
    <xf numFmtId="0" fontId="24" fillId="0" borderId="44" xfId="0" applyFont="1" applyBorder="1" applyAlignment="1" applyProtection="1">
      <alignment horizontal="center" vertical="center" shrinkToFit="1"/>
      <protection hidden="1"/>
    </xf>
    <xf numFmtId="41" fontId="11" fillId="0" borderId="47" xfId="1" applyFont="1" applyBorder="1" applyProtection="1">
      <alignment vertical="center"/>
      <protection hidden="1"/>
    </xf>
    <xf numFmtId="0" fontId="8" fillId="0" borderId="57" xfId="0" applyFont="1" applyBorder="1" applyProtection="1">
      <alignment vertical="center"/>
      <protection hidden="1"/>
    </xf>
    <xf numFmtId="0" fontId="8" fillId="0" borderId="60" xfId="0" applyFont="1" applyBorder="1" applyAlignment="1" applyProtection="1">
      <alignment horizontal="center" vertical="center"/>
      <protection hidden="1"/>
    </xf>
    <xf numFmtId="0" fontId="25" fillId="0" borderId="54" xfId="0" applyFont="1" applyBorder="1" applyAlignment="1" applyProtection="1">
      <alignment horizontal="left" vertical="center" shrinkToFit="1"/>
      <protection hidden="1"/>
    </xf>
    <xf numFmtId="41" fontId="13" fillId="0" borderId="13" xfId="1" applyFont="1" applyFill="1" applyBorder="1" applyAlignment="1" applyProtection="1">
      <alignment horizontal="center" vertical="center"/>
      <protection hidden="1"/>
    </xf>
    <xf numFmtId="0" fontId="8" fillId="0" borderId="48" xfId="0" applyFont="1" applyBorder="1" applyProtection="1">
      <alignment vertical="center"/>
      <protection hidden="1"/>
    </xf>
    <xf numFmtId="0" fontId="8" fillId="0" borderId="50" xfId="0" applyFont="1" applyBorder="1" applyAlignment="1" applyProtection="1">
      <alignment horizontal="center" vertical="center"/>
      <protection hidden="1"/>
    </xf>
    <xf numFmtId="177" fontId="8" fillId="6" borderId="51" xfId="0" applyNumberFormat="1" applyFont="1" applyFill="1" applyBorder="1" applyProtection="1">
      <alignment vertical="center"/>
      <protection hidden="1"/>
    </xf>
    <xf numFmtId="180" fontId="8" fillId="0" borderId="52" xfId="0" applyNumberFormat="1" applyFont="1" applyBorder="1" applyAlignment="1" applyProtection="1">
      <alignment horizontal="center" vertical="center"/>
      <protection hidden="1"/>
    </xf>
    <xf numFmtId="0" fontId="14" fillId="6" borderId="74" xfId="0" applyFont="1" applyFill="1" applyBorder="1" applyAlignment="1" applyProtection="1">
      <alignment horizontal="center" vertical="center" shrinkToFit="1"/>
      <protection hidden="1"/>
    </xf>
    <xf numFmtId="0" fontId="25" fillId="0" borderId="44" xfId="0" applyFont="1" applyBorder="1" applyAlignment="1" applyProtection="1">
      <alignment horizontal="left" vertical="center" shrinkToFit="1"/>
      <protection hidden="1"/>
    </xf>
    <xf numFmtId="41" fontId="13" fillId="0" borderId="25" xfId="1" applyFont="1" applyFill="1" applyBorder="1" applyAlignment="1" applyProtection="1">
      <alignment horizontal="center" vertical="center"/>
      <protection hidden="1"/>
    </xf>
    <xf numFmtId="0" fontId="3" fillId="3" borderId="7" xfId="0" applyFont="1" applyFill="1" applyBorder="1" applyAlignment="1" applyProtection="1">
      <alignment horizontal="left" vertical="center" wrapText="1"/>
      <protection hidden="1"/>
    </xf>
    <xf numFmtId="41" fontId="3" fillId="3" borderId="2" xfId="1" applyFont="1" applyFill="1" applyBorder="1" applyAlignment="1" applyProtection="1">
      <alignment horizontal="center" vertical="center" wrapText="1"/>
      <protection hidden="1"/>
    </xf>
    <xf numFmtId="181" fontId="15" fillId="3" borderId="29"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shrinkToFit="1"/>
      <protection hidden="1"/>
    </xf>
    <xf numFmtId="0" fontId="0" fillId="13" borderId="22" xfId="0" applyFill="1" applyBorder="1" applyProtection="1">
      <alignment vertical="center"/>
      <protection hidden="1"/>
    </xf>
    <xf numFmtId="0" fontId="0" fillId="13" borderId="23" xfId="0" applyFill="1" applyBorder="1" applyProtection="1">
      <alignment vertical="center"/>
      <protection hidden="1"/>
    </xf>
    <xf numFmtId="0" fontId="0" fillId="13" borderId="24" xfId="0" applyFill="1" applyBorder="1" applyProtection="1">
      <alignment vertical="center"/>
      <protection hidden="1"/>
    </xf>
    <xf numFmtId="41" fontId="13" fillId="0" borderId="32" xfId="1" applyFont="1" applyFill="1" applyBorder="1" applyAlignment="1" applyProtection="1">
      <alignment horizontal="center" vertical="center"/>
      <protection hidden="1"/>
    </xf>
    <xf numFmtId="181" fontId="15" fillId="3" borderId="36" xfId="0" applyNumberFormat="1" applyFont="1" applyFill="1" applyBorder="1" applyAlignment="1" applyProtection="1">
      <alignment horizontal="center" vertical="center"/>
      <protection hidden="1"/>
    </xf>
    <xf numFmtId="41" fontId="25" fillId="0" borderId="49" xfId="0" applyNumberFormat="1" applyFont="1" applyBorder="1" applyAlignment="1" applyProtection="1">
      <alignment horizontal="center" vertical="center"/>
      <protection hidden="1"/>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left" vertical="center" wrapText="1"/>
      <protection hidden="1"/>
    </xf>
    <xf numFmtId="41" fontId="69" fillId="4" borderId="2" xfId="1" applyFont="1" applyFill="1" applyBorder="1" applyAlignment="1" applyProtection="1">
      <alignment horizontal="center" vertical="center" shrinkToFit="1"/>
      <protection hidden="1"/>
    </xf>
    <xf numFmtId="41" fontId="69" fillId="12" borderId="2" xfId="1" applyFont="1" applyFill="1" applyBorder="1" applyAlignment="1" applyProtection="1">
      <alignment horizontal="center" vertical="center" shrinkToFit="1"/>
      <protection hidden="1"/>
    </xf>
    <xf numFmtId="0" fontId="8" fillId="9" borderId="120" xfId="0" applyFont="1" applyFill="1" applyBorder="1" applyAlignment="1" applyProtection="1">
      <alignment horizontal="center" vertical="center" shrinkToFit="1"/>
      <protection hidden="1"/>
    </xf>
    <xf numFmtId="0" fontId="8" fillId="9" borderId="103" xfId="0" applyFont="1" applyFill="1" applyBorder="1" applyAlignment="1" applyProtection="1">
      <alignment horizontal="center" vertical="center" shrinkToFit="1"/>
      <protection hidden="1"/>
    </xf>
    <xf numFmtId="0" fontId="8" fillId="8" borderId="103" xfId="0" applyFont="1" applyFill="1" applyBorder="1" applyAlignment="1" applyProtection="1">
      <alignment horizontal="center" vertical="center" shrinkToFit="1"/>
      <protection hidden="1"/>
    </xf>
    <xf numFmtId="41" fontId="7" fillId="5" borderId="11" xfId="1" applyFont="1" applyFill="1" applyBorder="1" applyAlignment="1" applyProtection="1">
      <alignment horizontal="center" vertical="center" shrinkToFit="1"/>
      <protection hidden="1"/>
    </xf>
    <xf numFmtId="0" fontId="8" fillId="8" borderId="121" xfId="0" applyFont="1" applyFill="1" applyBorder="1" applyAlignment="1" applyProtection="1">
      <alignment horizontal="center" vertical="center" shrinkToFit="1"/>
      <protection hidden="1"/>
    </xf>
    <xf numFmtId="0" fontId="8" fillId="8" borderId="32" xfId="0" applyFont="1" applyFill="1" applyBorder="1" applyAlignment="1" applyProtection="1">
      <alignment horizontal="center" vertical="center" shrinkToFit="1"/>
      <protection hidden="1"/>
    </xf>
    <xf numFmtId="0" fontId="25" fillId="0" borderId="22" xfId="0" applyFont="1" applyBorder="1" applyProtection="1">
      <alignment vertical="center"/>
      <protection hidden="1"/>
    </xf>
    <xf numFmtId="0" fontId="3" fillId="3" borderId="99" xfId="0" applyFont="1" applyFill="1" applyBorder="1" applyAlignment="1" applyProtection="1">
      <alignment horizontal="left" vertical="center" wrapText="1"/>
      <protection hidden="1"/>
    </xf>
    <xf numFmtId="0" fontId="3" fillId="3" borderId="95" xfId="0" applyFont="1" applyFill="1" applyBorder="1" applyAlignment="1" applyProtection="1">
      <alignment horizontal="center" vertical="center" wrapText="1"/>
      <protection hidden="1"/>
    </xf>
    <xf numFmtId="0" fontId="3" fillId="3" borderId="118" xfId="0" applyFont="1" applyFill="1" applyBorder="1" applyAlignment="1" applyProtection="1">
      <alignment horizontal="left" vertical="center" wrapText="1"/>
      <protection hidden="1"/>
    </xf>
    <xf numFmtId="0" fontId="3" fillId="3" borderId="119" xfId="0" applyFont="1" applyFill="1" applyBorder="1" applyAlignment="1" applyProtection="1">
      <alignment horizontal="center" vertical="center" wrapText="1"/>
      <protection hidden="1"/>
    </xf>
    <xf numFmtId="176" fontId="15" fillId="3" borderId="36" xfId="0" applyNumberFormat="1" applyFont="1" applyFill="1" applyBorder="1" applyAlignment="1" applyProtection="1">
      <alignment horizontal="center" vertical="center"/>
      <protection hidden="1"/>
    </xf>
    <xf numFmtId="41" fontId="13" fillId="0" borderId="47" xfId="1" applyFont="1" applyFill="1" applyBorder="1" applyAlignment="1" applyProtection="1">
      <alignment horizontal="center" vertical="center"/>
      <protection hidden="1"/>
    </xf>
    <xf numFmtId="0" fontId="3" fillId="3" borderId="217" xfId="0" applyFont="1" applyFill="1" applyBorder="1" applyAlignment="1" applyProtection="1">
      <alignment horizontal="left" vertical="center" wrapText="1"/>
      <protection hidden="1"/>
    </xf>
    <xf numFmtId="0" fontId="3" fillId="3" borderId="218" xfId="0" applyFont="1" applyFill="1" applyBorder="1" applyAlignment="1" applyProtection="1">
      <alignment horizontal="center" vertical="center" wrapText="1"/>
      <protection hidden="1"/>
    </xf>
    <xf numFmtId="41" fontId="3" fillId="3" borderId="95" xfId="1" applyFont="1" applyFill="1" applyBorder="1" applyAlignment="1" applyProtection="1">
      <alignment horizontal="center" vertical="center" wrapText="1"/>
      <protection hidden="1"/>
    </xf>
    <xf numFmtId="181" fontId="15" fillId="3" borderId="43" xfId="0" applyNumberFormat="1" applyFont="1" applyFill="1" applyBorder="1" applyAlignment="1" applyProtection="1">
      <alignment horizontal="center" vertical="center"/>
      <protection hidden="1"/>
    </xf>
    <xf numFmtId="0" fontId="8" fillId="9" borderId="69" xfId="0" applyFont="1" applyFill="1" applyBorder="1" applyAlignment="1" applyProtection="1">
      <alignment horizontal="center" vertical="center" shrinkToFit="1"/>
      <protection hidden="1"/>
    </xf>
    <xf numFmtId="0" fontId="3" fillId="2" borderId="65" xfId="0" applyFont="1" applyFill="1" applyBorder="1" applyAlignment="1" applyProtection="1">
      <alignment horizontal="left" vertical="center" wrapText="1"/>
      <protection hidden="1"/>
    </xf>
    <xf numFmtId="0" fontId="3" fillId="2" borderId="61" xfId="0" applyFont="1" applyFill="1" applyBorder="1" applyAlignment="1" applyProtection="1">
      <alignment horizontal="center" vertical="center" wrapText="1"/>
      <protection hidden="1"/>
    </xf>
    <xf numFmtId="41" fontId="3" fillId="2" borderId="61" xfId="1" applyFont="1" applyFill="1" applyBorder="1" applyAlignment="1" applyProtection="1">
      <alignment horizontal="center" vertical="center" wrapText="1"/>
      <protection hidden="1"/>
    </xf>
    <xf numFmtId="181" fontId="15" fillId="2" borderId="56" xfId="0" applyNumberFormat="1" applyFont="1" applyFill="1" applyBorder="1" applyAlignment="1" applyProtection="1">
      <alignment horizontal="center" vertical="center"/>
      <protection hidden="1"/>
    </xf>
    <xf numFmtId="0" fontId="8" fillId="16" borderId="107" xfId="0" applyFont="1" applyFill="1" applyBorder="1" applyAlignment="1" applyProtection="1">
      <alignment horizontal="center" vertical="center" shrinkToFit="1"/>
      <protection hidden="1"/>
    </xf>
    <xf numFmtId="0" fontId="31" fillId="0" borderId="27" xfId="0" applyFont="1" applyBorder="1" applyAlignment="1" applyProtection="1">
      <alignment horizontal="left" vertical="center"/>
      <protection hidden="1"/>
    </xf>
    <xf numFmtId="0" fontId="31" fillId="0" borderId="54" xfId="0" applyFont="1" applyBorder="1" applyAlignment="1" applyProtection="1">
      <alignment horizontal="left" vertical="center"/>
      <protection hidden="1"/>
    </xf>
    <xf numFmtId="0" fontId="3" fillId="2" borderId="7" xfId="0" applyFont="1" applyFill="1" applyBorder="1" applyAlignment="1" applyProtection="1">
      <alignment horizontal="left" vertical="center" wrapText="1"/>
      <protection hidden="1"/>
    </xf>
    <xf numFmtId="41" fontId="3" fillId="2" borderId="2" xfId="1" applyFont="1" applyFill="1" applyBorder="1" applyAlignment="1" applyProtection="1">
      <alignment horizontal="center" vertical="center" wrapText="1"/>
      <protection hidden="1"/>
    </xf>
    <xf numFmtId="181" fontId="15" fillId="2" borderId="36" xfId="0" applyNumberFormat="1" applyFont="1" applyFill="1" applyBorder="1" applyAlignment="1" applyProtection="1">
      <alignment horizontal="center" vertical="center"/>
      <protection hidden="1"/>
    </xf>
    <xf numFmtId="0" fontId="8" fillId="16" borderId="103" xfId="0" applyFont="1" applyFill="1" applyBorder="1" applyAlignment="1" applyProtection="1">
      <alignment horizontal="center" vertical="center" shrinkToFit="1"/>
      <protection hidden="1"/>
    </xf>
    <xf numFmtId="41" fontId="3" fillId="2" borderId="2" xfId="0" applyNumberFormat="1" applyFont="1" applyFill="1" applyBorder="1" applyAlignment="1" applyProtection="1">
      <alignment horizontal="center" vertical="center" wrapText="1"/>
      <protection hidden="1"/>
    </xf>
    <xf numFmtId="0" fontId="8" fillId="16" borderId="32" xfId="0" applyFont="1" applyFill="1" applyBorder="1" applyAlignment="1" applyProtection="1">
      <alignment horizontal="center" vertical="center" shrinkToFit="1"/>
      <protection hidden="1"/>
    </xf>
    <xf numFmtId="0" fontId="3" fillId="2" borderId="66" xfId="0" applyFont="1" applyFill="1" applyBorder="1" applyAlignment="1" applyProtection="1">
      <alignment horizontal="left" vertical="center" wrapText="1"/>
      <protection hidden="1"/>
    </xf>
    <xf numFmtId="0" fontId="3" fillId="2" borderId="63" xfId="0" applyFont="1" applyFill="1" applyBorder="1" applyAlignment="1" applyProtection="1">
      <alignment horizontal="center" vertical="center" wrapText="1"/>
      <protection hidden="1"/>
    </xf>
    <xf numFmtId="41" fontId="3" fillId="2" borderId="63" xfId="1" applyFont="1" applyFill="1" applyBorder="1" applyAlignment="1" applyProtection="1">
      <alignment horizontal="center" vertical="center" wrapText="1"/>
      <protection hidden="1"/>
    </xf>
    <xf numFmtId="0" fontId="8" fillId="0" borderId="47" xfId="0" applyFont="1" applyBorder="1" applyAlignment="1" applyProtection="1">
      <alignment horizontal="center" vertical="center" shrinkToFit="1"/>
      <protection hidden="1"/>
    </xf>
    <xf numFmtId="0" fontId="3" fillId="4" borderId="65" xfId="0" applyFont="1" applyFill="1" applyBorder="1" applyAlignment="1" applyProtection="1">
      <alignment horizontal="left" vertical="center" wrapText="1"/>
      <protection hidden="1"/>
    </xf>
    <xf numFmtId="0" fontId="3" fillId="4" borderId="61" xfId="0" applyFont="1" applyFill="1" applyBorder="1" applyAlignment="1" applyProtection="1">
      <alignment horizontal="center" vertical="center" wrapText="1"/>
      <protection hidden="1"/>
    </xf>
    <xf numFmtId="41" fontId="3" fillId="4" borderId="61" xfId="1" applyFont="1" applyFill="1" applyBorder="1" applyAlignment="1" applyProtection="1">
      <alignment horizontal="center" vertical="center" wrapText="1"/>
      <protection hidden="1"/>
    </xf>
    <xf numFmtId="181" fontId="15" fillId="4" borderId="56" xfId="0" applyNumberFormat="1" applyFont="1" applyFill="1" applyBorder="1" applyAlignment="1" applyProtection="1">
      <alignment horizontal="center" vertical="center"/>
      <protection hidden="1"/>
    </xf>
    <xf numFmtId="0" fontId="8" fillId="12" borderId="107" xfId="0" applyFont="1" applyFill="1" applyBorder="1" applyAlignment="1" applyProtection="1">
      <alignment horizontal="center" vertical="center" shrinkToFit="1"/>
      <protection hidden="1"/>
    </xf>
    <xf numFmtId="0" fontId="3" fillId="4" borderId="7" xfId="0" applyFont="1" applyFill="1" applyBorder="1" applyAlignment="1" applyProtection="1">
      <alignment horizontal="left" vertical="center" wrapText="1"/>
      <protection hidden="1"/>
    </xf>
    <xf numFmtId="41" fontId="3" fillId="4" borderId="2" xfId="1" applyFont="1" applyFill="1" applyBorder="1" applyAlignment="1" applyProtection="1">
      <alignment horizontal="center" vertical="center" wrapText="1"/>
      <protection hidden="1"/>
    </xf>
    <xf numFmtId="181" fontId="15" fillId="4" borderId="36" xfId="0" applyNumberFormat="1" applyFont="1" applyFill="1" applyBorder="1" applyAlignment="1" applyProtection="1">
      <alignment horizontal="center" vertical="center"/>
      <protection hidden="1"/>
    </xf>
    <xf numFmtId="0" fontId="8" fillId="12" borderId="103" xfId="0" applyFont="1" applyFill="1" applyBorder="1" applyAlignment="1" applyProtection="1">
      <alignment horizontal="center" vertical="center" shrinkToFit="1"/>
      <protection hidden="1"/>
    </xf>
    <xf numFmtId="0" fontId="3" fillId="4" borderId="66" xfId="0" applyFont="1" applyFill="1" applyBorder="1" applyAlignment="1" applyProtection="1">
      <alignment horizontal="left" vertical="center" wrapText="1"/>
      <protection hidden="1"/>
    </xf>
    <xf numFmtId="0" fontId="3" fillId="4" borderId="63" xfId="0" applyFont="1" applyFill="1" applyBorder="1" applyAlignment="1" applyProtection="1">
      <alignment horizontal="center" vertical="center" wrapText="1"/>
      <protection hidden="1"/>
    </xf>
    <xf numFmtId="41" fontId="3" fillId="4" borderId="63" xfId="1" applyFont="1" applyFill="1" applyBorder="1" applyAlignment="1" applyProtection="1">
      <alignment horizontal="center" vertical="center" wrapText="1"/>
      <protection hidden="1"/>
    </xf>
    <xf numFmtId="41" fontId="25" fillId="0" borderId="74" xfId="0" applyNumberFormat="1" applyFont="1" applyBorder="1" applyAlignment="1" applyProtection="1">
      <alignment horizontal="center" vertical="center"/>
      <protection hidden="1"/>
    </xf>
    <xf numFmtId="0" fontId="3" fillId="3" borderId="55" xfId="0" applyFont="1" applyFill="1" applyBorder="1" applyAlignment="1" applyProtection="1">
      <alignment horizontal="left" vertical="center" wrapText="1"/>
      <protection hidden="1"/>
    </xf>
    <xf numFmtId="0" fontId="3" fillId="3" borderId="56" xfId="0" applyFont="1" applyFill="1" applyBorder="1" applyAlignment="1" applyProtection="1">
      <alignment horizontal="center" vertical="center" wrapText="1"/>
      <protection hidden="1"/>
    </xf>
    <xf numFmtId="0" fontId="16" fillId="9" borderId="25" xfId="0" applyFont="1" applyFill="1" applyBorder="1" applyAlignment="1" applyProtection="1">
      <alignment horizontal="center" vertical="center" shrinkToFit="1"/>
      <protection hidden="1"/>
    </xf>
    <xf numFmtId="0" fontId="3" fillId="3" borderId="35" xfId="0" applyFont="1" applyFill="1" applyBorder="1" applyAlignment="1" applyProtection="1">
      <alignment horizontal="left" vertical="center" wrapText="1"/>
      <protection hidden="1"/>
    </xf>
    <xf numFmtId="0" fontId="3" fillId="3" borderId="36" xfId="0" applyFont="1" applyFill="1" applyBorder="1" applyAlignment="1" applyProtection="1">
      <alignment horizontal="center" vertical="center" wrapText="1"/>
      <protection hidden="1"/>
    </xf>
    <xf numFmtId="0" fontId="16" fillId="9" borderId="32" xfId="0" applyFont="1" applyFill="1" applyBorder="1" applyAlignment="1" applyProtection="1">
      <alignment horizontal="center" vertical="center" shrinkToFit="1"/>
      <protection hidden="1"/>
    </xf>
    <xf numFmtId="0" fontId="0" fillId="13" borderId="87" xfId="0" applyFill="1" applyBorder="1" applyProtection="1">
      <alignment vertical="center"/>
      <protection hidden="1"/>
    </xf>
    <xf numFmtId="0" fontId="0" fillId="13" borderId="88" xfId="0" applyFill="1" applyBorder="1" applyProtection="1">
      <alignment vertical="center"/>
      <protection hidden="1"/>
    </xf>
    <xf numFmtId="0" fontId="26" fillId="0" borderId="54" xfId="0" applyFont="1" applyBorder="1" applyAlignment="1" applyProtection="1">
      <alignment horizontal="center" vertical="center"/>
      <protection hidden="1"/>
    </xf>
    <xf numFmtId="0" fontId="16" fillId="0" borderId="34" xfId="0" applyFont="1" applyBorder="1" applyAlignment="1" applyProtection="1">
      <alignment horizontal="center" vertical="center" shrinkToFit="1"/>
      <protection hidden="1"/>
    </xf>
    <xf numFmtId="0" fontId="16" fillId="0" borderId="57" xfId="0" applyFont="1" applyBorder="1" applyAlignment="1" applyProtection="1">
      <alignment horizontal="center" vertical="center" shrinkToFit="1"/>
      <protection hidden="1"/>
    </xf>
    <xf numFmtId="0" fontId="0" fillId="8" borderId="22" xfId="0" applyFill="1" applyBorder="1" applyProtection="1">
      <alignment vertical="center"/>
      <protection hidden="1"/>
    </xf>
    <xf numFmtId="0" fontId="0" fillId="8" borderId="23" xfId="0" applyFill="1" applyBorder="1" applyProtection="1">
      <alignment vertical="center"/>
      <protection hidden="1"/>
    </xf>
    <xf numFmtId="0" fontId="0" fillId="8" borderId="24" xfId="0" applyFill="1" applyBorder="1" applyProtection="1">
      <alignment vertical="center"/>
      <protection hidden="1"/>
    </xf>
    <xf numFmtId="0" fontId="25" fillId="0" borderId="48" xfId="0" applyFont="1" applyBorder="1" applyAlignment="1" applyProtection="1">
      <alignment horizontal="center" vertical="center"/>
      <protection hidden="1"/>
    </xf>
    <xf numFmtId="0" fontId="37" fillId="0" borderId="54" xfId="0" applyFont="1" applyBorder="1" applyProtection="1">
      <alignment vertical="center"/>
      <protection hidden="1"/>
    </xf>
    <xf numFmtId="49" fontId="15" fillId="0" borderId="34" xfId="4" applyNumberFormat="1" applyFont="1" applyBorder="1" applyAlignment="1" applyProtection="1">
      <alignment horizontal="center" vertical="center"/>
      <protection hidden="1"/>
    </xf>
    <xf numFmtId="49" fontId="15" fillId="0" borderId="57" xfId="4" applyNumberFormat="1" applyFont="1" applyBorder="1" applyAlignment="1" applyProtection="1">
      <alignment horizontal="center" vertical="center"/>
      <protection hidden="1"/>
    </xf>
    <xf numFmtId="0" fontId="3" fillId="3" borderId="60" xfId="0" applyFont="1" applyFill="1" applyBorder="1" applyAlignment="1" applyProtection="1">
      <alignment horizontal="left" vertical="center" wrapText="1"/>
      <protection hidden="1"/>
    </xf>
    <xf numFmtId="0" fontId="3" fillId="3" borderId="58" xfId="0" applyFont="1" applyFill="1" applyBorder="1" applyAlignment="1" applyProtection="1">
      <alignment horizontal="center" vertical="center" wrapText="1"/>
      <protection hidden="1"/>
    </xf>
    <xf numFmtId="41" fontId="3" fillId="3" borderId="63" xfId="1" applyFont="1" applyFill="1" applyBorder="1" applyAlignment="1" applyProtection="1">
      <alignment horizontal="center" vertical="center" wrapText="1"/>
      <protection hidden="1"/>
    </xf>
    <xf numFmtId="0" fontId="3" fillId="2" borderId="55" xfId="0" applyFont="1" applyFill="1" applyBorder="1" applyAlignment="1" applyProtection="1">
      <alignment horizontal="left" vertical="center" wrapText="1"/>
      <protection hidden="1"/>
    </xf>
    <xf numFmtId="0" fontId="3" fillId="2" borderId="56" xfId="0" applyFont="1" applyFill="1" applyBorder="1" applyAlignment="1" applyProtection="1">
      <alignment horizontal="center" vertical="center" wrapText="1"/>
      <protection hidden="1"/>
    </xf>
    <xf numFmtId="0" fontId="8" fillId="0" borderId="25" xfId="0" applyFont="1" applyBorder="1" applyAlignment="1" applyProtection="1">
      <alignment horizontal="center" vertical="center" shrinkToFit="1"/>
      <protection hidden="1"/>
    </xf>
    <xf numFmtId="0" fontId="3" fillId="2" borderId="35" xfId="0" applyFont="1" applyFill="1" applyBorder="1" applyAlignment="1" applyProtection="1">
      <alignment horizontal="left" vertical="center" wrapText="1"/>
      <protection hidden="1"/>
    </xf>
    <xf numFmtId="0" fontId="3" fillId="2" borderId="36" xfId="0" applyFont="1" applyFill="1" applyBorder="1" applyAlignment="1" applyProtection="1">
      <alignment horizontal="center" vertical="center" wrapText="1"/>
      <protection hidden="1"/>
    </xf>
    <xf numFmtId="41" fontId="3" fillId="2" borderId="36" xfId="0" applyNumberFormat="1" applyFont="1" applyFill="1" applyBorder="1" applyAlignment="1" applyProtection="1">
      <alignment horizontal="center" vertical="center" wrapText="1"/>
      <protection hidden="1"/>
    </xf>
    <xf numFmtId="0" fontId="16" fillId="16" borderId="32" xfId="0" applyFont="1" applyFill="1" applyBorder="1" applyAlignment="1" applyProtection="1">
      <alignment horizontal="center" vertical="center" shrinkToFit="1"/>
      <protection hidden="1"/>
    </xf>
    <xf numFmtId="0" fontId="3" fillId="4" borderId="55" xfId="0" applyFont="1" applyFill="1" applyBorder="1" applyAlignment="1" applyProtection="1">
      <alignment horizontal="left" vertical="center" wrapText="1"/>
      <protection hidden="1"/>
    </xf>
    <xf numFmtId="0" fontId="3" fillId="4" borderId="56" xfId="0" applyFont="1" applyFill="1" applyBorder="1" applyAlignment="1" applyProtection="1">
      <alignment horizontal="center" vertical="center" wrapText="1"/>
      <protection hidden="1"/>
    </xf>
    <xf numFmtId="0" fontId="3" fillId="4" borderId="35" xfId="0" applyFont="1" applyFill="1" applyBorder="1" applyAlignment="1" applyProtection="1">
      <alignment horizontal="left" vertical="center" wrapText="1"/>
      <protection hidden="1"/>
    </xf>
    <xf numFmtId="0" fontId="3" fillId="4" borderId="36" xfId="0" applyFont="1" applyFill="1" applyBorder="1" applyAlignment="1" applyProtection="1">
      <alignment horizontal="center" vertical="center" wrapText="1"/>
      <protection hidden="1"/>
    </xf>
    <xf numFmtId="41" fontId="7" fillId="6" borderId="11" xfId="1" applyFont="1" applyFill="1" applyBorder="1" applyAlignment="1" applyProtection="1">
      <alignment horizontal="center" vertical="center" shrinkToFit="1"/>
      <protection hidden="1"/>
    </xf>
    <xf numFmtId="41" fontId="7" fillId="3" borderId="11" xfId="1" applyFont="1" applyFill="1" applyBorder="1" applyAlignment="1" applyProtection="1">
      <alignment horizontal="center" vertical="center" shrinkToFit="1"/>
      <protection hidden="1"/>
    </xf>
    <xf numFmtId="0" fontId="0" fillId="0" borderId="0" xfId="0" applyAlignment="1" applyProtection="1">
      <alignment horizontal="left" vertical="center"/>
      <protection hidden="1"/>
    </xf>
    <xf numFmtId="0" fontId="16" fillId="12" borderId="32" xfId="0" applyFont="1" applyFill="1" applyBorder="1" applyAlignment="1" applyProtection="1">
      <alignment horizontal="center" vertical="center" shrinkToFit="1"/>
      <protection hidden="1"/>
    </xf>
    <xf numFmtId="0" fontId="3" fillId="4" borderId="60" xfId="0" applyFont="1" applyFill="1" applyBorder="1" applyAlignment="1" applyProtection="1">
      <alignment horizontal="left" vertical="center" wrapText="1"/>
      <protection hidden="1"/>
    </xf>
    <xf numFmtId="0" fontId="3" fillId="4" borderId="58" xfId="0" applyFont="1" applyFill="1" applyBorder="1" applyAlignment="1" applyProtection="1">
      <alignment horizontal="center" vertical="center" wrapText="1"/>
      <protection hidden="1"/>
    </xf>
    <xf numFmtId="41" fontId="11" fillId="0" borderId="0" xfId="1" applyFont="1" applyProtection="1">
      <alignment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center" vertical="center" shrinkToFit="1"/>
      <protection hidden="1"/>
    </xf>
    <xf numFmtId="41" fontId="8" fillId="0" borderId="70" xfId="1" applyFont="1" applyFill="1" applyBorder="1" applyProtection="1">
      <alignment vertical="center"/>
      <protection locked="0"/>
    </xf>
    <xf numFmtId="41" fontId="8" fillId="0" borderId="31" xfId="1" applyFont="1" applyFill="1" applyBorder="1" applyProtection="1">
      <alignment vertical="center"/>
      <protection locked="0"/>
    </xf>
    <xf numFmtId="9" fontId="8" fillId="6" borderId="34" xfId="2" applyFont="1" applyFill="1" applyBorder="1" applyAlignment="1" applyProtection="1">
      <alignment horizontal="center" vertical="center" shrinkToFit="1"/>
      <protection locked="0"/>
    </xf>
    <xf numFmtId="9" fontId="8" fillId="9" borderId="45" xfId="2" applyFont="1" applyFill="1" applyBorder="1" applyAlignment="1" applyProtection="1">
      <alignment horizontal="center" vertical="center" shrinkToFit="1"/>
      <protection locked="0"/>
    </xf>
    <xf numFmtId="41" fontId="8" fillId="9" borderId="46" xfId="1" applyFont="1" applyFill="1" applyBorder="1" applyAlignment="1" applyProtection="1">
      <alignment horizontal="center" vertical="center" shrinkToFit="1"/>
      <protection locked="0"/>
    </xf>
    <xf numFmtId="41" fontId="8" fillId="0" borderId="48" xfId="1" applyFont="1" applyFill="1" applyBorder="1" applyProtection="1">
      <alignment vertical="center"/>
      <protection locked="0"/>
    </xf>
    <xf numFmtId="41" fontId="8" fillId="6" borderId="48" xfId="1" applyFont="1" applyFill="1" applyBorder="1" applyProtection="1">
      <alignment vertical="center"/>
      <protection locked="0"/>
    </xf>
    <xf numFmtId="41" fontId="8" fillId="6" borderId="27" xfId="1" applyFont="1" applyFill="1" applyBorder="1" applyProtection="1">
      <alignment vertical="center"/>
      <protection locked="0"/>
    </xf>
    <xf numFmtId="41" fontId="8" fillId="6" borderId="44" xfId="1" applyFont="1" applyFill="1" applyBorder="1" applyProtection="1">
      <alignment vertical="center"/>
      <protection locked="0"/>
    </xf>
    <xf numFmtId="41" fontId="8" fillId="6" borderId="54" xfId="1" applyFont="1" applyFill="1" applyBorder="1" applyProtection="1">
      <alignment vertical="center"/>
      <protection locked="0"/>
    </xf>
    <xf numFmtId="41" fontId="8" fillId="6" borderId="34" xfId="1" applyFont="1" applyFill="1" applyBorder="1" applyProtection="1">
      <alignment vertical="center"/>
      <protection locked="0"/>
    </xf>
    <xf numFmtId="41" fontId="8" fillId="6" borderId="31" xfId="1" applyFont="1" applyFill="1" applyBorder="1" applyProtection="1">
      <alignment vertical="center"/>
      <protection locked="0"/>
    </xf>
    <xf numFmtId="41" fontId="8" fillId="6" borderId="57" xfId="1" applyFont="1" applyFill="1" applyBorder="1" applyProtection="1">
      <alignment vertical="center"/>
      <protection locked="0"/>
    </xf>
    <xf numFmtId="176" fontId="8" fillId="6" borderId="45" xfId="1" applyNumberFormat="1" applyFont="1" applyFill="1" applyBorder="1" applyAlignment="1" applyProtection="1">
      <alignment horizontal="center" vertical="center" shrinkToFit="1"/>
      <protection locked="0"/>
    </xf>
    <xf numFmtId="41" fontId="8" fillId="0" borderId="33" xfId="1" applyFont="1" applyFill="1" applyBorder="1" applyAlignment="1" applyProtection="1">
      <alignment horizontal="center" vertical="center" shrinkToFit="1"/>
      <protection locked="0"/>
    </xf>
    <xf numFmtId="41" fontId="8" fillId="0" borderId="38" xfId="1" applyFont="1" applyFill="1" applyBorder="1" applyAlignment="1" applyProtection="1">
      <alignment horizontal="center" vertical="center" shrinkToFit="1"/>
      <protection locked="0"/>
    </xf>
    <xf numFmtId="176" fontId="8" fillId="6" borderId="40" xfId="1" applyNumberFormat="1" applyFont="1" applyFill="1" applyBorder="1" applyAlignment="1" applyProtection="1">
      <alignment horizontal="center" vertical="center" shrinkToFit="1"/>
      <protection locked="0"/>
    </xf>
    <xf numFmtId="179" fontId="8" fillId="6" borderId="30" xfId="0" applyNumberFormat="1" applyFont="1" applyFill="1" applyBorder="1" applyAlignment="1" applyProtection="1">
      <alignment horizontal="center" vertical="center"/>
      <protection locked="0"/>
    </xf>
    <xf numFmtId="176" fontId="8" fillId="6" borderId="46" xfId="1" applyNumberFormat="1" applyFont="1" applyFill="1" applyBorder="1" applyAlignment="1" applyProtection="1">
      <alignment horizontal="center" vertical="center" shrinkToFit="1"/>
      <protection locked="0"/>
    </xf>
    <xf numFmtId="180" fontId="8" fillId="6" borderId="49" xfId="1" applyNumberFormat="1" applyFont="1" applyFill="1" applyBorder="1" applyAlignment="1" applyProtection="1">
      <alignment horizontal="center" vertical="center" shrinkToFit="1"/>
      <protection locked="0"/>
    </xf>
    <xf numFmtId="181" fontId="8" fillId="6" borderId="26" xfId="1" applyNumberFormat="1" applyFont="1" applyFill="1" applyBorder="1" applyAlignment="1" applyProtection="1">
      <alignment horizontal="center" vertical="center" shrinkToFit="1"/>
      <protection locked="0"/>
    </xf>
    <xf numFmtId="41" fontId="8" fillId="6" borderId="53" xfId="1" applyFont="1" applyFill="1" applyBorder="1" applyAlignment="1" applyProtection="1">
      <alignment horizontal="center" vertical="center" shrinkToFit="1"/>
      <protection locked="0"/>
    </xf>
    <xf numFmtId="177" fontId="8" fillId="7" borderId="56" xfId="0" applyNumberFormat="1" applyFont="1" applyFill="1" applyBorder="1" applyProtection="1">
      <alignment vertical="center"/>
      <protection locked="0"/>
    </xf>
    <xf numFmtId="177" fontId="8" fillId="6" borderId="58" xfId="0" applyNumberFormat="1" applyFont="1" applyFill="1" applyBorder="1" applyProtection="1">
      <alignment vertical="center"/>
      <protection locked="0"/>
    </xf>
    <xf numFmtId="0" fontId="8" fillId="0" borderId="72" xfId="0" applyFont="1" applyBorder="1" applyAlignment="1" applyProtection="1">
      <alignment horizontal="center" vertical="center" shrinkToFit="1"/>
      <protection locked="0"/>
    </xf>
    <xf numFmtId="178" fontId="14" fillId="6" borderId="32" xfId="0" applyNumberFormat="1" applyFont="1" applyFill="1" applyBorder="1" applyAlignment="1" applyProtection="1">
      <alignment horizontal="center" vertical="center" shrinkToFit="1"/>
      <protection locked="0"/>
    </xf>
    <xf numFmtId="0" fontId="14" fillId="6" borderId="32" xfId="0" applyFont="1" applyFill="1" applyBorder="1" applyAlignment="1" applyProtection="1">
      <alignment horizontal="center" vertical="center" shrinkToFit="1"/>
      <protection locked="0"/>
    </xf>
    <xf numFmtId="0" fontId="8" fillId="0" borderId="73"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shrinkToFit="1"/>
      <protection locked="0"/>
    </xf>
    <xf numFmtId="41" fontId="13" fillId="6" borderId="54" xfId="1" applyFont="1" applyFill="1" applyBorder="1" applyProtection="1">
      <alignment vertical="center"/>
      <protection locked="0"/>
    </xf>
    <xf numFmtId="41" fontId="13" fillId="6" borderId="34" xfId="1" applyFont="1" applyFill="1" applyBorder="1" applyProtection="1">
      <alignment vertical="center"/>
      <protection locked="0"/>
    </xf>
    <xf numFmtId="181" fontId="8" fillId="6" borderId="31" xfId="1" applyNumberFormat="1" applyFont="1" applyFill="1" applyBorder="1" applyAlignment="1" applyProtection="1">
      <alignment horizontal="center" vertical="center" shrinkToFit="1"/>
      <protection locked="0"/>
    </xf>
    <xf numFmtId="41" fontId="13" fillId="6" borderId="57" xfId="1" applyFont="1" applyFill="1" applyBorder="1" applyProtection="1">
      <alignment vertical="center"/>
      <protection locked="0"/>
    </xf>
    <xf numFmtId="181" fontId="8" fillId="6" borderId="228" xfId="1" applyNumberFormat="1" applyFont="1" applyFill="1" applyBorder="1" applyAlignment="1" applyProtection="1">
      <alignment horizontal="center" vertical="center" shrinkToFit="1"/>
      <protection locked="0"/>
    </xf>
    <xf numFmtId="181" fontId="8" fillId="6" borderId="33" xfId="1" applyNumberFormat="1" applyFont="1" applyFill="1" applyBorder="1" applyAlignment="1" applyProtection="1">
      <alignment horizontal="center" vertical="center" shrinkToFit="1"/>
      <protection locked="0"/>
    </xf>
    <xf numFmtId="181" fontId="8" fillId="6" borderId="40" xfId="1" applyNumberFormat="1" applyFont="1" applyFill="1" applyBorder="1" applyAlignment="1" applyProtection="1">
      <alignment horizontal="center" vertical="center" shrinkToFit="1"/>
      <protection locked="0"/>
    </xf>
    <xf numFmtId="181" fontId="8" fillId="6" borderId="46" xfId="1" applyNumberFormat="1" applyFont="1" applyFill="1" applyBorder="1" applyAlignment="1" applyProtection="1">
      <alignment horizontal="center" vertical="center" shrinkToFit="1"/>
      <protection locked="0"/>
    </xf>
    <xf numFmtId="181" fontId="15" fillId="3" borderId="56" xfId="0" applyNumberFormat="1" applyFont="1" applyFill="1" applyBorder="1" applyAlignment="1" applyProtection="1">
      <alignment horizontal="center" vertical="center"/>
      <protection locked="0"/>
    </xf>
    <xf numFmtId="181" fontId="15" fillId="3" borderId="36" xfId="0" applyNumberFormat="1"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181" fontId="15" fillId="3" borderId="58" xfId="0" applyNumberFormat="1" applyFont="1" applyFill="1" applyBorder="1" applyAlignment="1" applyProtection="1">
      <alignment horizontal="center" vertical="center"/>
      <protection locked="0"/>
    </xf>
    <xf numFmtId="181" fontId="15" fillId="2" borderId="56" xfId="0" applyNumberFormat="1" applyFont="1" applyFill="1" applyBorder="1" applyAlignment="1" applyProtection="1">
      <alignment horizontal="center" vertical="center"/>
      <protection locked="0"/>
    </xf>
    <xf numFmtId="181" fontId="15" fillId="2" borderId="36" xfId="0" applyNumberFormat="1"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181" fontId="15" fillId="4" borderId="56" xfId="0" applyNumberFormat="1" applyFont="1" applyFill="1" applyBorder="1" applyAlignment="1" applyProtection="1">
      <alignment horizontal="center" vertical="center"/>
      <protection locked="0"/>
    </xf>
    <xf numFmtId="181" fontId="15" fillId="4" borderId="36" xfId="0" applyNumberFormat="1" applyFont="1" applyFill="1" applyBorder="1" applyAlignment="1" applyProtection="1">
      <alignment horizontal="center" vertical="center"/>
      <protection locked="0"/>
    </xf>
    <xf numFmtId="181" fontId="15" fillId="4" borderId="58" xfId="0" applyNumberFormat="1" applyFont="1" applyFill="1" applyBorder="1" applyAlignment="1" applyProtection="1">
      <alignment horizontal="center" vertical="center"/>
      <protection locked="0"/>
    </xf>
    <xf numFmtId="183" fontId="38" fillId="6" borderId="92" xfId="2" applyNumberFormat="1" applyFont="1" applyFill="1" applyBorder="1" applyAlignment="1" applyProtection="1">
      <alignment horizontal="center" vertical="center"/>
      <protection locked="0"/>
    </xf>
    <xf numFmtId="181" fontId="33" fillId="4" borderId="40" xfId="0" applyNumberFormat="1" applyFont="1" applyFill="1" applyBorder="1" applyAlignment="1" applyProtection="1">
      <alignment horizontal="center" vertical="center"/>
      <protection locked="0"/>
    </xf>
    <xf numFmtId="0" fontId="8" fillId="0" borderId="89" xfId="3" applyFont="1" applyBorder="1" applyAlignment="1" applyProtection="1">
      <alignment horizontal="left" vertical="center" shrinkToFit="1"/>
      <protection locked="0"/>
    </xf>
    <xf numFmtId="184" fontId="27" fillId="6" borderId="29" xfId="0" applyNumberFormat="1" applyFont="1" applyFill="1" applyBorder="1" applyAlignment="1" applyProtection="1">
      <alignment horizontal="center" vertical="center"/>
      <protection locked="0"/>
    </xf>
    <xf numFmtId="186" fontId="27" fillId="6" borderId="59" xfId="0" applyNumberFormat="1" applyFont="1" applyFill="1" applyBorder="1" applyAlignment="1" applyProtection="1">
      <alignment horizontal="center" vertical="center"/>
      <protection locked="0"/>
    </xf>
    <xf numFmtId="186" fontId="27" fillId="6" borderId="32" xfId="0" applyNumberFormat="1" applyFont="1" applyFill="1" applyBorder="1" applyAlignment="1" applyProtection="1">
      <alignment horizontal="center" vertical="center"/>
      <protection locked="0"/>
    </xf>
    <xf numFmtId="186" fontId="27" fillId="6" borderId="47" xfId="0" applyNumberFormat="1" applyFont="1" applyFill="1" applyBorder="1" applyAlignment="1" applyProtection="1">
      <alignment horizontal="center" vertical="center"/>
      <protection locked="0"/>
    </xf>
    <xf numFmtId="0" fontId="53" fillId="0" borderId="0" xfId="0" applyFont="1" applyAlignment="1" applyProtection="1">
      <alignment horizontal="center" vertical="center"/>
      <protection hidden="1"/>
    </xf>
    <xf numFmtId="9" fontId="0" fillId="0" borderId="74" xfId="0" applyNumberFormat="1" applyBorder="1" applyAlignment="1" applyProtection="1">
      <alignment horizontal="center" vertical="center"/>
      <protection hidden="1"/>
    </xf>
    <xf numFmtId="0" fontId="75" fillId="0" borderId="164" xfId="0" applyFont="1" applyBorder="1" applyAlignment="1" applyProtection="1">
      <alignment horizontal="center" vertical="center" wrapText="1"/>
      <protection hidden="1"/>
    </xf>
    <xf numFmtId="0" fontId="75" fillId="0" borderId="48" xfId="0" applyFont="1" applyBorder="1" applyAlignment="1" applyProtection="1">
      <alignment horizontal="center" vertical="center" wrapText="1"/>
      <protection hidden="1"/>
    </xf>
    <xf numFmtId="0" fontId="75" fillId="0" borderId="51" xfId="0" applyFont="1" applyBorder="1" applyAlignment="1" applyProtection="1">
      <alignment horizontal="center" vertical="center" wrapText="1"/>
      <protection hidden="1"/>
    </xf>
    <xf numFmtId="0" fontId="75" fillId="0" borderId="52" xfId="0" applyFont="1" applyBorder="1" applyAlignment="1" applyProtection="1">
      <alignment horizontal="center" vertical="center" wrapText="1"/>
      <protection hidden="1"/>
    </xf>
    <xf numFmtId="0" fontId="39" fillId="0" borderId="49" xfId="0" applyFont="1" applyBorder="1" applyAlignment="1" applyProtection="1">
      <alignment horizontal="center" vertical="center" wrapText="1"/>
      <protection hidden="1"/>
    </xf>
    <xf numFmtId="0" fontId="75" fillId="0" borderId="50" xfId="0" applyFont="1" applyBorder="1" applyAlignment="1" applyProtection="1">
      <alignment horizontal="center" vertical="center" wrapText="1"/>
      <protection hidden="1"/>
    </xf>
    <xf numFmtId="191" fontId="3" fillId="0" borderId="0" xfId="0" applyNumberFormat="1" applyFont="1" applyAlignment="1" applyProtection="1">
      <alignment horizontal="right" vertical="center" wrapText="1"/>
      <protection hidden="1"/>
    </xf>
    <xf numFmtId="0" fontId="26" fillId="0" borderId="205" xfId="0" applyFont="1" applyBorder="1" applyAlignment="1" applyProtection="1">
      <alignment horizontal="center" vertical="center"/>
      <protection hidden="1"/>
    </xf>
    <xf numFmtId="191" fontId="79" fillId="0" borderId="0" xfId="0" applyNumberFormat="1" applyFont="1" applyAlignment="1" applyProtection="1">
      <alignment horizontal="right" vertical="center" wrapText="1"/>
      <protection hidden="1"/>
    </xf>
    <xf numFmtId="41" fontId="30" fillId="0" borderId="26" xfId="1" applyFont="1" applyBorder="1" applyProtection="1">
      <alignment vertical="center"/>
      <protection locked="0"/>
    </xf>
    <xf numFmtId="41" fontId="30" fillId="0" borderId="89" xfId="1" applyFont="1" applyBorder="1" applyProtection="1">
      <alignment vertical="center"/>
      <protection locked="0"/>
    </xf>
    <xf numFmtId="0" fontId="77" fillId="0" borderId="34" xfId="0" applyFont="1" applyBorder="1" applyProtection="1">
      <alignment vertical="center"/>
      <protection locked="0"/>
    </xf>
    <xf numFmtId="41" fontId="13" fillId="0" borderId="215" xfId="1" applyFont="1" applyBorder="1" applyProtection="1">
      <alignment vertical="center"/>
      <protection locked="0"/>
    </xf>
    <xf numFmtId="41" fontId="30" fillId="0" borderId="210" xfId="1" applyFont="1" applyBorder="1" applyProtection="1">
      <alignment vertical="center"/>
      <protection locked="0"/>
    </xf>
    <xf numFmtId="0" fontId="0" fillId="0" borderId="209" xfId="0" applyBorder="1" applyProtection="1">
      <alignment vertical="center"/>
      <protection locked="0"/>
    </xf>
    <xf numFmtId="0" fontId="56" fillId="11" borderId="0" xfId="8" applyFont="1" applyFill="1" applyAlignment="1" applyProtection="1">
      <alignment horizontal="justify" vertical="center"/>
      <protection hidden="1"/>
    </xf>
    <xf numFmtId="0" fontId="32" fillId="11" borderId="0" xfId="8" applyFill="1" applyProtection="1">
      <protection hidden="1"/>
    </xf>
    <xf numFmtId="0" fontId="32" fillId="0" borderId="0" xfId="8" applyProtection="1">
      <protection hidden="1"/>
    </xf>
    <xf numFmtId="0" fontId="57" fillId="17" borderId="126" xfId="8" applyFont="1" applyFill="1" applyBorder="1" applyAlignment="1" applyProtection="1">
      <alignment vertical="center" wrapText="1"/>
      <protection hidden="1"/>
    </xf>
    <xf numFmtId="14" fontId="58" fillId="17" borderId="125" xfId="8" applyNumberFormat="1" applyFont="1" applyFill="1" applyBorder="1" applyAlignment="1" applyProtection="1">
      <alignment horizontal="center" vertical="center" wrapText="1"/>
      <protection hidden="1"/>
    </xf>
    <xf numFmtId="0" fontId="58" fillId="0" borderId="132" xfId="8" applyFont="1" applyBorder="1" applyAlignment="1" applyProtection="1">
      <alignment vertical="center" wrapText="1"/>
      <protection hidden="1"/>
    </xf>
    <xf numFmtId="0" fontId="58" fillId="0" borderId="133" xfId="8" applyFont="1" applyBorder="1" applyAlignment="1" applyProtection="1">
      <alignment vertical="center" wrapText="1"/>
      <protection hidden="1"/>
    </xf>
    <xf numFmtId="0" fontId="58" fillId="0" borderId="134" xfId="8" applyFont="1" applyBorder="1" applyAlignment="1" applyProtection="1">
      <alignment horizontal="center" vertical="center" wrapText="1"/>
      <protection hidden="1"/>
    </xf>
    <xf numFmtId="0" fontId="58" fillId="0" borderId="137" xfId="8" applyFont="1" applyBorder="1" applyAlignment="1" applyProtection="1">
      <alignment vertical="center" wrapText="1"/>
      <protection hidden="1"/>
    </xf>
    <xf numFmtId="0" fontId="58" fillId="0" borderId="138" xfId="8" applyFont="1" applyBorder="1" applyAlignment="1" applyProtection="1">
      <alignment vertical="center" wrapText="1"/>
      <protection hidden="1"/>
    </xf>
    <xf numFmtId="0" fontId="58" fillId="0" borderId="139" xfId="8" applyFont="1" applyBorder="1" applyAlignment="1" applyProtection="1">
      <alignment horizontal="center" vertical="center" wrapText="1"/>
      <protection hidden="1"/>
    </xf>
    <xf numFmtId="0" fontId="57" fillId="0" borderId="86" xfId="8" applyFont="1" applyBorder="1" applyAlignment="1" applyProtection="1">
      <alignment horizontal="left" vertical="center" wrapText="1"/>
      <protection hidden="1"/>
    </xf>
    <xf numFmtId="0" fontId="61" fillId="0" borderId="175" xfId="8" applyFont="1" applyBorder="1" applyAlignment="1" applyProtection="1">
      <alignment horizontal="center" vertical="center" wrapText="1"/>
      <protection hidden="1"/>
    </xf>
    <xf numFmtId="0" fontId="61" fillId="0" borderId="177" xfId="8" applyFont="1" applyBorder="1" applyAlignment="1" applyProtection="1">
      <alignment horizontal="center" vertical="center" wrapText="1"/>
      <protection hidden="1"/>
    </xf>
    <xf numFmtId="0" fontId="56" fillId="8" borderId="179" xfId="8" applyFont="1" applyFill="1" applyBorder="1" applyAlignment="1" applyProtection="1">
      <alignment horizontal="justify" vertical="center"/>
      <protection hidden="1"/>
    </xf>
    <xf numFmtId="0" fontId="56" fillId="8" borderId="180" xfId="8" applyFont="1" applyFill="1" applyBorder="1" applyAlignment="1" applyProtection="1">
      <alignment horizontal="justify" vertical="center"/>
      <protection hidden="1"/>
    </xf>
    <xf numFmtId="0" fontId="32" fillId="8" borderId="180" xfId="8" applyFill="1" applyBorder="1" applyProtection="1">
      <protection hidden="1"/>
    </xf>
    <xf numFmtId="0" fontId="32" fillId="8" borderId="181" xfId="8" applyFill="1" applyBorder="1" applyProtection="1">
      <protection hidden="1"/>
    </xf>
    <xf numFmtId="0" fontId="58" fillId="17" borderId="185" xfId="8" applyFont="1" applyFill="1" applyBorder="1" applyAlignment="1" applyProtection="1">
      <alignment horizontal="justify" vertical="center" wrapText="1"/>
      <protection hidden="1"/>
    </xf>
    <xf numFmtId="0" fontId="58" fillId="17" borderId="178" xfId="8" applyFont="1" applyFill="1" applyBorder="1" applyAlignment="1" applyProtection="1">
      <alignment horizontal="justify" vertical="center" wrapText="1"/>
      <protection hidden="1"/>
    </xf>
    <xf numFmtId="0" fontId="58" fillId="17" borderId="126" xfId="8" applyFont="1" applyFill="1" applyBorder="1" applyAlignment="1" applyProtection="1">
      <alignment vertical="center" wrapText="1"/>
      <protection hidden="1"/>
    </xf>
    <xf numFmtId="0" fontId="58" fillId="0" borderId="189" xfId="8" applyFont="1" applyBorder="1" applyAlignment="1" applyProtection="1">
      <alignment horizontal="center" vertical="center" wrapText="1"/>
      <protection hidden="1"/>
    </xf>
    <xf numFmtId="0" fontId="58" fillId="0" borderId="191" xfId="8" applyFont="1" applyBorder="1" applyAlignment="1" applyProtection="1">
      <alignment horizontal="center" vertical="center" wrapText="1"/>
      <protection hidden="1"/>
    </xf>
    <xf numFmtId="0" fontId="60" fillId="8" borderId="194" xfId="8" quotePrefix="1" applyFont="1" applyFill="1" applyBorder="1" applyAlignment="1" applyProtection="1">
      <alignment horizontal="right" vertical="center" wrapText="1"/>
      <protection hidden="1"/>
    </xf>
    <xf numFmtId="0" fontId="64" fillId="8" borderId="0" xfId="8" quotePrefix="1" applyFont="1" applyFill="1" applyAlignment="1" applyProtection="1">
      <alignment horizontal="right" vertical="center" wrapText="1"/>
      <protection hidden="1"/>
    </xf>
    <xf numFmtId="0" fontId="57" fillId="8" borderId="195" xfId="8" applyFont="1" applyFill="1" applyBorder="1" applyAlignment="1" applyProtection="1">
      <alignment horizontal="left" vertical="center" wrapText="1"/>
      <protection hidden="1"/>
    </xf>
    <xf numFmtId="0" fontId="29" fillId="0" borderId="80" xfId="0" applyFont="1" applyBorder="1" applyAlignment="1">
      <alignment horizontal="center" vertical="center"/>
    </xf>
    <xf numFmtId="0" fontId="29" fillId="0" borderId="81" xfId="0" applyFont="1" applyBorder="1" applyAlignment="1">
      <alignment horizontal="center" vertical="center"/>
    </xf>
    <xf numFmtId="0" fontId="77" fillId="0" borderId="214" xfId="0" applyFont="1" applyBorder="1" applyProtection="1">
      <alignment vertical="center"/>
      <protection locked="0"/>
    </xf>
    <xf numFmtId="9" fontId="25" fillId="9" borderId="49" xfId="2" applyFont="1" applyFill="1" applyBorder="1" applyAlignment="1" applyProtection="1">
      <alignment horizontal="center" vertical="center"/>
      <protection locked="0"/>
    </xf>
    <xf numFmtId="41" fontId="25" fillId="0" borderId="18" xfId="0" applyNumberFormat="1" applyFont="1" applyBorder="1" applyProtection="1">
      <alignment vertical="center"/>
      <protection hidden="1"/>
    </xf>
    <xf numFmtId="41" fontId="25" fillId="0" borderId="75" xfId="0" applyNumberFormat="1" applyFont="1" applyBorder="1" applyProtection="1">
      <alignment vertical="center"/>
      <protection hidden="1"/>
    </xf>
    <xf numFmtId="41" fontId="25" fillId="0" borderId="74" xfId="0" applyNumberFormat="1" applyFont="1" applyBorder="1" applyProtection="1">
      <alignment vertical="center"/>
      <protection hidden="1"/>
    </xf>
    <xf numFmtId="41" fontId="31" fillId="3" borderId="32" xfId="1" applyFont="1" applyFill="1" applyBorder="1" applyProtection="1">
      <alignment vertical="center"/>
      <protection locked="0"/>
    </xf>
    <xf numFmtId="181" fontId="33" fillId="3" borderId="40" xfId="0" applyNumberFormat="1" applyFont="1" applyFill="1" applyBorder="1" applyAlignment="1" applyProtection="1">
      <alignment horizontal="center" vertical="center"/>
      <protection locked="0"/>
    </xf>
    <xf numFmtId="176" fontId="25" fillId="0" borderId="59" xfId="0" applyNumberFormat="1" applyFont="1" applyBorder="1" applyAlignment="1" applyProtection="1">
      <alignment horizontal="center" vertical="center"/>
      <protection hidden="1"/>
    </xf>
    <xf numFmtId="176" fontId="24" fillId="0" borderId="32" xfId="0" applyNumberFormat="1" applyFont="1" applyBorder="1" applyAlignment="1" applyProtection="1">
      <alignment horizontal="center" vertical="center"/>
      <protection hidden="1"/>
    </xf>
    <xf numFmtId="176" fontId="25" fillId="0" borderId="32" xfId="0" applyNumberFormat="1" applyFont="1" applyBorder="1" applyAlignment="1" applyProtection="1">
      <alignment horizontal="center" vertical="center"/>
      <protection hidden="1"/>
    </xf>
    <xf numFmtId="176" fontId="25" fillId="0" borderId="69" xfId="0" applyNumberFormat="1" applyFont="1" applyBorder="1" applyAlignment="1" applyProtection="1">
      <alignment horizontal="center" vertical="center"/>
      <protection hidden="1"/>
    </xf>
    <xf numFmtId="176" fontId="25" fillId="0" borderId="25" xfId="0" applyNumberFormat="1" applyFont="1" applyBorder="1" applyAlignment="1" applyProtection="1">
      <alignment horizontal="center" vertical="center"/>
      <protection hidden="1"/>
    </xf>
    <xf numFmtId="41" fontId="25" fillId="0" borderId="22" xfId="0" applyNumberFormat="1" applyFont="1" applyBorder="1" applyProtection="1">
      <alignment vertical="center"/>
      <protection hidden="1"/>
    </xf>
    <xf numFmtId="41" fontId="25" fillId="0" borderId="52" xfId="0" applyNumberFormat="1" applyFont="1" applyBorder="1" applyProtection="1">
      <alignment vertical="center"/>
      <protection hidden="1"/>
    </xf>
    <xf numFmtId="181" fontId="33" fillId="0" borderId="228" xfId="0" applyNumberFormat="1" applyFont="1" applyBorder="1" applyAlignment="1" applyProtection="1">
      <alignment horizontal="center" vertical="center"/>
      <protection hidden="1"/>
    </xf>
    <xf numFmtId="181" fontId="33" fillId="0" borderId="228" xfId="0" applyNumberFormat="1" applyFont="1" applyBorder="1" applyAlignment="1" applyProtection="1">
      <alignment horizontal="center" vertical="center"/>
      <protection locked="0"/>
    </xf>
    <xf numFmtId="41" fontId="25" fillId="0" borderId="25" xfId="0" applyNumberFormat="1" applyFont="1" applyBorder="1" applyProtection="1">
      <alignment vertical="center"/>
      <protection locked="0"/>
    </xf>
    <xf numFmtId="0" fontId="25" fillId="9" borderId="48" xfId="0" applyFont="1" applyFill="1" applyBorder="1" applyProtection="1">
      <alignment vertical="center"/>
      <protection hidden="1"/>
    </xf>
    <xf numFmtId="0" fontId="25" fillId="4" borderId="48" xfId="0" applyFont="1" applyFill="1" applyBorder="1" applyProtection="1">
      <alignment vertical="center"/>
      <protection hidden="1"/>
    </xf>
    <xf numFmtId="0" fontId="13" fillId="0" borderId="34" xfId="0" applyFont="1" applyBorder="1" applyProtection="1">
      <alignment vertical="center"/>
      <protection hidden="1"/>
    </xf>
    <xf numFmtId="0" fontId="13" fillId="0" borderId="57" xfId="0" applyFont="1" applyBorder="1" applyProtection="1">
      <alignment vertical="center"/>
      <protection hidden="1"/>
    </xf>
    <xf numFmtId="0" fontId="13" fillId="0" borderId="44" xfId="0" applyFont="1" applyBorder="1" applyProtection="1">
      <alignment vertical="center"/>
      <protection hidden="1"/>
    </xf>
    <xf numFmtId="0" fontId="24" fillId="0" borderId="28" xfId="0" applyFont="1" applyBorder="1" applyAlignment="1" applyProtection="1">
      <alignment horizontal="center" vertical="center"/>
      <protection hidden="1"/>
    </xf>
    <xf numFmtId="0" fontId="24" fillId="0" borderId="35" xfId="0" applyFont="1" applyBorder="1" applyAlignment="1" applyProtection="1">
      <alignment horizontal="center" vertical="center"/>
      <protection hidden="1"/>
    </xf>
    <xf numFmtId="0" fontId="24" fillId="0" borderId="42" xfId="0" applyFont="1" applyBorder="1" applyAlignment="1" applyProtection="1">
      <alignment horizontal="center" vertical="center"/>
      <protection hidden="1"/>
    </xf>
    <xf numFmtId="0" fontId="31" fillId="3" borderId="34" xfId="0" applyFont="1" applyFill="1" applyBorder="1" applyProtection="1">
      <alignment vertical="center"/>
      <protection locked="0"/>
    </xf>
    <xf numFmtId="0" fontId="31" fillId="2" borderId="34" xfId="0" applyFont="1" applyFill="1" applyBorder="1" applyProtection="1">
      <alignment vertical="center"/>
      <protection locked="0"/>
    </xf>
    <xf numFmtId="0" fontId="8" fillId="3" borderId="89" xfId="3" applyFont="1" applyFill="1" applyBorder="1" applyAlignment="1" applyProtection="1">
      <alignment horizontal="left" vertical="center" shrinkToFit="1"/>
      <protection locked="0"/>
    </xf>
    <xf numFmtId="0" fontId="88" fillId="6" borderId="57" xfId="0" applyFont="1" applyFill="1" applyBorder="1" applyProtection="1">
      <alignment vertical="center"/>
      <protection locked="0"/>
    </xf>
    <xf numFmtId="0" fontId="88" fillId="6" borderId="58" xfId="0" applyFont="1" applyFill="1" applyBorder="1" applyProtection="1">
      <alignment vertical="center"/>
      <protection locked="0"/>
    </xf>
    <xf numFmtId="0" fontId="88" fillId="6" borderId="47" xfId="0" applyFont="1" applyFill="1" applyBorder="1" applyProtection="1">
      <alignment vertical="center"/>
      <protection locked="0"/>
    </xf>
    <xf numFmtId="9" fontId="25" fillId="9" borderId="49" xfId="0" applyNumberFormat="1" applyFont="1" applyFill="1" applyBorder="1" applyAlignment="1" applyProtection="1">
      <alignment horizontal="center" vertical="center"/>
      <protection hidden="1"/>
    </xf>
    <xf numFmtId="176" fontId="25" fillId="3" borderId="49" xfId="0" applyNumberFormat="1" applyFont="1" applyFill="1" applyBorder="1" applyAlignment="1" applyProtection="1">
      <alignment horizontal="center" vertical="center"/>
      <protection hidden="1"/>
    </xf>
    <xf numFmtId="176" fontId="25" fillId="0" borderId="49" xfId="0" applyNumberFormat="1" applyFont="1" applyBorder="1" applyAlignment="1" applyProtection="1">
      <alignment horizontal="center" vertical="center"/>
      <protection hidden="1"/>
    </xf>
    <xf numFmtId="0" fontId="0" fillId="0" borderId="0" xfId="0" applyAlignment="1">
      <alignment horizontal="center" vertical="center"/>
    </xf>
    <xf numFmtId="0" fontId="26" fillId="0" borderId="51" xfId="0" applyFont="1" applyBorder="1" applyAlignment="1">
      <alignment horizontal="center" vertical="center"/>
    </xf>
    <xf numFmtId="0" fontId="26" fillId="0" borderId="74" xfId="0" applyFont="1" applyBorder="1" applyAlignment="1">
      <alignment horizontal="center" vertical="center"/>
    </xf>
    <xf numFmtId="41" fontId="3" fillId="10" borderId="29" xfId="1" applyFont="1" applyFill="1" applyBorder="1" applyAlignment="1">
      <alignment horizontal="center" vertical="center" wrapText="1"/>
    </xf>
    <xf numFmtId="0" fontId="3" fillId="10" borderId="34" xfId="0" applyFont="1" applyFill="1" applyBorder="1" applyAlignment="1">
      <alignment horizontal="left" vertical="center" wrapText="1"/>
    </xf>
    <xf numFmtId="0" fontId="3" fillId="10" borderId="36" xfId="0" applyFont="1" applyFill="1" applyBorder="1" applyAlignment="1">
      <alignment horizontal="center" vertical="center" wrapText="1"/>
    </xf>
    <xf numFmtId="0" fontId="3" fillId="10" borderId="34"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27" xfId="0" applyFont="1" applyFill="1" applyBorder="1" applyAlignment="1">
      <alignment horizontal="left" vertical="center" wrapText="1"/>
    </xf>
    <xf numFmtId="0" fontId="3" fillId="6" borderId="29" xfId="0" applyFont="1" applyFill="1" applyBorder="1" applyAlignment="1">
      <alignment horizontal="center" vertical="center" wrapText="1"/>
    </xf>
    <xf numFmtId="41" fontId="3" fillId="6" borderId="29" xfId="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34" xfId="0" applyFont="1" applyFill="1" applyBorder="1" applyAlignment="1">
      <alignment horizontal="left" vertical="center" wrapText="1"/>
    </xf>
    <xf numFmtId="0" fontId="3" fillId="6" borderId="36" xfId="0" applyFont="1" applyFill="1" applyBorder="1" applyAlignment="1">
      <alignment horizontal="center" vertical="center" wrapText="1"/>
    </xf>
    <xf numFmtId="0" fontId="3" fillId="9" borderId="34" xfId="0" applyFont="1" applyFill="1" applyBorder="1" applyAlignment="1">
      <alignment horizontal="left" vertical="center" wrapText="1"/>
    </xf>
    <xf numFmtId="0" fontId="3" fillId="9" borderId="36" xfId="0" applyFont="1" applyFill="1" applyBorder="1" applyAlignment="1">
      <alignment horizontal="center" vertical="center" wrapText="1"/>
    </xf>
    <xf numFmtId="41" fontId="3" fillId="9" borderId="36" xfId="1" applyFont="1" applyFill="1" applyBorder="1" applyAlignment="1">
      <alignment horizontal="center" vertical="center" wrapText="1"/>
    </xf>
    <xf numFmtId="41" fontId="3" fillId="3" borderId="56" xfId="0" applyNumberFormat="1" applyFont="1" applyFill="1" applyBorder="1" applyAlignment="1" applyProtection="1">
      <alignment horizontal="center" vertical="center" wrapText="1"/>
      <protection hidden="1"/>
    </xf>
    <xf numFmtId="41" fontId="3" fillId="3" borderId="36" xfId="0" applyNumberFormat="1" applyFont="1" applyFill="1" applyBorder="1" applyAlignment="1" applyProtection="1">
      <alignment horizontal="center" vertical="center" wrapText="1"/>
      <protection hidden="1"/>
    </xf>
    <xf numFmtId="0" fontId="3" fillId="0" borderId="2" xfId="0" applyFont="1" applyBorder="1" applyAlignment="1">
      <alignment horizontal="left" vertical="center" wrapText="1"/>
    </xf>
    <xf numFmtId="9" fontId="0" fillId="11" borderId="0" xfId="2" applyFont="1" applyFill="1" applyProtection="1">
      <alignment vertical="center"/>
      <protection hidden="1"/>
    </xf>
    <xf numFmtId="41" fontId="31" fillId="0" borderId="0" xfId="1" applyFont="1" applyAlignment="1">
      <alignment vertical="top" wrapText="1"/>
    </xf>
    <xf numFmtId="41" fontId="29" fillId="0" borderId="81" xfId="0" applyNumberFormat="1" applyFont="1" applyBorder="1" applyAlignment="1">
      <alignment horizontal="center" vertical="center"/>
    </xf>
    <xf numFmtId="10" fontId="90" fillId="0" borderId="0" xfId="2" applyNumberFormat="1" applyFont="1" applyProtection="1">
      <alignment vertical="center"/>
      <protection hidden="1"/>
    </xf>
    <xf numFmtId="179" fontId="8" fillId="0" borderId="36" xfId="0" applyNumberFormat="1" applyFont="1" applyBorder="1" applyAlignment="1" applyProtection="1">
      <alignment horizontal="center" vertical="center"/>
      <protection hidden="1"/>
    </xf>
    <xf numFmtId="179" fontId="13" fillId="0" borderId="32" xfId="1" applyNumberFormat="1" applyFont="1" applyBorder="1" applyAlignment="1" applyProtection="1">
      <alignment horizontal="center" vertical="center"/>
      <protection hidden="1"/>
    </xf>
    <xf numFmtId="0" fontId="2" fillId="0" borderId="2" xfId="0" applyFont="1" applyBorder="1" applyAlignment="1">
      <alignment horizontal="center" vertical="center" wrapText="1"/>
    </xf>
    <xf numFmtId="0" fontId="76" fillId="0" borderId="17" xfId="0" applyFont="1" applyBorder="1" applyAlignment="1" applyProtection="1">
      <alignment horizontal="center" vertical="center" wrapText="1"/>
      <protection hidden="1"/>
    </xf>
    <xf numFmtId="0" fontId="75" fillId="0" borderId="18" xfId="0" applyFont="1" applyBorder="1" applyAlignment="1" applyProtection="1">
      <alignment horizontal="center" vertical="center" wrapText="1"/>
      <protection hidden="1"/>
    </xf>
    <xf numFmtId="0" fontId="75" fillId="0" borderId="232" xfId="0" applyFont="1" applyBorder="1" applyAlignment="1" applyProtection="1">
      <alignment horizontal="center" vertical="center" wrapText="1"/>
      <protection hidden="1"/>
    </xf>
    <xf numFmtId="41" fontId="0" fillId="0" borderId="36" xfId="1" applyFont="1" applyBorder="1" applyAlignment="1" applyProtection="1">
      <alignment vertical="center" shrinkToFit="1"/>
      <protection hidden="1"/>
    </xf>
    <xf numFmtId="0" fontId="0" fillId="0" borderId="54" xfId="0" applyBorder="1" applyAlignment="1" applyProtection="1">
      <alignment horizontal="center" vertical="center" shrinkToFit="1"/>
      <protection hidden="1"/>
    </xf>
    <xf numFmtId="0" fontId="0" fillId="0" borderId="56" xfId="0" applyBorder="1" applyAlignment="1" applyProtection="1">
      <alignment horizontal="center" vertical="center" shrinkToFit="1"/>
      <protection hidden="1"/>
    </xf>
    <xf numFmtId="0" fontId="0" fillId="0" borderId="25" xfId="0" applyBorder="1" applyAlignment="1" applyProtection="1">
      <alignment horizontal="center" vertical="center" shrinkToFit="1"/>
      <protection hidden="1"/>
    </xf>
    <xf numFmtId="0" fontId="0" fillId="0" borderId="34" xfId="0" applyBorder="1" applyAlignment="1" applyProtection="1">
      <alignment horizontal="left" vertical="center" shrinkToFit="1"/>
      <protection hidden="1"/>
    </xf>
    <xf numFmtId="0" fontId="0" fillId="0" borderId="57" xfId="0" applyBorder="1" applyAlignment="1" applyProtection="1">
      <alignment horizontal="left" vertical="center" shrinkToFit="1"/>
      <protection hidden="1"/>
    </xf>
    <xf numFmtId="41" fontId="0" fillId="0" borderId="58" xfId="1" applyFont="1" applyBorder="1" applyAlignment="1" applyProtection="1">
      <alignment vertical="center" shrinkToFit="1"/>
      <protection hidden="1"/>
    </xf>
    <xf numFmtId="41" fontId="77" fillId="0" borderId="32" xfId="1" applyFont="1" applyBorder="1" applyAlignment="1" applyProtection="1">
      <alignment vertical="center" shrinkToFit="1"/>
      <protection hidden="1"/>
    </xf>
    <xf numFmtId="9" fontId="89" fillId="0" borderId="51" xfId="2" applyFont="1" applyBorder="1" applyAlignment="1">
      <alignment horizontal="center" vertical="center"/>
    </xf>
    <xf numFmtId="41" fontId="13" fillId="0" borderId="69" xfId="1" applyFont="1" applyFill="1" applyBorder="1" applyAlignment="1" applyProtection="1">
      <alignment horizontal="center" vertical="center"/>
      <protection hidden="1"/>
    </xf>
    <xf numFmtId="41" fontId="13" fillId="0" borderId="36" xfId="1" applyFont="1" applyFill="1" applyBorder="1" applyAlignment="1" applyProtection="1">
      <alignment horizontal="center" vertical="center"/>
      <protection hidden="1"/>
    </xf>
    <xf numFmtId="14" fontId="25" fillId="6" borderId="78" xfId="0" applyNumberFormat="1" applyFont="1" applyFill="1" applyBorder="1" applyAlignment="1" applyProtection="1">
      <alignment horizontal="center" vertical="center"/>
      <protection locked="0"/>
    </xf>
    <xf numFmtId="14" fontId="91" fillId="6" borderId="79" xfId="0" applyNumberFormat="1" applyFont="1" applyFill="1" applyBorder="1" applyProtection="1">
      <alignment vertical="center"/>
      <protection locked="0"/>
    </xf>
    <xf numFmtId="183" fontId="0" fillId="0" borderId="0" xfId="0" applyNumberFormat="1" applyProtection="1">
      <alignment vertical="center"/>
      <protection hidden="1"/>
    </xf>
    <xf numFmtId="49" fontId="81" fillId="11" borderId="0" xfId="0" applyNumberFormat="1" applyFont="1" applyFill="1" applyAlignment="1">
      <alignment horizontal="center" vertical="center"/>
    </xf>
    <xf numFmtId="0" fontId="2" fillId="0" borderId="0" xfId="0" applyFont="1" applyAlignment="1">
      <alignment horizontal="center" vertical="center" wrapText="1"/>
    </xf>
    <xf numFmtId="49" fontId="3" fillId="0" borderId="0" xfId="0" applyNumberFormat="1" applyFont="1" applyAlignment="1">
      <alignment horizontal="right" vertical="center" wrapText="1"/>
    </xf>
    <xf numFmtId="49" fontId="3" fillId="8" borderId="0" xfId="0" applyNumberFormat="1" applyFont="1" applyFill="1" applyAlignment="1">
      <alignment horizontal="right" vertical="center" wrapText="1"/>
    </xf>
    <xf numFmtId="0" fontId="81" fillId="0" borderId="0" xfId="0" applyFont="1" applyAlignment="1">
      <alignment horizontal="center"/>
    </xf>
    <xf numFmtId="0" fontId="2" fillId="11" borderId="95" xfId="0" applyFont="1" applyFill="1" applyBorder="1" applyAlignment="1">
      <alignment horizontal="center" vertical="center" wrapText="1"/>
    </xf>
    <xf numFmtId="49" fontId="3" fillId="11" borderId="95" xfId="0" applyNumberFormat="1" applyFont="1" applyFill="1" applyBorder="1" applyAlignment="1">
      <alignment horizontal="right" vertical="center" wrapText="1"/>
    </xf>
    <xf numFmtId="49" fontId="2" fillId="6" borderId="96" xfId="0" applyNumberFormat="1" applyFont="1" applyFill="1" applyBorder="1" applyAlignment="1">
      <alignment horizontal="center" vertical="center" wrapText="1"/>
    </xf>
    <xf numFmtId="0" fontId="2" fillId="6" borderId="96" xfId="0" applyFont="1" applyFill="1" applyBorder="1" applyAlignment="1">
      <alignment horizontal="center" vertical="center" wrapText="1"/>
    </xf>
    <xf numFmtId="187" fontId="2" fillId="6" borderId="96" xfId="0" applyNumberFormat="1" applyFont="1" applyFill="1" applyBorder="1" applyAlignment="1">
      <alignment horizontal="center" vertical="center" wrapText="1"/>
    </xf>
    <xf numFmtId="49" fontId="3" fillId="6" borderId="96" xfId="0" applyNumberFormat="1"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41" fontId="3" fillId="6" borderId="2" xfId="1" applyFont="1" applyFill="1" applyBorder="1" applyAlignment="1">
      <alignment horizontal="center" vertical="center" wrapText="1"/>
    </xf>
    <xf numFmtId="49" fontId="3" fillId="6" borderId="2" xfId="0" applyNumberFormat="1" applyFont="1" applyFill="1" applyBorder="1" applyAlignment="1">
      <alignment horizontal="right" vertical="center" wrapText="1"/>
    </xf>
    <xf numFmtId="49" fontId="2" fillId="5" borderId="96" xfId="0" applyNumberFormat="1" applyFont="1" applyFill="1" applyBorder="1" applyAlignment="1">
      <alignment horizontal="center" vertical="center" wrapText="1"/>
    </xf>
    <xf numFmtId="0" fontId="2" fillId="5" borderId="96" xfId="0" applyFont="1" applyFill="1" applyBorder="1" applyAlignment="1">
      <alignment horizontal="center" vertical="center" wrapText="1"/>
    </xf>
    <xf numFmtId="187" fontId="2" fillId="5" borderId="96" xfId="0" applyNumberFormat="1" applyFont="1" applyFill="1" applyBorder="1" applyAlignment="1">
      <alignment horizontal="center" vertical="center" wrapText="1"/>
    </xf>
    <xf numFmtId="49" fontId="3" fillId="5" borderId="96" xfId="0" applyNumberFormat="1"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41" fontId="3" fillId="5" borderId="2" xfId="1" applyFont="1" applyFill="1" applyBorder="1" applyAlignment="1">
      <alignment horizontal="center" vertical="center" wrapText="1"/>
    </xf>
    <xf numFmtId="49" fontId="3" fillId="5" borderId="2" xfId="0" applyNumberFormat="1" applyFont="1" applyFill="1" applyBorder="1" applyAlignment="1">
      <alignment horizontal="right" vertical="center" wrapText="1"/>
    </xf>
    <xf numFmtId="177" fontId="8" fillId="6" borderId="36" xfId="0" applyNumberFormat="1" applyFont="1" applyFill="1" applyBorder="1">
      <alignment vertical="center"/>
    </xf>
    <xf numFmtId="177" fontId="8" fillId="6" borderId="43" xfId="0" applyNumberFormat="1" applyFont="1" applyFill="1" applyBorder="1">
      <alignment vertical="center"/>
    </xf>
    <xf numFmtId="0" fontId="31" fillId="0" borderId="34" xfId="0" applyFont="1" applyBorder="1" applyAlignment="1" applyProtection="1">
      <alignment horizontal="left" vertical="center"/>
      <protection locked="0"/>
    </xf>
    <xf numFmtId="0" fontId="8" fillId="0" borderId="34" xfId="3" applyFont="1" applyBorder="1" applyAlignment="1" applyProtection="1">
      <alignment horizontal="left" vertical="center" shrinkToFit="1"/>
      <protection locked="0"/>
    </xf>
    <xf numFmtId="0" fontId="8" fillId="0" borderId="80" xfId="3" applyFont="1" applyBorder="1" applyAlignment="1" applyProtection="1">
      <alignment horizontal="left" vertical="center" shrinkToFit="1"/>
      <protection hidden="1"/>
    </xf>
    <xf numFmtId="0" fontId="26" fillId="11" borderId="0" xfId="0" applyFont="1" applyFill="1" applyAlignment="1" applyProtection="1">
      <alignment horizontal="center" vertical="center"/>
      <protection hidden="1"/>
    </xf>
    <xf numFmtId="0" fontId="28" fillId="11" borderId="0" xfId="0" applyFont="1" applyFill="1" applyAlignment="1" applyProtection="1">
      <alignment horizontal="center" vertical="center"/>
      <protection hidden="1"/>
    </xf>
    <xf numFmtId="0" fontId="25" fillId="11" borderId="0" xfId="0" applyFont="1" applyFill="1" applyAlignment="1" applyProtection="1">
      <alignment horizontal="center" vertical="center"/>
      <protection hidden="1"/>
    </xf>
    <xf numFmtId="183" fontId="38" fillId="11" borderId="0" xfId="2" applyNumberFormat="1" applyFont="1" applyFill="1" applyBorder="1" applyAlignment="1" applyProtection="1">
      <alignment horizontal="center" vertical="center"/>
      <protection locked="0"/>
    </xf>
    <xf numFmtId="0" fontId="25" fillId="11" borderId="0" xfId="0" applyFont="1" applyFill="1" applyAlignment="1" applyProtection="1">
      <alignment horizontal="center" vertical="center" shrinkToFit="1"/>
      <protection hidden="1"/>
    </xf>
    <xf numFmtId="9" fontId="0" fillId="11" borderId="0" xfId="2" applyFont="1" applyFill="1" applyBorder="1" applyAlignment="1" applyProtection="1">
      <alignment horizontal="center" vertical="center"/>
      <protection locked="0"/>
    </xf>
    <xf numFmtId="10" fontId="24" fillId="11" borderId="0" xfId="2" applyNumberFormat="1" applyFont="1" applyFill="1" applyBorder="1" applyAlignment="1" applyProtection="1">
      <alignment horizontal="center" vertical="center"/>
      <protection locked="0"/>
    </xf>
    <xf numFmtId="0" fontId="30" fillId="11" borderId="0" xfId="0" applyFont="1" applyFill="1" applyAlignment="1" applyProtection="1">
      <alignment horizontal="center" vertical="center" shrinkToFit="1"/>
      <protection hidden="1"/>
    </xf>
    <xf numFmtId="41" fontId="25" fillId="11" borderId="0" xfId="0" applyNumberFormat="1" applyFont="1" applyFill="1" applyAlignment="1" applyProtection="1">
      <alignment horizontal="center" vertical="center"/>
      <protection hidden="1"/>
    </xf>
    <xf numFmtId="181" fontId="33" fillId="11" borderId="0" xfId="0" applyNumberFormat="1" applyFont="1" applyFill="1" applyAlignment="1" applyProtection="1">
      <alignment horizontal="center" vertical="center"/>
      <protection locked="0"/>
    </xf>
    <xf numFmtId="181" fontId="33" fillId="11" borderId="0" xfId="0" applyNumberFormat="1" applyFont="1" applyFill="1" applyAlignment="1" applyProtection="1">
      <alignment horizontal="center" vertical="center"/>
      <protection hidden="1"/>
    </xf>
    <xf numFmtId="0" fontId="25" fillId="11" borderId="202" xfId="0" applyFont="1" applyFill="1" applyBorder="1" applyAlignment="1" applyProtection="1">
      <alignment horizontal="center" vertical="center"/>
      <protection locked="0"/>
    </xf>
    <xf numFmtId="14" fontId="91" fillId="11" borderId="0" xfId="0" applyNumberFormat="1" applyFont="1" applyFill="1" applyProtection="1">
      <alignment vertical="center"/>
      <protection locked="0"/>
    </xf>
    <xf numFmtId="0" fontId="27" fillId="11" borderId="0" xfId="0" applyFont="1" applyFill="1" applyAlignment="1" applyProtection="1">
      <alignment horizontal="center" vertical="center"/>
      <protection hidden="1"/>
    </xf>
    <xf numFmtId="0" fontId="27" fillId="11" borderId="89" xfId="0" applyFont="1" applyFill="1" applyBorder="1" applyAlignment="1" applyProtection="1">
      <alignment horizontal="left" vertical="center"/>
      <protection hidden="1"/>
    </xf>
    <xf numFmtId="0" fontId="27" fillId="11" borderId="85" xfId="0" applyFont="1" applyFill="1" applyBorder="1" applyAlignment="1" applyProtection="1">
      <alignment horizontal="left" vertical="center"/>
      <protection hidden="1"/>
    </xf>
    <xf numFmtId="0" fontId="27" fillId="11" borderId="234" xfId="0" applyFont="1" applyFill="1" applyBorder="1" applyAlignment="1" applyProtection="1">
      <alignment horizontal="left" vertical="center"/>
      <protection hidden="1"/>
    </xf>
    <xf numFmtId="0" fontId="24" fillId="0" borderId="54" xfId="0" applyFont="1" applyBorder="1" applyAlignment="1" applyProtection="1">
      <alignment horizontal="left" vertical="center"/>
      <protection hidden="1"/>
    </xf>
    <xf numFmtId="182" fontId="25" fillId="6" borderId="71" xfId="0" applyNumberFormat="1" applyFont="1" applyFill="1" applyBorder="1" applyAlignment="1" applyProtection="1">
      <alignment horizontal="left" vertical="center"/>
      <protection locked="0"/>
    </xf>
    <xf numFmtId="182" fontId="25" fillId="6" borderId="55" xfId="0" applyNumberFormat="1" applyFont="1" applyFill="1" applyBorder="1" applyAlignment="1" applyProtection="1">
      <alignment horizontal="left" vertical="center"/>
      <protection locked="0"/>
    </xf>
    <xf numFmtId="0" fontId="24" fillId="0" borderId="56" xfId="0" applyFont="1" applyBorder="1" applyAlignment="1" applyProtection="1">
      <alignment horizontal="left" vertical="center"/>
      <protection hidden="1"/>
    </xf>
    <xf numFmtId="0" fontId="25" fillId="6" borderId="71" xfId="0" applyFont="1" applyFill="1" applyBorder="1" applyAlignment="1" applyProtection="1">
      <alignment horizontal="left" vertical="center"/>
      <protection locked="0"/>
    </xf>
    <xf numFmtId="0" fontId="25" fillId="6" borderId="55" xfId="0" applyFont="1" applyFill="1" applyBorder="1" applyAlignment="1" applyProtection="1">
      <alignment horizontal="left" vertical="center"/>
      <protection locked="0"/>
    </xf>
    <xf numFmtId="0" fontId="25" fillId="6" borderId="77" xfId="0" applyFont="1" applyFill="1" applyBorder="1" applyAlignment="1" applyProtection="1">
      <alignment horizontal="left" vertical="center"/>
      <protection locked="0"/>
    </xf>
    <xf numFmtId="0" fontId="24" fillId="0" borderId="44" xfId="0" applyFont="1" applyBorder="1" applyAlignment="1" applyProtection="1">
      <alignment horizontal="left" vertical="center"/>
      <protection hidden="1"/>
    </xf>
    <xf numFmtId="0" fontId="24" fillId="0" borderId="43" xfId="0" applyFont="1" applyBorder="1" applyAlignment="1" applyProtection="1">
      <alignment horizontal="left" vertical="center"/>
      <protection hidden="1"/>
    </xf>
    <xf numFmtId="0" fontId="25" fillId="6" borderId="200" xfId="0" applyFont="1" applyFill="1" applyBorder="1" applyAlignment="1" applyProtection="1">
      <alignment horizontal="left" vertical="center"/>
      <protection locked="0"/>
    </xf>
    <xf numFmtId="0" fontId="25" fillId="6" borderId="42" xfId="0" applyFont="1" applyFill="1" applyBorder="1" applyAlignment="1" applyProtection="1">
      <alignment horizontal="left" vertical="center"/>
      <protection locked="0"/>
    </xf>
    <xf numFmtId="14" fontId="25" fillId="6" borderId="200" xfId="0" applyNumberFormat="1" applyFont="1" applyFill="1" applyBorder="1" applyAlignment="1" applyProtection="1">
      <alignment horizontal="left" vertical="center"/>
      <protection locked="0"/>
    </xf>
    <xf numFmtId="0" fontId="26" fillId="13" borderId="67" xfId="0" applyFont="1" applyFill="1" applyBorder="1" applyAlignment="1" applyProtection="1">
      <alignment horizontal="left" vertical="center"/>
      <protection hidden="1"/>
    </xf>
    <xf numFmtId="0" fontId="26" fillId="13" borderId="68" xfId="0" applyFont="1" applyFill="1" applyBorder="1" applyAlignment="1" applyProtection="1">
      <alignment horizontal="left" vertical="center"/>
      <protection hidden="1"/>
    </xf>
    <xf numFmtId="0" fontId="26" fillId="13" borderId="62" xfId="0" applyFont="1" applyFill="1" applyBorder="1" applyAlignment="1" applyProtection="1">
      <alignment horizontal="left" vertical="center"/>
      <protection hidden="1"/>
    </xf>
    <xf numFmtId="182" fontId="25" fillId="9" borderId="22" xfId="0" applyNumberFormat="1" applyFont="1" applyFill="1" applyBorder="1" applyAlignment="1" applyProtection="1">
      <alignment horizontal="left" vertical="center"/>
      <protection hidden="1"/>
    </xf>
    <xf numFmtId="182" fontId="25" fillId="9" borderId="23" xfId="0" applyNumberFormat="1" applyFont="1" applyFill="1" applyBorder="1" applyAlignment="1" applyProtection="1">
      <alignment horizontal="left" vertical="center"/>
      <protection hidden="1"/>
    </xf>
    <xf numFmtId="176" fontId="25" fillId="3" borderId="49" xfId="0" applyNumberFormat="1" applyFont="1" applyFill="1" applyBorder="1" applyAlignment="1" applyProtection="1">
      <alignment horizontal="left" vertical="center"/>
      <protection hidden="1"/>
    </xf>
    <xf numFmtId="182" fontId="25" fillId="16" borderId="22" xfId="0" applyNumberFormat="1" applyFont="1" applyFill="1" applyBorder="1" applyAlignment="1" applyProtection="1">
      <alignment horizontal="left" vertical="center"/>
      <protection hidden="1"/>
    </xf>
    <xf numFmtId="182" fontId="25" fillId="16" borderId="23" xfId="0" applyNumberFormat="1" applyFont="1" applyFill="1" applyBorder="1" applyAlignment="1" applyProtection="1">
      <alignment horizontal="left" vertical="center"/>
      <protection hidden="1"/>
    </xf>
    <xf numFmtId="176" fontId="25" fillId="2" borderId="22" xfId="0" applyNumberFormat="1" applyFont="1" applyFill="1" applyBorder="1" applyAlignment="1" applyProtection="1">
      <alignment horizontal="left" vertical="center"/>
      <protection hidden="1"/>
    </xf>
    <xf numFmtId="0" fontId="26" fillId="13" borderId="87" xfId="0" applyFont="1" applyFill="1" applyBorder="1" applyAlignment="1" applyProtection="1">
      <alignment horizontal="left" vertical="center"/>
      <protection hidden="1"/>
    </xf>
    <xf numFmtId="0" fontId="26" fillId="13" borderId="88" xfId="0" applyFont="1" applyFill="1" applyBorder="1" applyAlignment="1" applyProtection="1">
      <alignment horizontal="left" vertical="center"/>
      <protection hidden="1"/>
    </xf>
    <xf numFmtId="0" fontId="26" fillId="13" borderId="64" xfId="0" applyFont="1" applyFill="1" applyBorder="1" applyAlignment="1" applyProtection="1">
      <alignment horizontal="left" vertical="center"/>
      <protection hidden="1"/>
    </xf>
    <xf numFmtId="0" fontId="27" fillId="0" borderId="80" xfId="0" applyFont="1" applyBorder="1" applyAlignment="1" applyProtection="1">
      <alignment horizontal="left" vertical="center"/>
      <protection hidden="1"/>
    </xf>
    <xf numFmtId="0" fontId="27" fillId="0" borderId="81" xfId="0" applyFont="1" applyBorder="1" applyAlignment="1" applyProtection="1">
      <alignment horizontal="left" vertical="center"/>
      <protection hidden="1"/>
    </xf>
    <xf numFmtId="0" fontId="27" fillId="0" borderId="77" xfId="0" applyFont="1" applyBorder="1" applyAlignment="1" applyProtection="1">
      <alignment horizontal="left" vertical="center"/>
      <protection hidden="1"/>
    </xf>
    <xf numFmtId="0" fontId="27" fillId="0" borderId="22" xfId="0" applyFont="1" applyBorder="1" applyAlignment="1" applyProtection="1">
      <alignment horizontal="left" vertical="center"/>
      <protection hidden="1"/>
    </xf>
    <xf numFmtId="0" fontId="27" fillId="0" borderId="23" xfId="0" applyFont="1" applyBorder="1" applyAlignment="1" applyProtection="1">
      <alignment horizontal="left" vertical="center"/>
      <protection hidden="1"/>
    </xf>
    <xf numFmtId="0" fontId="27" fillId="0" borderId="88" xfId="0" applyFont="1" applyBorder="1" applyAlignment="1" applyProtection="1">
      <alignment horizontal="left" vertical="center"/>
      <protection hidden="1"/>
    </xf>
    <xf numFmtId="0" fontId="27" fillId="0" borderId="64" xfId="0" applyFont="1" applyBorder="1" applyAlignment="1" applyProtection="1">
      <alignment horizontal="left" vertical="center"/>
      <protection hidden="1"/>
    </xf>
    <xf numFmtId="184" fontId="27" fillId="6" borderId="29" xfId="0" applyNumberFormat="1" applyFont="1" applyFill="1" applyBorder="1" applyAlignment="1" applyProtection="1">
      <alignment horizontal="left" vertical="center"/>
      <protection locked="0"/>
    </xf>
    <xf numFmtId="186" fontId="27" fillId="6" borderId="59" xfId="0" applyNumberFormat="1" applyFont="1" applyFill="1" applyBorder="1" applyAlignment="1" applyProtection="1">
      <alignment horizontal="left" vertical="center"/>
      <protection locked="0"/>
    </xf>
    <xf numFmtId="0" fontId="25" fillId="9" borderId="48" xfId="0" applyFont="1" applyFill="1" applyBorder="1" applyAlignment="1" applyProtection="1">
      <alignment horizontal="left" vertical="center"/>
      <protection hidden="1"/>
    </xf>
    <xf numFmtId="0" fontId="28" fillId="3" borderId="74" xfId="0" applyFont="1" applyFill="1" applyBorder="1" applyAlignment="1" applyProtection="1">
      <alignment horizontal="left" vertical="center"/>
      <protection hidden="1"/>
    </xf>
    <xf numFmtId="0" fontId="25" fillId="16" borderId="48" xfId="0" applyFont="1" applyFill="1" applyBorder="1" applyAlignment="1" applyProtection="1">
      <alignment horizontal="left" vertical="center"/>
      <protection hidden="1"/>
    </xf>
    <xf numFmtId="0" fontId="28" fillId="2" borderId="74" xfId="0" applyFont="1" applyFill="1" applyBorder="1" applyAlignment="1" applyProtection="1">
      <alignment horizontal="left" vertical="center"/>
      <protection hidden="1"/>
    </xf>
    <xf numFmtId="49" fontId="41" fillId="12" borderId="48" xfId="0" applyNumberFormat="1" applyFont="1" applyFill="1" applyBorder="1" applyAlignment="1" applyProtection="1">
      <alignment horizontal="left" vertical="center"/>
      <protection hidden="1"/>
    </xf>
    <xf numFmtId="0" fontId="28" fillId="4" borderId="74" xfId="0" applyFont="1" applyFill="1" applyBorder="1" applyAlignment="1" applyProtection="1">
      <alignment horizontal="left" vertical="center"/>
      <protection hidden="1"/>
    </xf>
    <xf numFmtId="186" fontId="27" fillId="6" borderId="32" xfId="0" applyNumberFormat="1" applyFont="1" applyFill="1" applyBorder="1" applyAlignment="1" applyProtection="1">
      <alignment horizontal="left" vertical="center"/>
      <protection locked="0"/>
    </xf>
    <xf numFmtId="0" fontId="0" fillId="0" borderId="80" xfId="0" applyBorder="1" applyAlignment="1" applyProtection="1">
      <alignment horizontal="left" vertical="center"/>
      <protection hidden="1"/>
    </xf>
    <xf numFmtId="0" fontId="0" fillId="0" borderId="55" xfId="0" applyBorder="1" applyAlignment="1" applyProtection="1">
      <alignment horizontal="left" vertical="center"/>
      <protection hidden="1"/>
    </xf>
    <xf numFmtId="0" fontId="28" fillId="6" borderId="71" xfId="0" applyFont="1" applyFill="1" applyBorder="1" applyAlignment="1" applyProtection="1">
      <alignment horizontal="left" vertical="center"/>
      <protection hidden="1"/>
    </xf>
    <xf numFmtId="0" fontId="28" fillId="6" borderId="81" xfId="0" applyFont="1" applyFill="1" applyBorder="1" applyAlignment="1" applyProtection="1">
      <alignment horizontal="left" vertical="center"/>
      <protection hidden="1"/>
    </xf>
    <xf numFmtId="0" fontId="28" fillId="6" borderId="77" xfId="0" applyFont="1" applyFill="1" applyBorder="1" applyAlignment="1" applyProtection="1">
      <alignment horizontal="left" vertical="center"/>
      <protection hidden="1"/>
    </xf>
    <xf numFmtId="0" fontId="25" fillId="10" borderId="26" xfId="0" applyFont="1" applyFill="1" applyBorder="1" applyAlignment="1" applyProtection="1">
      <alignment horizontal="left" vertical="center"/>
      <protection hidden="1"/>
    </xf>
    <xf numFmtId="183" fontId="38" fillId="6" borderId="92" xfId="2" applyNumberFormat="1" applyFont="1" applyFill="1" applyBorder="1" applyAlignment="1" applyProtection="1">
      <alignment horizontal="left" vertical="center"/>
      <protection locked="0"/>
    </xf>
    <xf numFmtId="0" fontId="26" fillId="13" borderId="83" xfId="0" applyFont="1" applyFill="1" applyBorder="1" applyAlignment="1" applyProtection="1">
      <alignment horizontal="left" vertical="center"/>
      <protection hidden="1"/>
    </xf>
    <xf numFmtId="0" fontId="26" fillId="13" borderId="0" xfId="0" applyFont="1" applyFill="1" applyAlignment="1" applyProtection="1">
      <alignment horizontal="left" vertical="center"/>
      <protection hidden="1"/>
    </xf>
    <xf numFmtId="0" fontId="26" fillId="13" borderId="90" xfId="0" applyFont="1" applyFill="1" applyBorder="1" applyAlignment="1" applyProtection="1">
      <alignment horizontal="left" vertical="center"/>
      <protection hidden="1"/>
    </xf>
    <xf numFmtId="184" fontId="27" fillId="6" borderId="91" xfId="0" applyNumberFormat="1" applyFont="1" applyFill="1" applyBorder="1" applyAlignment="1" applyProtection="1">
      <alignment horizontal="left" vertical="center"/>
      <protection locked="0"/>
    </xf>
    <xf numFmtId="186" fontId="27" fillId="6" borderId="47" xfId="0" applyNumberFormat="1" applyFont="1" applyFill="1" applyBorder="1" applyAlignment="1" applyProtection="1">
      <alignment horizontal="left" vertical="center"/>
      <protection locked="0"/>
    </xf>
    <xf numFmtId="0" fontId="30" fillId="9" borderId="23" xfId="0" applyFont="1" applyFill="1" applyBorder="1" applyAlignment="1" applyProtection="1">
      <alignment horizontal="left" vertical="center"/>
      <protection hidden="1"/>
    </xf>
    <xf numFmtId="0" fontId="30" fillId="9" borderId="23" xfId="0" applyFont="1" applyFill="1" applyBorder="1" applyAlignment="1" applyProtection="1">
      <alignment horizontal="left" vertical="center" shrinkToFit="1"/>
      <protection hidden="1"/>
    </xf>
    <xf numFmtId="0" fontId="30" fillId="9" borderId="24" xfId="0" applyFont="1" applyFill="1" applyBorder="1" applyAlignment="1" applyProtection="1">
      <alignment horizontal="left" vertical="center" shrinkToFit="1"/>
      <protection hidden="1"/>
    </xf>
    <xf numFmtId="0" fontId="25" fillId="0" borderId="20" xfId="0" applyFont="1" applyBorder="1" applyAlignment="1" applyProtection="1">
      <alignment horizontal="left" vertical="center"/>
      <protection hidden="1"/>
    </xf>
    <xf numFmtId="41" fontId="25" fillId="0" borderId="18" xfId="0" applyNumberFormat="1" applyFont="1" applyBorder="1" applyAlignment="1" applyProtection="1">
      <alignment horizontal="left" vertical="center"/>
      <protection hidden="1"/>
    </xf>
    <xf numFmtId="0" fontId="25" fillId="0" borderId="17" xfId="0" applyFont="1" applyBorder="1" applyAlignment="1" applyProtection="1">
      <alignment horizontal="left" vertical="center"/>
      <protection hidden="1"/>
    </xf>
    <xf numFmtId="41" fontId="25" fillId="0" borderId="75" xfId="0" applyNumberFormat="1" applyFont="1" applyBorder="1" applyAlignment="1" applyProtection="1">
      <alignment horizontal="left" vertical="center"/>
      <protection hidden="1"/>
    </xf>
    <xf numFmtId="41" fontId="25" fillId="0" borderId="19" xfId="0" applyNumberFormat="1" applyFont="1" applyBorder="1" applyAlignment="1" applyProtection="1">
      <alignment horizontal="left" vertical="center"/>
      <protection hidden="1"/>
    </xf>
    <xf numFmtId="0" fontId="31" fillId="0" borderId="28" xfId="0" applyFont="1" applyBorder="1" applyAlignment="1" applyProtection="1">
      <alignment horizontal="left" vertical="center"/>
      <protection locked="0"/>
    </xf>
    <xf numFmtId="41" fontId="25" fillId="0" borderId="25" xfId="0" applyNumberFormat="1" applyFont="1" applyBorder="1" applyAlignment="1" applyProtection="1">
      <alignment horizontal="left" vertical="center"/>
      <protection locked="0"/>
    </xf>
    <xf numFmtId="0" fontId="31" fillId="0" borderId="54" xfId="0" applyFont="1" applyBorder="1" applyAlignment="1" applyProtection="1">
      <alignment horizontal="left" vertical="center"/>
      <protection locked="0"/>
    </xf>
    <xf numFmtId="0" fontId="31" fillId="0" borderId="35" xfId="0" applyFont="1" applyBorder="1" applyAlignment="1" applyProtection="1">
      <alignment horizontal="left" vertical="center"/>
      <protection locked="0"/>
    </xf>
    <xf numFmtId="181" fontId="33" fillId="0" borderId="228" xfId="0" applyNumberFormat="1" applyFont="1" applyBorder="1" applyAlignment="1" applyProtection="1">
      <alignment horizontal="left" vertical="center"/>
      <protection locked="0"/>
    </xf>
    <xf numFmtId="0" fontId="31" fillId="3" borderId="35" xfId="0" applyFont="1" applyFill="1" applyBorder="1" applyAlignment="1" applyProtection="1">
      <alignment horizontal="left" vertical="center"/>
      <protection locked="0"/>
    </xf>
    <xf numFmtId="41" fontId="31" fillId="3" borderId="32" xfId="1" applyFont="1" applyFill="1" applyBorder="1" applyAlignment="1" applyProtection="1">
      <alignment horizontal="left" vertical="center"/>
      <protection locked="0"/>
    </xf>
    <xf numFmtId="181" fontId="33" fillId="3" borderId="40" xfId="0" applyNumberFormat="1" applyFont="1" applyFill="1" applyBorder="1" applyAlignment="1" applyProtection="1">
      <alignment horizontal="left" vertical="center"/>
      <protection locked="0"/>
    </xf>
    <xf numFmtId="0" fontId="25" fillId="0" borderId="50" xfId="0" applyFont="1" applyBorder="1" applyAlignment="1" applyProtection="1">
      <alignment horizontal="left" vertical="center"/>
      <protection hidden="1"/>
    </xf>
    <xf numFmtId="41" fontId="25" fillId="0" borderId="74" xfId="0" applyNumberFormat="1" applyFont="1" applyBorder="1" applyAlignment="1" applyProtection="1">
      <alignment horizontal="left" vertical="center"/>
      <protection hidden="1"/>
    </xf>
    <xf numFmtId="0" fontId="25" fillId="0" borderId="48" xfId="0" applyFont="1" applyBorder="1" applyAlignment="1" applyProtection="1">
      <alignment horizontal="left" vertical="center"/>
      <protection hidden="1"/>
    </xf>
    <xf numFmtId="0" fontId="0" fillId="13" borderId="23" xfId="0" applyFill="1" applyBorder="1" applyAlignment="1" applyProtection="1">
      <alignment horizontal="left" vertical="center"/>
      <protection hidden="1"/>
    </xf>
    <xf numFmtId="0" fontId="0" fillId="13" borderId="24" xfId="0" applyFill="1" applyBorder="1" applyAlignment="1" applyProtection="1">
      <alignment horizontal="left" vertical="center"/>
      <protection hidden="1"/>
    </xf>
    <xf numFmtId="0" fontId="25" fillId="0" borderId="22" xfId="0" applyFont="1" applyBorder="1" applyAlignment="1" applyProtection="1">
      <alignment horizontal="left" vertical="center"/>
      <protection hidden="1"/>
    </xf>
    <xf numFmtId="0" fontId="25" fillId="0" borderId="23" xfId="0" applyFont="1" applyBorder="1" applyAlignment="1" applyProtection="1">
      <alignment horizontal="left" vertical="center"/>
      <protection hidden="1"/>
    </xf>
    <xf numFmtId="9" fontId="25" fillId="9" borderId="49" xfId="0" applyNumberFormat="1" applyFont="1" applyFill="1" applyBorder="1" applyAlignment="1" applyProtection="1">
      <alignment horizontal="left" vertical="center"/>
      <protection hidden="1"/>
    </xf>
    <xf numFmtId="41" fontId="25" fillId="0" borderId="22" xfId="0" applyNumberFormat="1" applyFont="1" applyBorder="1" applyAlignment="1" applyProtection="1">
      <alignment horizontal="left" vertical="center"/>
      <protection hidden="1"/>
    </xf>
    <xf numFmtId="41" fontId="25" fillId="0" borderId="49" xfId="0" applyNumberFormat="1" applyFont="1" applyBorder="1" applyAlignment="1" applyProtection="1">
      <alignment horizontal="left" vertical="center"/>
      <protection hidden="1"/>
    </xf>
    <xf numFmtId="41" fontId="25" fillId="8" borderId="25" xfId="0" applyNumberFormat="1" applyFont="1" applyFill="1" applyBorder="1" applyAlignment="1" applyProtection="1">
      <alignment horizontal="left" vertical="center"/>
      <protection hidden="1"/>
    </xf>
    <xf numFmtId="0" fontId="25" fillId="11" borderId="22" xfId="0" applyFont="1" applyFill="1" applyBorder="1" applyAlignment="1" applyProtection="1">
      <alignment horizontal="left" vertical="center"/>
      <protection hidden="1"/>
    </xf>
    <xf numFmtId="41" fontId="25" fillId="0" borderId="25" xfId="0" applyNumberFormat="1" applyFont="1" applyBorder="1" applyAlignment="1" applyProtection="1">
      <alignment horizontal="left" vertical="center"/>
      <protection hidden="1"/>
    </xf>
    <xf numFmtId="41" fontId="25" fillId="0" borderId="71" xfId="0" applyNumberFormat="1" applyFont="1" applyBorder="1" applyAlignment="1" applyProtection="1">
      <alignment horizontal="left" vertical="center"/>
      <protection hidden="1"/>
    </xf>
    <xf numFmtId="41" fontId="25" fillId="0" borderId="52" xfId="0" applyNumberFormat="1" applyFont="1" applyBorder="1" applyAlignment="1" applyProtection="1">
      <alignment horizontal="left" vertical="center"/>
      <protection hidden="1"/>
    </xf>
    <xf numFmtId="41" fontId="24" fillId="0" borderId="30" xfId="1" applyFont="1" applyFill="1" applyBorder="1" applyAlignment="1" applyProtection="1">
      <alignment horizontal="left" vertical="center"/>
      <protection hidden="1"/>
    </xf>
    <xf numFmtId="176" fontId="33" fillId="0" borderId="26" xfId="0" applyNumberFormat="1" applyFont="1" applyBorder="1" applyAlignment="1" applyProtection="1">
      <alignment horizontal="left" vertical="center"/>
      <protection hidden="1"/>
    </xf>
    <xf numFmtId="41" fontId="31" fillId="3" borderId="41" xfId="1" applyFont="1" applyFill="1" applyBorder="1" applyAlignment="1" applyProtection="1">
      <alignment horizontal="left" vertical="center"/>
      <protection locked="0"/>
    </xf>
    <xf numFmtId="176" fontId="33" fillId="3" borderId="40" xfId="0" applyNumberFormat="1" applyFont="1" applyFill="1" applyBorder="1" applyAlignment="1" applyProtection="1">
      <alignment horizontal="left" vertical="center"/>
      <protection locked="0"/>
    </xf>
    <xf numFmtId="181" fontId="33" fillId="0" borderId="228" xfId="0" applyNumberFormat="1" applyFont="1" applyBorder="1" applyAlignment="1" applyProtection="1">
      <alignment horizontal="left" vertical="center"/>
      <protection hidden="1"/>
    </xf>
    <xf numFmtId="0" fontId="0" fillId="13" borderId="22" xfId="0" applyFill="1" applyBorder="1" applyAlignment="1" applyProtection="1">
      <alignment horizontal="left" vertical="center"/>
      <protection hidden="1"/>
    </xf>
    <xf numFmtId="0" fontId="25" fillId="12" borderId="22" xfId="0" applyFont="1" applyFill="1" applyBorder="1" applyAlignment="1" applyProtection="1">
      <alignment horizontal="left" vertical="center"/>
      <protection hidden="1"/>
    </xf>
    <xf numFmtId="0" fontId="25" fillId="12" borderId="23" xfId="0" applyFont="1" applyFill="1" applyBorder="1" applyAlignment="1" applyProtection="1">
      <alignment horizontal="left" vertical="center"/>
      <protection hidden="1"/>
    </xf>
    <xf numFmtId="0" fontId="25" fillId="12" borderId="24" xfId="0" applyFont="1" applyFill="1" applyBorder="1" applyAlignment="1" applyProtection="1">
      <alignment horizontal="left" vertical="center"/>
      <protection hidden="1"/>
    </xf>
    <xf numFmtId="0" fontId="30" fillId="16" borderId="22" xfId="0" applyFont="1" applyFill="1" applyBorder="1" applyAlignment="1" applyProtection="1">
      <alignment horizontal="left" vertical="center" shrinkToFit="1"/>
      <protection hidden="1"/>
    </xf>
    <xf numFmtId="0" fontId="30" fillId="16" borderId="23" xfId="0" applyFont="1" applyFill="1" applyBorder="1" applyAlignment="1" applyProtection="1">
      <alignment horizontal="left" vertical="center" shrinkToFit="1"/>
      <protection hidden="1"/>
    </xf>
    <xf numFmtId="0" fontId="30" fillId="16" borderId="24" xfId="0" applyFont="1" applyFill="1" applyBorder="1" applyAlignment="1" applyProtection="1">
      <alignment horizontal="left" vertical="center" shrinkToFit="1"/>
      <protection hidden="1"/>
    </xf>
    <xf numFmtId="41" fontId="25" fillId="8" borderId="25" xfId="0" applyNumberFormat="1" applyFont="1" applyFill="1" applyBorder="1" applyAlignment="1" applyProtection="1">
      <alignment horizontal="left" vertical="center"/>
      <protection locked="0"/>
    </xf>
    <xf numFmtId="181" fontId="33" fillId="4" borderId="40" xfId="0" applyNumberFormat="1" applyFont="1" applyFill="1" applyBorder="1" applyAlignment="1" applyProtection="1">
      <alignment horizontal="left" vertical="center"/>
      <protection locked="0"/>
    </xf>
    <xf numFmtId="0" fontId="31" fillId="4" borderId="35" xfId="0" applyFont="1" applyFill="1" applyBorder="1" applyAlignment="1" applyProtection="1">
      <alignment horizontal="left" vertical="center"/>
      <protection locked="0"/>
    </xf>
    <xf numFmtId="41" fontId="31" fillId="4" borderId="32" xfId="1" applyFont="1" applyFill="1" applyBorder="1" applyAlignment="1" applyProtection="1">
      <alignment horizontal="left" vertical="center"/>
      <protection locked="0"/>
    </xf>
    <xf numFmtId="0" fontId="31" fillId="2" borderId="34" xfId="0" applyFont="1" applyFill="1" applyBorder="1" applyAlignment="1" applyProtection="1">
      <alignment horizontal="left" vertical="center"/>
      <protection locked="0"/>
    </xf>
    <xf numFmtId="41" fontId="31" fillId="2" borderId="32" xfId="1" applyFont="1" applyFill="1" applyBorder="1" applyAlignment="1" applyProtection="1">
      <alignment horizontal="left" vertical="center"/>
      <protection locked="0"/>
    </xf>
    <xf numFmtId="0" fontId="31" fillId="2" borderId="57" xfId="0" applyFont="1" applyFill="1" applyBorder="1" applyAlignment="1" applyProtection="1">
      <alignment horizontal="left" vertical="center"/>
      <protection locked="0"/>
    </xf>
    <xf numFmtId="41" fontId="31" fillId="2" borderId="47" xfId="1" applyFont="1" applyFill="1" applyBorder="1" applyAlignment="1" applyProtection="1">
      <alignment horizontal="left" vertical="center"/>
      <protection locked="0"/>
    </xf>
    <xf numFmtId="41" fontId="31" fillId="2" borderId="78" xfId="1" applyFont="1" applyFill="1" applyBorder="1" applyAlignment="1" applyProtection="1">
      <alignment horizontal="left" vertical="center"/>
      <protection locked="0"/>
    </xf>
    <xf numFmtId="181" fontId="33" fillId="4" borderId="45" xfId="0" applyNumberFormat="1" applyFont="1" applyFill="1" applyBorder="1" applyAlignment="1" applyProtection="1">
      <alignment horizontal="left" vertical="center"/>
      <protection locked="0"/>
    </xf>
    <xf numFmtId="0" fontId="0" fillId="13" borderId="87" xfId="0" applyFill="1" applyBorder="1" applyAlignment="1" applyProtection="1">
      <alignment horizontal="left" vertical="center"/>
      <protection hidden="1"/>
    </xf>
    <xf numFmtId="0" fontId="0" fillId="13" borderId="88" xfId="0" applyFill="1" applyBorder="1" applyAlignment="1" applyProtection="1">
      <alignment horizontal="left" vertical="center"/>
      <protection hidden="1"/>
    </xf>
    <xf numFmtId="0" fontId="31" fillId="4" borderId="57" xfId="0" applyFont="1" applyFill="1" applyBorder="1" applyAlignment="1" applyProtection="1">
      <alignment horizontal="left" vertical="center"/>
      <protection locked="0"/>
    </xf>
    <xf numFmtId="41" fontId="31" fillId="4" borderId="47" xfId="1" applyFont="1" applyFill="1" applyBorder="1" applyAlignment="1" applyProtection="1">
      <alignment horizontal="left" vertical="center"/>
      <protection locked="0"/>
    </xf>
    <xf numFmtId="181" fontId="33" fillId="4" borderId="46" xfId="0" applyNumberFormat="1" applyFont="1" applyFill="1" applyBorder="1" applyAlignment="1" applyProtection="1">
      <alignment horizontal="left" vertical="center"/>
      <protection locked="0"/>
    </xf>
    <xf numFmtId="0" fontId="26" fillId="0" borderId="22" xfId="0" applyFont="1" applyBorder="1" applyAlignment="1" applyProtection="1">
      <alignment horizontal="left" vertical="center"/>
      <protection hidden="1"/>
    </xf>
    <xf numFmtId="0" fontId="26" fillId="0" borderId="23" xfId="0" applyFont="1" applyBorder="1" applyAlignment="1" applyProtection="1">
      <alignment horizontal="left" vertical="center"/>
      <protection hidden="1"/>
    </xf>
    <xf numFmtId="0" fontId="26" fillId="0" borderId="24" xfId="0" applyFont="1" applyBorder="1" applyAlignment="1" applyProtection="1">
      <alignment horizontal="left" vertical="center"/>
      <protection hidden="1"/>
    </xf>
    <xf numFmtId="9" fontId="25" fillId="9" borderId="49" xfId="2" applyFont="1" applyFill="1" applyBorder="1" applyAlignment="1" applyProtection="1">
      <alignment horizontal="left" vertical="center"/>
      <protection locked="0"/>
    </xf>
    <xf numFmtId="41" fontId="25" fillId="0" borderId="24" xfId="0" applyNumberFormat="1" applyFont="1" applyBorder="1" applyAlignment="1" applyProtection="1">
      <alignment horizontal="left" vertical="center"/>
      <protection hidden="1"/>
    </xf>
    <xf numFmtId="41" fontId="24" fillId="0" borderId="80" xfId="0" applyNumberFormat="1" applyFont="1" applyBorder="1" applyAlignment="1" applyProtection="1">
      <alignment horizontal="left" vertical="center"/>
      <protection locked="0"/>
    </xf>
    <xf numFmtId="41" fontId="24" fillId="0" borderId="77" xfId="0" applyNumberFormat="1" applyFont="1" applyBorder="1" applyAlignment="1" applyProtection="1">
      <alignment horizontal="left" vertical="center"/>
      <protection locked="0"/>
    </xf>
    <xf numFmtId="41" fontId="24" fillId="3" borderId="84" xfId="0" applyNumberFormat="1" applyFont="1" applyFill="1" applyBorder="1" applyAlignment="1" applyProtection="1">
      <alignment horizontal="left" vertical="center"/>
      <protection locked="0"/>
    </xf>
    <xf numFmtId="41" fontId="24" fillId="3" borderId="79" xfId="0" applyNumberFormat="1" applyFont="1" applyFill="1" applyBorder="1" applyAlignment="1" applyProtection="1">
      <alignment horizontal="left" vertical="center"/>
      <protection locked="0"/>
    </xf>
    <xf numFmtId="14" fontId="25" fillId="6" borderId="42" xfId="0" applyNumberFormat="1" applyFont="1" applyFill="1" applyBorder="1" applyAlignment="1" applyProtection="1">
      <alignment horizontal="left" vertical="center"/>
      <protection locked="0"/>
    </xf>
    <xf numFmtId="41" fontId="25" fillId="0" borderId="71" xfId="0" applyNumberFormat="1" applyFont="1" applyBorder="1" applyProtection="1">
      <alignment vertical="center"/>
      <protection locked="0"/>
    </xf>
    <xf numFmtId="0" fontId="25" fillId="11" borderId="80" xfId="0" applyFont="1" applyFill="1" applyBorder="1" applyProtection="1">
      <alignment vertical="center"/>
      <protection hidden="1"/>
    </xf>
    <xf numFmtId="0" fontId="25" fillId="0" borderId="54" xfId="0" applyFont="1" applyBorder="1" applyProtection="1">
      <alignment vertical="center"/>
      <protection hidden="1"/>
    </xf>
    <xf numFmtId="41" fontId="24" fillId="11" borderId="25" xfId="1" applyFont="1" applyFill="1" applyBorder="1" applyProtection="1">
      <alignment vertical="center"/>
      <protection hidden="1"/>
    </xf>
    <xf numFmtId="41" fontId="25" fillId="0" borderId="74" xfId="1" applyFont="1" applyFill="1" applyBorder="1" applyProtection="1">
      <alignment vertical="center"/>
      <protection hidden="1"/>
    </xf>
    <xf numFmtId="41" fontId="25" fillId="8" borderId="25" xfId="1" applyFont="1" applyFill="1" applyBorder="1" applyProtection="1">
      <alignment vertical="center"/>
      <protection hidden="1"/>
    </xf>
    <xf numFmtId="41" fontId="31" fillId="3" borderId="82" xfId="1" applyFont="1" applyFill="1" applyBorder="1" applyProtection="1">
      <alignment vertical="center"/>
      <protection locked="0"/>
    </xf>
    <xf numFmtId="41" fontId="31" fillId="3" borderId="79" xfId="1" applyFont="1" applyFill="1" applyBorder="1" applyProtection="1">
      <alignment vertical="center"/>
      <protection locked="0"/>
    </xf>
    <xf numFmtId="41" fontId="25" fillId="0" borderId="52" xfId="1" applyFont="1" applyFill="1" applyBorder="1" applyProtection="1">
      <alignment vertical="center"/>
      <protection hidden="1"/>
    </xf>
    <xf numFmtId="41" fontId="25" fillId="0" borderId="25" xfId="1" applyFont="1" applyFill="1" applyBorder="1" applyProtection="1">
      <alignment vertical="center"/>
      <protection hidden="1"/>
    </xf>
    <xf numFmtId="41" fontId="25" fillId="0" borderId="32" xfId="1" applyFont="1" applyBorder="1" applyAlignment="1" applyProtection="1">
      <alignment vertical="center"/>
      <protection hidden="1"/>
    </xf>
    <xf numFmtId="41" fontId="25" fillId="0" borderId="32" xfId="1" applyFont="1" applyBorder="1" applyProtection="1">
      <alignment vertical="center"/>
      <protection hidden="1"/>
    </xf>
    <xf numFmtId="41" fontId="25" fillId="0" borderId="25" xfId="1" applyFont="1" applyBorder="1" applyProtection="1">
      <alignment vertical="center"/>
      <protection hidden="1"/>
    </xf>
    <xf numFmtId="41" fontId="31" fillId="3" borderId="35" xfId="1" applyFont="1" applyFill="1" applyBorder="1" applyProtection="1">
      <alignment vertical="center"/>
      <protection locked="0"/>
    </xf>
    <xf numFmtId="41" fontId="25" fillId="8" borderId="25" xfId="1" applyFont="1" applyFill="1" applyBorder="1" applyProtection="1">
      <alignment vertical="center"/>
      <protection locked="0"/>
    </xf>
    <xf numFmtId="41" fontId="31" fillId="2" borderId="82" xfId="1" applyFont="1" applyFill="1" applyBorder="1" applyProtection="1">
      <alignment vertical="center"/>
      <protection locked="0"/>
    </xf>
    <xf numFmtId="41" fontId="31" fillId="4" borderId="79" xfId="1" applyFont="1" applyFill="1" applyBorder="1" applyProtection="1">
      <alignment vertical="center"/>
      <protection locked="0"/>
    </xf>
    <xf numFmtId="41" fontId="25" fillId="8" borderId="59" xfId="1" applyFont="1" applyFill="1" applyBorder="1" applyProtection="1">
      <alignment vertical="center"/>
      <protection locked="0"/>
    </xf>
    <xf numFmtId="41" fontId="31" fillId="3" borderId="199" xfId="1" applyFont="1" applyFill="1" applyBorder="1" applyProtection="1">
      <alignment vertical="center"/>
      <protection locked="0"/>
    </xf>
    <xf numFmtId="41" fontId="31" fillId="3" borderId="203" xfId="1" applyFont="1" applyFill="1" applyBorder="1" applyProtection="1">
      <alignment vertical="center"/>
      <protection locked="0"/>
    </xf>
    <xf numFmtId="0" fontId="26" fillId="6" borderId="25" xfId="0" applyFont="1" applyFill="1" applyBorder="1" applyAlignment="1" applyProtection="1">
      <alignment horizontal="center" vertical="center"/>
      <protection hidden="1"/>
    </xf>
    <xf numFmtId="14" fontId="60" fillId="8" borderId="0" xfId="8" applyNumberFormat="1" applyFont="1" applyFill="1" applyAlignment="1" applyProtection="1">
      <alignment horizontal="left" vertical="center" wrapText="1"/>
      <protection hidden="1"/>
    </xf>
    <xf numFmtId="14" fontId="60" fillId="8" borderId="0" xfId="8" applyNumberFormat="1" applyFont="1" applyFill="1" applyAlignment="1" applyProtection="1">
      <alignment vertical="center" wrapText="1"/>
      <protection hidden="1"/>
    </xf>
    <xf numFmtId="14" fontId="60" fillId="8" borderId="195" xfId="8" applyNumberFormat="1" applyFont="1" applyFill="1" applyBorder="1" applyAlignment="1" applyProtection="1">
      <alignment vertical="center" wrapText="1"/>
      <protection hidden="1"/>
    </xf>
    <xf numFmtId="14" fontId="60" fillId="8" borderId="0" xfId="8" applyNumberFormat="1" applyFont="1" applyFill="1" applyAlignment="1" applyProtection="1">
      <alignment horizontal="center" vertical="center" wrapText="1"/>
      <protection hidden="1"/>
    </xf>
    <xf numFmtId="177" fontId="60" fillId="8" borderId="0" xfId="8" applyNumberFormat="1" applyFont="1" applyFill="1" applyAlignment="1" applyProtection="1">
      <alignment vertical="center" wrapText="1"/>
      <protection hidden="1"/>
    </xf>
    <xf numFmtId="177" fontId="60" fillId="8" borderId="195" xfId="8" applyNumberFormat="1" applyFont="1" applyFill="1" applyBorder="1" applyAlignment="1" applyProtection="1">
      <alignment vertical="center" wrapText="1"/>
      <protection hidden="1"/>
    </xf>
    <xf numFmtId="177" fontId="60" fillId="8" borderId="0" xfId="8" applyNumberFormat="1" applyFont="1" applyFill="1" applyAlignment="1" applyProtection="1">
      <alignment horizontal="center" vertical="center" wrapText="1"/>
      <protection hidden="1"/>
    </xf>
    <xf numFmtId="177" fontId="60" fillId="11" borderId="146" xfId="8" applyNumberFormat="1" applyFont="1" applyFill="1" applyBorder="1" applyAlignment="1" applyProtection="1">
      <alignment vertical="center" wrapText="1"/>
      <protection hidden="1"/>
    </xf>
    <xf numFmtId="177" fontId="60" fillId="11" borderId="147" xfId="8" applyNumberFormat="1" applyFont="1" applyFill="1" applyBorder="1" applyAlignment="1" applyProtection="1">
      <alignment vertical="center" wrapText="1"/>
      <protection hidden="1"/>
    </xf>
    <xf numFmtId="14" fontId="41" fillId="6" borderId="233" xfId="0" applyNumberFormat="1" applyFont="1" applyFill="1" applyBorder="1" applyAlignment="1" applyProtection="1">
      <alignment horizontal="left" vertical="center"/>
      <protection locked="0"/>
    </xf>
    <xf numFmtId="14" fontId="25" fillId="6" borderId="78" xfId="0" applyNumberFormat="1" applyFont="1" applyFill="1" applyBorder="1" applyAlignment="1">
      <alignment horizontal="center" vertical="center"/>
    </xf>
    <xf numFmtId="0" fontId="8" fillId="0" borderId="57" xfId="0" applyFont="1" applyBorder="1" applyAlignment="1" applyProtection="1">
      <alignment horizontal="left" vertical="center" shrinkToFit="1"/>
      <protection hidden="1"/>
    </xf>
    <xf numFmtId="0" fontId="26" fillId="6" borderId="78" xfId="0" applyFont="1" applyFill="1" applyBorder="1" applyAlignment="1" applyProtection="1">
      <alignment horizontal="left" vertical="center"/>
      <protection locked="0"/>
    </xf>
    <xf numFmtId="0" fontId="26" fillId="6" borderId="79" xfId="0" applyFont="1" applyFill="1" applyBorder="1" applyAlignment="1" applyProtection="1">
      <alignment horizontal="left" vertical="center"/>
      <protection locked="0"/>
    </xf>
    <xf numFmtId="0" fontId="24" fillId="0" borderId="58" xfId="0" applyFont="1" applyBorder="1" applyAlignment="1" applyProtection="1">
      <alignment horizontal="left" vertical="center"/>
      <protection hidden="1"/>
    </xf>
    <xf numFmtId="0" fontId="24" fillId="0" borderId="34" xfId="0" applyFont="1" applyBorder="1" applyAlignment="1" applyProtection="1">
      <alignment horizontal="left" vertical="center"/>
      <protection hidden="1"/>
    </xf>
    <xf numFmtId="14" fontId="25" fillId="6" borderId="41" xfId="0" applyNumberFormat="1" applyFont="1" applyFill="1" applyBorder="1" applyAlignment="1" applyProtection="1">
      <alignment horizontal="left" vertical="center"/>
      <protection locked="0"/>
    </xf>
    <xf numFmtId="14" fontId="25" fillId="6" borderId="35" xfId="0" applyNumberFormat="1" applyFont="1" applyFill="1" applyBorder="1" applyAlignment="1" applyProtection="1">
      <alignment horizontal="left" vertical="center"/>
      <protection locked="0"/>
    </xf>
    <xf numFmtId="0" fontId="24" fillId="0" borderId="36" xfId="0" applyFont="1" applyBorder="1" applyAlignment="1" applyProtection="1">
      <alignment horizontal="left" vertical="center"/>
      <protection hidden="1"/>
    </xf>
    <xf numFmtId="0" fontId="25" fillId="6" borderId="41" xfId="0" applyFont="1" applyFill="1" applyBorder="1" applyAlignment="1" applyProtection="1">
      <alignment horizontal="left" vertical="center"/>
      <protection locked="0"/>
    </xf>
    <xf numFmtId="0" fontId="25" fillId="6" borderId="35" xfId="0" applyFont="1" applyFill="1" applyBorder="1" applyAlignment="1" applyProtection="1">
      <alignment horizontal="left" vertical="center"/>
      <protection locked="0"/>
    </xf>
    <xf numFmtId="0" fontId="26" fillId="6" borderId="78" xfId="0" applyFont="1" applyFill="1" applyBorder="1" applyAlignment="1" applyProtection="1">
      <alignment horizontal="left" vertical="center"/>
      <protection hidden="1"/>
    </xf>
    <xf numFmtId="0" fontId="26" fillId="6" borderId="79" xfId="0" applyFont="1" applyFill="1" applyBorder="1" applyAlignment="1" applyProtection="1">
      <alignment horizontal="left" vertical="center"/>
      <protection hidden="1"/>
    </xf>
    <xf numFmtId="0" fontId="31" fillId="4" borderId="34" xfId="0" applyFont="1" applyFill="1" applyBorder="1" applyProtection="1">
      <alignment vertical="center"/>
      <protection locked="0"/>
    </xf>
    <xf numFmtId="0" fontId="27" fillId="11" borderId="84" xfId="0" applyFont="1" applyFill="1" applyBorder="1" applyAlignment="1" applyProtection="1">
      <alignment horizontal="left" vertical="center"/>
      <protection hidden="1"/>
    </xf>
    <xf numFmtId="184" fontId="27" fillId="6" borderId="58" xfId="0" applyNumberFormat="1" applyFont="1" applyFill="1" applyBorder="1" applyAlignment="1" applyProtection="1">
      <alignment horizontal="left" vertical="center"/>
      <protection locked="0"/>
    </xf>
    <xf numFmtId="0" fontId="27" fillId="11" borderId="22" xfId="0" applyFont="1" applyFill="1" applyBorder="1" applyAlignment="1" applyProtection="1">
      <alignment horizontal="left" vertical="center"/>
      <protection hidden="1"/>
    </xf>
    <xf numFmtId="41" fontId="27" fillId="6" borderId="51" xfId="1" applyFont="1" applyFill="1" applyBorder="1" applyAlignment="1" applyProtection="1">
      <alignment horizontal="left" vertical="center"/>
      <protection locked="0"/>
    </xf>
    <xf numFmtId="0" fontId="37" fillId="0" borderId="36" xfId="0" applyFont="1" applyBorder="1" applyAlignment="1">
      <alignment horizontal="center" vertical="center" shrinkToFit="1"/>
    </xf>
    <xf numFmtId="41" fontId="13" fillId="0" borderId="41" xfId="1" applyFont="1" applyFill="1" applyBorder="1" applyAlignment="1" applyProtection="1">
      <alignment horizontal="center" vertical="center"/>
      <protection hidden="1"/>
    </xf>
    <xf numFmtId="41" fontId="13" fillId="0" borderId="78" xfId="1" applyFont="1" applyFill="1" applyBorder="1" applyAlignment="1" applyProtection="1">
      <alignment horizontal="center" vertical="center"/>
      <protection hidden="1"/>
    </xf>
    <xf numFmtId="181" fontId="8" fillId="6" borderId="235" xfId="1" applyNumberFormat="1" applyFont="1" applyFill="1" applyBorder="1" applyAlignment="1" applyProtection="1">
      <alignment horizontal="center" vertical="center" shrinkToFit="1"/>
      <protection locked="0"/>
    </xf>
    <xf numFmtId="0" fontId="24" fillId="0" borderId="58" xfId="0" applyFont="1" applyBorder="1" applyAlignment="1" applyProtection="1">
      <alignment horizontal="center" vertical="center"/>
      <protection hidden="1"/>
    </xf>
    <xf numFmtId="10" fontId="24" fillId="6" borderId="25" xfId="2" applyNumberFormat="1" applyFont="1" applyFill="1" applyBorder="1" applyAlignment="1" applyProtection="1">
      <alignment horizontal="center" vertical="center"/>
      <protection locked="0"/>
    </xf>
    <xf numFmtId="10" fontId="24" fillId="6" borderId="32" xfId="2" applyNumberFormat="1" applyFont="1" applyFill="1" applyBorder="1" applyAlignment="1" applyProtection="1">
      <alignment horizontal="center" vertical="center"/>
      <protection locked="0"/>
    </xf>
    <xf numFmtId="10" fontId="24" fillId="6" borderId="47" xfId="2" applyNumberFormat="1" applyFont="1" applyFill="1" applyBorder="1" applyAlignment="1" applyProtection="1">
      <alignment horizontal="center" vertical="center"/>
      <protection locked="0"/>
    </xf>
    <xf numFmtId="41" fontId="30" fillId="0" borderId="85" xfId="1" applyFont="1" applyBorder="1" applyProtection="1">
      <alignment vertical="center"/>
      <protection locked="0"/>
    </xf>
    <xf numFmtId="0" fontId="0" fillId="0" borderId="32" xfId="0" applyBorder="1" applyAlignment="1" applyProtection="1">
      <alignment horizontal="center" vertical="center"/>
      <protection hidden="1"/>
    </xf>
    <xf numFmtId="10" fontId="0" fillId="0" borderId="69" xfId="2" applyNumberFormat="1" applyFont="1" applyBorder="1" applyAlignment="1" applyProtection="1">
      <alignment horizontal="center" vertical="center"/>
      <protection hidden="1"/>
    </xf>
    <xf numFmtId="10" fontId="0" fillId="0" borderId="47" xfId="2" applyNumberFormat="1" applyFont="1" applyBorder="1" applyAlignment="1" applyProtection="1">
      <alignment horizontal="center" vertical="center"/>
      <protection hidden="1"/>
    </xf>
    <xf numFmtId="0" fontId="0" fillId="0" borderId="32" xfId="0" applyBorder="1" applyProtection="1">
      <alignment vertical="center"/>
      <protection locked="0"/>
    </xf>
    <xf numFmtId="41" fontId="30" fillId="0" borderId="236" xfId="1" applyFont="1" applyBorder="1" applyProtection="1">
      <alignment vertical="center"/>
      <protection locked="0"/>
    </xf>
    <xf numFmtId="0" fontId="77" fillId="0" borderId="207" xfId="0" applyFont="1" applyBorder="1" applyProtection="1">
      <alignment vertical="center"/>
      <protection locked="0"/>
    </xf>
    <xf numFmtId="0" fontId="0" fillId="0" borderId="216" xfId="0" applyBorder="1" applyProtection="1">
      <alignment vertical="center"/>
      <protection locked="0"/>
    </xf>
    <xf numFmtId="0" fontId="25" fillId="9" borderId="54" xfId="0" applyFont="1" applyFill="1" applyBorder="1" applyAlignment="1" applyProtection="1">
      <alignment horizontal="center" vertical="center" shrinkToFit="1"/>
      <protection hidden="1"/>
    </xf>
    <xf numFmtId="0" fontId="25" fillId="9" borderId="25" xfId="0" applyFont="1" applyFill="1" applyBorder="1" applyAlignment="1" applyProtection="1">
      <alignment horizontal="center" vertical="center" shrinkToFit="1"/>
      <protection hidden="1"/>
    </xf>
    <xf numFmtId="9" fontId="0" fillId="3" borderId="57" xfId="2" applyFont="1" applyFill="1" applyBorder="1" applyAlignment="1" applyProtection="1">
      <alignment horizontal="center" vertical="center"/>
      <protection locked="0"/>
    </xf>
    <xf numFmtId="9" fontId="0" fillId="3" borderId="47" xfId="2" applyFont="1" applyFill="1" applyBorder="1" applyAlignment="1" applyProtection="1">
      <alignment horizontal="center" vertical="center"/>
      <protection locked="0"/>
    </xf>
    <xf numFmtId="14" fontId="26" fillId="0" borderId="45" xfId="0" applyNumberFormat="1" applyFont="1" applyBorder="1" applyAlignment="1" applyProtection="1">
      <alignment horizontal="center" vertical="center"/>
      <protection hidden="1"/>
    </xf>
    <xf numFmtId="0" fontId="26" fillId="3" borderId="32" xfId="0" applyFont="1" applyFill="1" applyBorder="1" applyAlignment="1" applyProtection="1">
      <alignment horizontal="center" vertical="center"/>
      <protection hidden="1"/>
    </xf>
    <xf numFmtId="14" fontId="26" fillId="0" borderId="40" xfId="0" applyNumberFormat="1" applyFont="1" applyBorder="1" applyAlignment="1" applyProtection="1">
      <alignment horizontal="center" vertical="center"/>
      <protection hidden="1"/>
    </xf>
    <xf numFmtId="0" fontId="26" fillId="2" borderId="47" xfId="0" applyFont="1" applyFill="1" applyBorder="1" applyAlignment="1" applyProtection="1">
      <alignment horizontal="center" vertical="center"/>
      <protection hidden="1"/>
    </xf>
    <xf numFmtId="0" fontId="5" fillId="11" borderId="0" xfId="0" applyFont="1" applyFill="1" applyAlignment="1" applyProtection="1">
      <alignment vertical="center" shrinkToFit="1"/>
      <protection hidden="1"/>
    </xf>
    <xf numFmtId="0" fontId="11" fillId="11" borderId="0" xfId="0" applyFont="1" applyFill="1" applyAlignment="1" applyProtection="1">
      <alignment vertical="center" shrinkToFit="1"/>
      <protection hidden="1"/>
    </xf>
    <xf numFmtId="0" fontId="11" fillId="11" borderId="0" xfId="0" applyFont="1" applyFill="1" applyAlignment="1" applyProtection="1">
      <alignment horizontal="center" vertical="center" shrinkToFit="1"/>
      <protection hidden="1"/>
    </xf>
    <xf numFmtId="0" fontId="86" fillId="13" borderId="199" xfId="0" applyFont="1" applyFill="1" applyBorder="1" applyAlignment="1" applyProtection="1">
      <alignment horizontal="center" vertical="center" shrinkToFit="1"/>
      <protection hidden="1"/>
    </xf>
    <xf numFmtId="49" fontId="6" fillId="11" borderId="201" xfId="0" applyNumberFormat="1" applyFont="1" applyFill="1" applyBorder="1" applyAlignment="1" applyProtection="1">
      <alignment horizontal="center" vertical="center" shrinkToFit="1"/>
      <protection hidden="1"/>
    </xf>
    <xf numFmtId="0" fontId="6" fillId="11" borderId="201" xfId="0" applyFont="1" applyFill="1" applyBorder="1" applyAlignment="1" applyProtection="1">
      <alignment horizontal="center" vertical="center" shrinkToFit="1"/>
      <protection hidden="1"/>
    </xf>
    <xf numFmtId="41" fontId="12" fillId="11" borderId="201" xfId="0" applyNumberFormat="1" applyFont="1" applyFill="1" applyBorder="1" applyAlignment="1" applyProtection="1">
      <alignment vertical="center" shrinkToFit="1"/>
      <protection hidden="1"/>
    </xf>
    <xf numFmtId="0" fontId="12" fillId="11" borderId="201" xfId="0" applyFont="1" applyFill="1" applyBorder="1" applyAlignment="1" applyProtection="1">
      <alignment vertical="center" shrinkToFit="1"/>
      <protection hidden="1"/>
    </xf>
    <xf numFmtId="0" fontId="12" fillId="11" borderId="201" xfId="0" applyFont="1" applyFill="1" applyBorder="1" applyAlignment="1" applyProtection="1">
      <alignment horizontal="center" vertical="center" shrinkToFit="1"/>
      <protection hidden="1"/>
    </xf>
    <xf numFmtId="188" fontId="12" fillId="11" borderId="43" xfId="0" applyNumberFormat="1" applyFont="1" applyFill="1" applyBorder="1" applyAlignment="1" applyProtection="1">
      <alignment vertical="center" shrinkToFit="1"/>
      <protection hidden="1"/>
    </xf>
    <xf numFmtId="49" fontId="69" fillId="11" borderId="0" xfId="0" applyNumberFormat="1" applyFont="1" applyFill="1" applyAlignment="1" applyProtection="1">
      <alignment horizontal="center" vertical="center" shrinkToFit="1"/>
      <protection hidden="1"/>
    </xf>
    <xf numFmtId="0" fontId="69" fillId="11" borderId="0" xfId="0" applyFont="1" applyFill="1" applyAlignment="1" applyProtection="1">
      <alignment horizontal="center" vertical="center" shrinkToFit="1"/>
      <protection hidden="1"/>
    </xf>
    <xf numFmtId="41" fontId="8" fillId="11" borderId="0" xfId="9" applyFont="1" applyFill="1" applyBorder="1" applyAlignment="1" applyProtection="1">
      <alignment horizontal="right" vertical="center" shrinkToFit="1"/>
      <protection hidden="1"/>
    </xf>
    <xf numFmtId="0" fontId="69" fillId="11" borderId="0" xfId="0" applyFont="1" applyFill="1" applyAlignment="1" applyProtection="1">
      <alignment vertical="center" shrinkToFit="1"/>
      <protection hidden="1"/>
    </xf>
    <xf numFmtId="188" fontId="8" fillId="11" borderId="0" xfId="6" applyNumberFormat="1" applyFont="1" applyFill="1" applyBorder="1" applyAlignment="1" applyProtection="1">
      <alignment vertical="center" shrinkToFit="1"/>
      <protection hidden="1"/>
    </xf>
    <xf numFmtId="41" fontId="8" fillId="11" borderId="0" xfId="9" applyFont="1" applyFill="1" applyBorder="1" applyAlignment="1" applyProtection="1">
      <alignment horizontal="center" vertical="center" shrinkToFit="1"/>
      <protection hidden="1"/>
    </xf>
    <xf numFmtId="186" fontId="8" fillId="11" borderId="0" xfId="9" applyNumberFormat="1" applyFont="1" applyFill="1" applyBorder="1" applyAlignment="1" applyProtection="1">
      <alignment vertical="center" shrinkToFit="1"/>
      <protection hidden="1"/>
    </xf>
    <xf numFmtId="189" fontId="8" fillId="11" borderId="0" xfId="9" applyNumberFormat="1" applyFont="1" applyFill="1" applyBorder="1" applyAlignment="1" applyProtection="1">
      <alignment vertical="center" shrinkToFit="1"/>
      <protection hidden="1"/>
    </xf>
    <xf numFmtId="188" fontId="8" fillId="11" borderId="91" xfId="9" applyNumberFormat="1" applyFont="1" applyFill="1" applyBorder="1" applyAlignment="1" applyProtection="1">
      <alignment vertical="center" shrinkToFit="1"/>
      <protection hidden="1"/>
    </xf>
    <xf numFmtId="41" fontId="11" fillId="11" borderId="0" xfId="0" applyNumberFormat="1" applyFont="1" applyFill="1" applyAlignment="1" applyProtection="1">
      <alignment vertical="center" shrinkToFit="1"/>
      <protection hidden="1"/>
    </xf>
    <xf numFmtId="0" fontId="11" fillId="11" borderId="91" xfId="0" applyFont="1" applyFill="1" applyBorder="1" applyAlignment="1" applyProtection="1">
      <alignment vertical="center" shrinkToFit="1"/>
      <protection hidden="1"/>
    </xf>
    <xf numFmtId="49" fontId="69" fillId="11" borderId="198" xfId="0" applyNumberFormat="1" applyFont="1" applyFill="1" applyBorder="1" applyAlignment="1" applyProtection="1">
      <alignment horizontal="center" vertical="center" shrinkToFit="1"/>
      <protection hidden="1"/>
    </xf>
    <xf numFmtId="0" fontId="69" fillId="11" borderId="198" xfId="0" applyFont="1" applyFill="1" applyBorder="1" applyAlignment="1" applyProtection="1">
      <alignment horizontal="center" vertical="center" shrinkToFit="1"/>
      <protection hidden="1"/>
    </xf>
    <xf numFmtId="41" fontId="11" fillId="11" borderId="198" xfId="0" applyNumberFormat="1" applyFont="1" applyFill="1" applyBorder="1" applyAlignment="1" applyProtection="1">
      <alignment vertical="center" shrinkToFit="1"/>
      <protection hidden="1"/>
    </xf>
    <xf numFmtId="0" fontId="69" fillId="11" borderId="198" xfId="0" applyFont="1" applyFill="1" applyBorder="1" applyAlignment="1" applyProtection="1">
      <alignment vertical="center" shrinkToFit="1"/>
      <protection hidden="1"/>
    </xf>
    <xf numFmtId="0" fontId="11" fillId="11" borderId="198" xfId="0" applyFont="1" applyFill="1" applyBorder="1" applyAlignment="1" applyProtection="1">
      <alignment vertical="center" shrinkToFit="1"/>
      <protection hidden="1"/>
    </xf>
    <xf numFmtId="0" fontId="11" fillId="11" borderId="198" xfId="0" applyFont="1" applyFill="1" applyBorder="1" applyAlignment="1" applyProtection="1">
      <alignment horizontal="center" vertical="center" shrinkToFit="1"/>
      <protection hidden="1"/>
    </xf>
    <xf numFmtId="0" fontId="11" fillId="11" borderId="29" xfId="0" applyFont="1" applyFill="1" applyBorder="1" applyAlignment="1" applyProtection="1">
      <alignment vertical="center" shrinkToFit="1"/>
      <protection hidden="1"/>
    </xf>
    <xf numFmtId="49" fontId="69" fillId="11" borderId="199" xfId="0" applyNumberFormat="1" applyFont="1" applyFill="1" applyBorder="1" applyAlignment="1" applyProtection="1">
      <alignment horizontal="center" vertical="center" shrinkToFit="1"/>
      <protection hidden="1"/>
    </xf>
    <xf numFmtId="0" fontId="69" fillId="11" borderId="199" xfId="0" applyFont="1" applyFill="1" applyBorder="1" applyAlignment="1" applyProtection="1">
      <alignment horizontal="center" vertical="center" shrinkToFit="1"/>
      <protection hidden="1"/>
    </xf>
    <xf numFmtId="41" fontId="11" fillId="11" borderId="199" xfId="0" applyNumberFormat="1" applyFont="1" applyFill="1" applyBorder="1" applyAlignment="1" applyProtection="1">
      <alignment vertical="center" shrinkToFit="1"/>
      <protection hidden="1"/>
    </xf>
    <xf numFmtId="0" fontId="11" fillId="11" borderId="199" xfId="0" applyFont="1" applyFill="1" applyBorder="1" applyAlignment="1" applyProtection="1">
      <alignment vertical="center" shrinkToFit="1"/>
      <protection hidden="1"/>
    </xf>
    <xf numFmtId="0" fontId="11" fillId="11" borderId="199" xfId="0" applyFont="1" applyFill="1" applyBorder="1" applyAlignment="1" applyProtection="1">
      <alignment horizontal="center" vertical="center" shrinkToFit="1"/>
      <protection hidden="1"/>
    </xf>
    <xf numFmtId="188" fontId="11" fillId="11" borderId="36" xfId="0" applyNumberFormat="1" applyFont="1" applyFill="1" applyBorder="1" applyAlignment="1" applyProtection="1">
      <alignment vertical="center" shrinkToFit="1"/>
      <protection hidden="1"/>
    </xf>
    <xf numFmtId="49" fontId="69" fillId="11" borderId="43" xfId="0" applyNumberFormat="1" applyFont="1" applyFill="1" applyBorder="1" applyAlignment="1" applyProtection="1">
      <alignment horizontal="center" vertical="center" shrinkToFit="1"/>
      <protection hidden="1"/>
    </xf>
    <xf numFmtId="0" fontId="69" fillId="11" borderId="43" xfId="0" applyFont="1" applyFill="1" applyBorder="1" applyAlignment="1" applyProtection="1">
      <alignment horizontal="center" vertical="center" shrinkToFit="1"/>
      <protection hidden="1"/>
    </xf>
    <xf numFmtId="41" fontId="70" fillId="11" borderId="43" xfId="3" applyNumberFormat="1" applyFont="1" applyFill="1" applyBorder="1" applyAlignment="1" applyProtection="1">
      <alignment horizontal="center" vertical="center" shrinkToFit="1"/>
      <protection hidden="1"/>
    </xf>
    <xf numFmtId="41" fontId="70" fillId="11" borderId="200" xfId="3" applyNumberFormat="1" applyFont="1" applyFill="1" applyBorder="1" applyAlignment="1" applyProtection="1">
      <alignment horizontal="center" vertical="center" shrinkToFit="1"/>
      <protection hidden="1"/>
    </xf>
    <xf numFmtId="0" fontId="11" fillId="11" borderId="201" xfId="0" applyFont="1" applyFill="1" applyBorder="1" applyAlignment="1" applyProtection="1">
      <alignment vertical="center" shrinkToFit="1"/>
      <protection hidden="1"/>
    </xf>
    <xf numFmtId="0" fontId="11" fillId="11" borderId="201" xfId="0" applyFont="1" applyFill="1" applyBorder="1" applyAlignment="1" applyProtection="1">
      <alignment horizontal="center" vertical="center" shrinkToFit="1"/>
      <protection hidden="1"/>
    </xf>
    <xf numFmtId="188" fontId="11" fillId="11" borderId="43" xfId="0" applyNumberFormat="1" applyFont="1" applyFill="1" applyBorder="1" applyAlignment="1" applyProtection="1">
      <alignment vertical="center" shrinkToFit="1"/>
      <protection hidden="1"/>
    </xf>
    <xf numFmtId="49" fontId="69" fillId="11" borderId="91" xfId="0" applyNumberFormat="1" applyFont="1" applyFill="1" applyBorder="1" applyAlignment="1" applyProtection="1">
      <alignment horizontal="center" vertical="center" shrinkToFit="1"/>
      <protection hidden="1"/>
    </xf>
    <xf numFmtId="0" fontId="69" fillId="11" borderId="91" xfId="0" applyFont="1" applyFill="1" applyBorder="1" applyAlignment="1" applyProtection="1">
      <alignment horizontal="center" vertical="center" shrinkToFit="1"/>
      <protection hidden="1"/>
    </xf>
    <xf numFmtId="41" fontId="11" fillId="11" borderId="91" xfId="0" applyNumberFormat="1" applyFont="1" applyFill="1" applyBorder="1" applyAlignment="1" applyProtection="1">
      <alignment vertical="center" shrinkToFit="1"/>
      <protection hidden="1"/>
    </xf>
    <xf numFmtId="41" fontId="70" fillId="11" borderId="202" xfId="3" applyNumberFormat="1" applyFont="1" applyFill="1" applyBorder="1" applyAlignment="1" applyProtection="1">
      <alignment horizontal="center" vertical="center" shrinkToFit="1"/>
      <protection hidden="1"/>
    </xf>
    <xf numFmtId="41" fontId="11" fillId="11" borderId="202" xfId="0" applyNumberFormat="1" applyFont="1" applyFill="1" applyBorder="1" applyAlignment="1" applyProtection="1">
      <alignment vertical="center" shrinkToFit="1"/>
      <protection hidden="1"/>
    </xf>
    <xf numFmtId="49" fontId="69" fillId="11" borderId="221" xfId="0" applyNumberFormat="1" applyFont="1" applyFill="1" applyBorder="1" applyAlignment="1" applyProtection="1">
      <alignment horizontal="center" vertical="center" shrinkToFit="1"/>
      <protection hidden="1"/>
    </xf>
    <xf numFmtId="0" fontId="69" fillId="11" borderId="221" xfId="0" applyFont="1" applyFill="1" applyBorder="1" applyAlignment="1" applyProtection="1">
      <alignment horizontal="center" vertical="center" shrinkToFit="1"/>
      <protection hidden="1"/>
    </xf>
    <xf numFmtId="41" fontId="70" fillId="11" borderId="221" xfId="3" applyNumberFormat="1" applyFont="1" applyFill="1" applyBorder="1" applyAlignment="1" applyProtection="1">
      <alignment horizontal="center" vertical="center" shrinkToFit="1"/>
      <protection hidden="1"/>
    </xf>
    <xf numFmtId="41" fontId="13" fillId="11" borderId="221" xfId="0" applyNumberFormat="1" applyFont="1" applyFill="1" applyBorder="1" applyAlignment="1" applyProtection="1">
      <alignment vertical="center" shrinkToFit="1"/>
      <protection hidden="1"/>
    </xf>
    <xf numFmtId="188" fontId="8" fillId="11" borderId="223" xfId="6" applyNumberFormat="1" applyFont="1" applyFill="1" applyBorder="1" applyAlignment="1" applyProtection="1">
      <alignment vertical="center" shrinkToFit="1"/>
      <protection hidden="1"/>
    </xf>
    <xf numFmtId="41" fontId="8" fillId="11" borderId="223" xfId="9" applyFont="1" applyFill="1" applyBorder="1" applyAlignment="1" applyProtection="1">
      <alignment horizontal="center" vertical="center" shrinkToFit="1"/>
      <protection hidden="1"/>
    </xf>
    <xf numFmtId="186" fontId="8" fillId="11" borderId="223" xfId="9" applyNumberFormat="1" applyFont="1" applyFill="1" applyBorder="1" applyAlignment="1" applyProtection="1">
      <alignment vertical="center" shrinkToFit="1"/>
      <protection hidden="1"/>
    </xf>
    <xf numFmtId="189" fontId="8" fillId="11" borderId="223" xfId="9" applyNumberFormat="1" applyFont="1" applyFill="1" applyBorder="1" applyAlignment="1" applyProtection="1">
      <alignment vertical="center" shrinkToFit="1"/>
      <protection hidden="1"/>
    </xf>
    <xf numFmtId="41" fontId="8" fillId="11" borderId="224" xfId="9" applyFont="1" applyFill="1" applyBorder="1" applyAlignment="1" applyProtection="1">
      <alignment horizontal="center" vertical="center" shrinkToFit="1"/>
      <protection hidden="1"/>
    </xf>
    <xf numFmtId="0" fontId="11" fillId="11" borderId="221" xfId="0" applyFont="1" applyFill="1" applyBorder="1" applyAlignment="1" applyProtection="1">
      <alignment vertical="center" shrinkToFit="1"/>
      <protection hidden="1"/>
    </xf>
    <xf numFmtId="188" fontId="8" fillId="11" borderId="221" xfId="9" applyNumberFormat="1" applyFont="1" applyFill="1" applyBorder="1" applyAlignment="1" applyProtection="1">
      <alignment vertical="center" shrinkToFit="1"/>
      <protection hidden="1"/>
    </xf>
    <xf numFmtId="49" fontId="69" fillId="11" borderId="220" xfId="0" applyNumberFormat="1" applyFont="1" applyFill="1" applyBorder="1" applyAlignment="1" applyProtection="1">
      <alignment horizontal="center" vertical="center" shrinkToFit="1"/>
      <protection hidden="1"/>
    </xf>
    <xf numFmtId="0" fontId="69" fillId="11" borderId="220" xfId="0" applyFont="1" applyFill="1" applyBorder="1" applyAlignment="1" applyProtection="1">
      <alignment horizontal="center" vertical="center" shrinkToFit="1"/>
      <protection hidden="1"/>
    </xf>
    <xf numFmtId="41" fontId="70" fillId="11" borderId="220" xfId="3" applyNumberFormat="1" applyFont="1" applyFill="1" applyBorder="1" applyAlignment="1" applyProtection="1">
      <alignment horizontal="center" vertical="center" shrinkToFit="1"/>
      <protection hidden="1"/>
    </xf>
    <xf numFmtId="41" fontId="13" fillId="11" borderId="220" xfId="0" applyNumberFormat="1" applyFont="1" applyFill="1" applyBorder="1" applyAlignment="1" applyProtection="1">
      <alignment vertical="center" shrinkToFit="1"/>
      <protection hidden="1"/>
    </xf>
    <xf numFmtId="188" fontId="8" fillId="11" borderId="226" xfId="6" applyNumberFormat="1" applyFont="1" applyFill="1" applyBorder="1" applyAlignment="1" applyProtection="1">
      <alignment vertical="center" shrinkToFit="1"/>
      <protection hidden="1"/>
    </xf>
    <xf numFmtId="41" fontId="8" fillId="11" borderId="226" xfId="9" applyFont="1" applyFill="1" applyBorder="1" applyAlignment="1" applyProtection="1">
      <alignment horizontal="center" vertical="center" shrinkToFit="1"/>
      <protection hidden="1"/>
    </xf>
    <xf numFmtId="186" fontId="8" fillId="11" borderId="226" xfId="9" applyNumberFormat="1" applyFont="1" applyFill="1" applyBorder="1" applyAlignment="1" applyProtection="1">
      <alignment vertical="center" shrinkToFit="1"/>
      <protection hidden="1"/>
    </xf>
    <xf numFmtId="189" fontId="8" fillId="11" borderId="226" xfId="9" applyNumberFormat="1" applyFont="1" applyFill="1" applyBorder="1" applyAlignment="1" applyProtection="1">
      <alignment vertical="center" shrinkToFit="1"/>
      <protection hidden="1"/>
    </xf>
    <xf numFmtId="41" fontId="8" fillId="11" borderId="227" xfId="9" applyFont="1" applyFill="1" applyBorder="1" applyAlignment="1" applyProtection="1">
      <alignment horizontal="center" vertical="center" shrinkToFit="1"/>
      <protection hidden="1"/>
    </xf>
    <xf numFmtId="188" fontId="8" fillId="11" borderId="220" xfId="9" applyNumberFormat="1" applyFont="1" applyFill="1" applyBorder="1" applyAlignment="1" applyProtection="1">
      <alignment vertical="center" shrinkToFit="1"/>
      <protection hidden="1"/>
    </xf>
    <xf numFmtId="0" fontId="11" fillId="11" borderId="220" xfId="0" applyFont="1" applyFill="1" applyBorder="1" applyAlignment="1" applyProtection="1">
      <alignment vertical="center" shrinkToFit="1"/>
      <protection hidden="1"/>
    </xf>
    <xf numFmtId="184" fontId="8" fillId="11" borderId="0" xfId="2" applyNumberFormat="1" applyFont="1" applyFill="1" applyBorder="1" applyAlignment="1" applyProtection="1">
      <alignment vertical="center" shrinkToFit="1"/>
      <protection hidden="1"/>
    </xf>
    <xf numFmtId="10" fontId="8" fillId="11" borderId="0" xfId="2" applyNumberFormat="1" applyFont="1" applyFill="1" applyBorder="1" applyAlignment="1" applyProtection="1">
      <alignment vertical="center" shrinkToFit="1"/>
      <protection hidden="1"/>
    </xf>
    <xf numFmtId="10" fontId="11" fillId="11" borderId="201" xfId="2" applyNumberFormat="1" applyFont="1" applyFill="1" applyBorder="1" applyAlignment="1" applyProtection="1">
      <alignment vertical="center" shrinkToFit="1"/>
      <protection hidden="1"/>
    </xf>
    <xf numFmtId="0" fontId="86" fillId="11" borderId="199" xfId="0" applyFont="1" applyFill="1" applyBorder="1" applyAlignment="1" applyProtection="1">
      <alignment horizontal="center" vertical="center" shrinkToFit="1"/>
      <protection hidden="1"/>
    </xf>
    <xf numFmtId="188" fontId="11" fillId="11" borderId="91" xfId="0" applyNumberFormat="1" applyFont="1" applyFill="1" applyBorder="1" applyAlignment="1" applyProtection="1">
      <alignment vertical="center" shrinkToFit="1"/>
      <protection hidden="1"/>
    </xf>
    <xf numFmtId="41" fontId="13" fillId="11" borderId="199" xfId="0" applyNumberFormat="1" applyFont="1" applyFill="1" applyBorder="1" applyAlignment="1" applyProtection="1">
      <alignment horizontal="center" vertical="center" shrinkToFit="1"/>
      <protection hidden="1"/>
    </xf>
    <xf numFmtId="41" fontId="70" fillId="11" borderId="42" xfId="3" applyNumberFormat="1" applyFont="1" applyFill="1" applyBorder="1" applyAlignment="1" applyProtection="1">
      <alignment horizontal="center" vertical="center" shrinkToFit="1"/>
      <protection hidden="1"/>
    </xf>
    <xf numFmtId="41" fontId="13" fillId="11" borderId="43" xfId="0" applyNumberFormat="1" applyFont="1" applyFill="1" applyBorder="1" applyAlignment="1" applyProtection="1">
      <alignment horizontal="center" vertical="center" shrinkToFit="1"/>
      <protection hidden="1"/>
    </xf>
    <xf numFmtId="41" fontId="11" fillId="11" borderId="86" xfId="0" applyNumberFormat="1" applyFont="1" applyFill="1" applyBorder="1" applyAlignment="1" applyProtection="1">
      <alignment vertical="center" shrinkToFit="1"/>
      <protection hidden="1"/>
    </xf>
    <xf numFmtId="41" fontId="70" fillId="11" borderId="91" xfId="3" applyNumberFormat="1" applyFont="1" applyFill="1" applyBorder="1" applyAlignment="1" applyProtection="1">
      <alignment horizontal="center" vertical="center" shrinkToFit="1"/>
      <protection hidden="1"/>
    </xf>
    <xf numFmtId="49" fontId="69" fillId="11" borderId="29" xfId="0" applyNumberFormat="1" applyFont="1" applyFill="1" applyBorder="1" applyAlignment="1" applyProtection="1">
      <alignment horizontal="center" vertical="center" shrinkToFit="1"/>
      <protection hidden="1"/>
    </xf>
    <xf numFmtId="0" fontId="69" fillId="11" borderId="29" xfId="0" applyFont="1" applyFill="1" applyBorder="1" applyAlignment="1" applyProtection="1">
      <alignment horizontal="center" vertical="center" shrinkToFit="1"/>
      <protection hidden="1"/>
    </xf>
    <xf numFmtId="41" fontId="11" fillId="11" borderId="28" xfId="0" applyNumberFormat="1" applyFont="1" applyFill="1" applyBorder="1" applyAlignment="1" applyProtection="1">
      <alignment vertical="center" shrinkToFit="1"/>
      <protection hidden="1"/>
    </xf>
    <xf numFmtId="41" fontId="11" fillId="11" borderId="29" xfId="0" applyNumberFormat="1" applyFont="1" applyFill="1" applyBorder="1" applyAlignment="1" applyProtection="1">
      <alignment vertical="center" shrinkToFit="1"/>
      <protection hidden="1"/>
    </xf>
    <xf numFmtId="41" fontId="11" fillId="11" borderId="30" xfId="0" applyNumberFormat="1" applyFont="1" applyFill="1" applyBorder="1" applyAlignment="1" applyProtection="1">
      <alignment vertical="center" shrinkToFit="1"/>
      <protection hidden="1"/>
    </xf>
    <xf numFmtId="188" fontId="8" fillId="11" borderId="198" xfId="6" applyNumberFormat="1" applyFont="1" applyFill="1" applyBorder="1" applyAlignment="1" applyProtection="1">
      <alignment vertical="center" shrinkToFit="1"/>
      <protection hidden="1"/>
    </xf>
    <xf numFmtId="41" fontId="8" fillId="11" borderId="198" xfId="9" applyFont="1" applyFill="1" applyBorder="1" applyAlignment="1" applyProtection="1">
      <alignment horizontal="center" vertical="center" shrinkToFit="1"/>
      <protection hidden="1"/>
    </xf>
    <xf numFmtId="186" fontId="8" fillId="11" borderId="198" xfId="9" applyNumberFormat="1" applyFont="1" applyFill="1" applyBorder="1" applyAlignment="1" applyProtection="1">
      <alignment vertical="center" shrinkToFit="1"/>
      <protection hidden="1"/>
    </xf>
    <xf numFmtId="189" fontId="8" fillId="11" borderId="198" xfId="9" applyNumberFormat="1" applyFont="1" applyFill="1" applyBorder="1" applyAlignment="1" applyProtection="1">
      <alignment vertical="center" shrinkToFit="1"/>
      <protection hidden="1"/>
    </xf>
    <xf numFmtId="188" fontId="8" fillId="11" borderId="29" xfId="9" applyNumberFormat="1" applyFont="1" applyFill="1" applyBorder="1" applyAlignment="1" applyProtection="1">
      <alignment vertical="center" shrinkToFit="1"/>
      <protection hidden="1"/>
    </xf>
    <xf numFmtId="41" fontId="70" fillId="11" borderId="227" xfId="3" applyNumberFormat="1" applyFont="1" applyFill="1" applyBorder="1" applyAlignment="1" applyProtection="1">
      <alignment horizontal="center" vertical="center" shrinkToFit="1"/>
      <protection hidden="1"/>
    </xf>
    <xf numFmtId="188" fontId="8" fillId="11" borderId="36" xfId="9" applyNumberFormat="1" applyFont="1" applyFill="1" applyBorder="1" applyAlignment="1" applyProtection="1">
      <alignment vertical="center" shrinkToFit="1"/>
      <protection hidden="1"/>
    </xf>
    <xf numFmtId="0" fontId="11" fillId="11" borderId="43" xfId="0" applyFont="1" applyFill="1" applyBorder="1" applyAlignment="1" applyProtection="1">
      <alignment vertical="center" shrinkToFit="1"/>
      <protection hidden="1"/>
    </xf>
    <xf numFmtId="192" fontId="8" fillId="11" borderId="0" xfId="9" applyNumberFormat="1" applyFont="1" applyFill="1" applyBorder="1" applyAlignment="1" applyProtection="1">
      <alignment vertical="center" shrinkToFit="1"/>
      <protection hidden="1"/>
    </xf>
    <xf numFmtId="41" fontId="70" fillId="11" borderId="224" xfId="3" applyNumberFormat="1" applyFont="1" applyFill="1" applyBorder="1" applyAlignment="1" applyProtection="1">
      <alignment horizontal="center" vertical="center" shrinkToFit="1"/>
      <protection hidden="1"/>
    </xf>
    <xf numFmtId="0" fontId="86" fillId="11" borderId="36" xfId="0" applyFont="1" applyFill="1" applyBorder="1" applyAlignment="1" applyProtection="1">
      <alignment horizontal="center" vertical="center" shrinkToFit="1"/>
      <protection hidden="1"/>
    </xf>
    <xf numFmtId="0" fontId="0" fillId="11" borderId="0" xfId="0" applyFill="1" applyAlignment="1">
      <alignment vertical="center" shrinkToFit="1"/>
    </xf>
    <xf numFmtId="0" fontId="24" fillId="0" borderId="34" xfId="0" applyFont="1" applyBorder="1" applyAlignment="1" applyProtection="1">
      <alignment horizontal="center" vertical="center"/>
      <protection hidden="1"/>
    </xf>
    <xf numFmtId="14" fontId="91" fillId="6" borderId="25" xfId="0" applyNumberFormat="1" applyFont="1" applyFill="1" applyBorder="1" applyProtection="1">
      <alignment vertical="center"/>
      <protection locked="0"/>
    </xf>
    <xf numFmtId="0" fontId="26" fillId="0" borderId="57" xfId="0" applyFont="1" applyBorder="1" applyAlignment="1" applyProtection="1">
      <alignment horizontal="center" vertical="center"/>
      <protection hidden="1"/>
    </xf>
    <xf numFmtId="14" fontId="91" fillId="6" borderId="47" xfId="0" applyNumberFormat="1" applyFont="1" applyFill="1" applyBorder="1" applyProtection="1">
      <alignment vertical="center"/>
      <protection locked="0"/>
    </xf>
    <xf numFmtId="0" fontId="79" fillId="3" borderId="2" xfId="0" applyFont="1" applyFill="1" applyBorder="1" applyAlignment="1" applyProtection="1">
      <alignment horizontal="center" vertical="center" wrapText="1"/>
      <protection hidden="1"/>
    </xf>
    <xf numFmtId="0" fontId="79" fillId="2" borderId="2" xfId="0" applyFont="1" applyFill="1" applyBorder="1" applyAlignment="1" applyProtection="1">
      <alignment horizontal="center" vertical="center" wrapText="1"/>
      <protection hidden="1"/>
    </xf>
    <xf numFmtId="0" fontId="79" fillId="4" borderId="2" xfId="0" applyFont="1" applyFill="1" applyBorder="1" applyAlignment="1" applyProtection="1">
      <alignment horizontal="center" vertical="center" wrapText="1"/>
      <protection hidden="1"/>
    </xf>
    <xf numFmtId="0" fontId="96" fillId="0" borderId="36" xfId="0" applyFont="1" applyBorder="1" applyAlignment="1" applyProtection="1">
      <alignment horizontal="center" vertical="center"/>
      <protection hidden="1"/>
    </xf>
    <xf numFmtId="193" fontId="8" fillId="11" borderId="0" xfId="9" applyNumberFormat="1" applyFont="1" applyFill="1" applyBorder="1" applyAlignment="1" applyProtection="1">
      <alignment vertical="center"/>
      <protection hidden="1"/>
    </xf>
    <xf numFmtId="194" fontId="8" fillId="11" borderId="0" xfId="9" applyNumberFormat="1" applyFont="1" applyFill="1" applyBorder="1" applyAlignment="1" applyProtection="1">
      <alignment vertical="center"/>
      <protection hidden="1"/>
    </xf>
    <xf numFmtId="183" fontId="8" fillId="11" borderId="91" xfId="0" applyNumberFormat="1" applyFont="1" applyFill="1" applyBorder="1" applyProtection="1">
      <alignment vertical="center"/>
      <protection hidden="1"/>
    </xf>
    <xf numFmtId="183" fontId="0" fillId="11" borderId="0" xfId="0" applyNumberFormat="1" applyFill="1" applyProtection="1">
      <alignment vertical="center"/>
      <protection hidden="1"/>
    </xf>
    <xf numFmtId="10" fontId="40" fillId="6" borderId="105" xfId="2" applyNumberFormat="1" applyFont="1" applyFill="1" applyBorder="1" applyAlignment="1">
      <alignment horizontal="right" vertical="center" wrapText="1"/>
    </xf>
    <xf numFmtId="41" fontId="40" fillId="6" borderId="105" xfId="1" applyFont="1" applyFill="1" applyBorder="1" applyAlignment="1">
      <alignment horizontal="right" vertical="center" wrapText="1"/>
    </xf>
    <xf numFmtId="0" fontId="31" fillId="20" borderId="34" xfId="0" applyFont="1" applyFill="1" applyBorder="1" applyProtection="1">
      <alignment vertical="center"/>
      <protection locked="0"/>
    </xf>
    <xf numFmtId="176" fontId="31" fillId="3" borderId="34" xfId="0" applyNumberFormat="1" applyFont="1" applyFill="1" applyBorder="1" applyAlignment="1" applyProtection="1">
      <alignment horizontal="center" vertical="center"/>
      <protection locked="0"/>
    </xf>
    <xf numFmtId="0" fontId="31" fillId="21" borderId="34" xfId="0" applyFont="1" applyFill="1" applyBorder="1" applyProtection="1">
      <alignment vertical="center"/>
      <protection locked="0"/>
    </xf>
    <xf numFmtId="0" fontId="31" fillId="19" borderId="54" xfId="0" applyFont="1" applyFill="1" applyBorder="1" applyProtection="1">
      <alignment vertical="center"/>
      <protection locked="0"/>
    </xf>
    <xf numFmtId="0" fontId="8" fillId="3" borderId="80" xfId="3" applyFont="1" applyFill="1" applyBorder="1" applyAlignment="1" applyProtection="1">
      <alignment horizontal="left" vertical="center" shrinkToFit="1"/>
      <protection locked="0"/>
    </xf>
    <xf numFmtId="0" fontId="8" fillId="3" borderId="87" xfId="3" applyFont="1" applyFill="1" applyBorder="1" applyAlignment="1" applyProtection="1">
      <alignment horizontal="left" vertical="center" shrinkToFit="1"/>
      <protection locked="0"/>
    </xf>
    <xf numFmtId="0" fontId="31" fillId="11" borderId="35" xfId="0" applyFont="1" applyFill="1" applyBorder="1" applyAlignment="1" applyProtection="1">
      <alignment horizontal="left" vertical="center"/>
      <protection locked="0"/>
    </xf>
    <xf numFmtId="0" fontId="31" fillId="20" borderId="35" xfId="0" applyFont="1" applyFill="1" applyBorder="1" applyAlignment="1" applyProtection="1">
      <alignment horizontal="left" vertical="center"/>
      <protection locked="0"/>
    </xf>
    <xf numFmtId="195" fontId="33" fillId="3" borderId="40" xfId="0" applyNumberFormat="1" applyFont="1" applyFill="1" applyBorder="1" applyAlignment="1" applyProtection="1">
      <alignment horizontal="left" vertical="center"/>
      <protection locked="0"/>
    </xf>
    <xf numFmtId="0" fontId="31" fillId="21" borderId="35" xfId="0" applyFont="1" applyFill="1" applyBorder="1" applyAlignment="1" applyProtection="1">
      <alignment horizontal="left" vertical="center"/>
      <protection locked="0"/>
    </xf>
    <xf numFmtId="0" fontId="31" fillId="19" borderId="54" xfId="0" applyFont="1" applyFill="1" applyBorder="1" applyAlignment="1" applyProtection="1">
      <alignment horizontal="left" vertical="center"/>
      <protection locked="0"/>
    </xf>
    <xf numFmtId="195" fontId="33" fillId="4" borderId="40" xfId="0" applyNumberFormat="1" applyFont="1" applyFill="1" applyBorder="1" applyAlignment="1" applyProtection="1">
      <alignment horizontal="left" vertical="center"/>
      <protection locked="0"/>
    </xf>
    <xf numFmtId="0" fontId="31" fillId="21" borderId="54" xfId="0" applyFont="1" applyFill="1" applyBorder="1" applyAlignment="1" applyProtection="1">
      <alignment horizontal="left" vertical="center"/>
      <protection locked="0"/>
    </xf>
    <xf numFmtId="0" fontId="31" fillId="20" borderId="54" xfId="0" applyFont="1" applyFill="1" applyBorder="1" applyAlignment="1" applyProtection="1">
      <alignment horizontal="left" vertical="center"/>
      <protection locked="0"/>
    </xf>
    <xf numFmtId="0" fontId="31" fillId="3" borderId="57" xfId="0" applyFont="1" applyFill="1" applyBorder="1" applyAlignment="1" applyProtection="1">
      <alignment horizontal="left" vertical="center"/>
      <protection locked="0"/>
    </xf>
    <xf numFmtId="179" fontId="8" fillId="0" borderId="30" xfId="0" applyNumberFormat="1" applyFont="1" applyBorder="1" applyAlignment="1">
      <alignment horizontal="center" vertical="center"/>
    </xf>
    <xf numFmtId="0" fontId="31" fillId="0" borderId="34" xfId="0" applyFont="1" applyBorder="1" applyProtection="1">
      <alignment vertical="center"/>
      <protection locked="0"/>
    </xf>
    <xf numFmtId="0" fontId="24" fillId="11" borderId="80" xfId="0" applyFont="1" applyFill="1" applyBorder="1" applyProtection="1">
      <alignment vertical="center"/>
      <protection hidden="1"/>
    </xf>
    <xf numFmtId="41" fontId="24" fillId="8" borderId="25" xfId="1" applyFont="1" applyFill="1" applyBorder="1" applyProtection="1">
      <alignment vertical="center"/>
      <protection hidden="1"/>
    </xf>
    <xf numFmtId="0" fontId="24" fillId="0" borderId="54" xfId="0" applyFont="1" applyBorder="1" applyProtection="1">
      <alignment vertical="center"/>
      <protection hidden="1"/>
    </xf>
    <xf numFmtId="0" fontId="31" fillId="22" borderId="34" xfId="0" applyFont="1" applyFill="1" applyBorder="1" applyProtection="1">
      <alignment vertical="center"/>
      <protection locked="0"/>
    </xf>
    <xf numFmtId="0" fontId="8" fillId="0" borderId="85" xfId="3" applyFont="1" applyBorder="1" applyAlignment="1" applyProtection="1">
      <alignment horizontal="left" vertical="center" shrinkToFit="1"/>
      <protection locked="0"/>
    </xf>
    <xf numFmtId="0" fontId="31" fillId="0" borderId="54" xfId="0" applyFont="1" applyBorder="1" applyProtection="1">
      <alignment vertical="center"/>
      <protection locked="0"/>
    </xf>
    <xf numFmtId="181" fontId="33" fillId="3" borderId="45" xfId="0" applyNumberFormat="1" applyFont="1" applyFill="1" applyBorder="1" applyAlignment="1" applyProtection="1">
      <alignment horizontal="left" vertical="center"/>
      <protection locked="0"/>
    </xf>
    <xf numFmtId="0" fontId="31" fillId="3" borderId="34" xfId="0" applyFont="1" applyFill="1" applyBorder="1" applyAlignment="1" applyProtection="1">
      <alignment horizontal="left" vertical="center"/>
      <protection locked="0"/>
    </xf>
    <xf numFmtId="0" fontId="31" fillId="3" borderId="60" xfId="0" applyFont="1" applyFill="1" applyBorder="1" applyAlignment="1" applyProtection="1">
      <alignment horizontal="left" vertical="center"/>
      <protection locked="0"/>
    </xf>
    <xf numFmtId="181" fontId="33" fillId="3" borderId="46" xfId="0" applyNumberFormat="1" applyFont="1" applyFill="1" applyBorder="1" applyAlignment="1" applyProtection="1">
      <alignment horizontal="left" vertical="center"/>
      <protection locked="0"/>
    </xf>
    <xf numFmtId="41" fontId="31" fillId="0" borderId="41" xfId="1" applyFont="1" applyFill="1" applyBorder="1" applyAlignment="1" applyProtection="1">
      <alignment horizontal="left" vertical="center"/>
      <protection locked="0"/>
    </xf>
    <xf numFmtId="185" fontId="8" fillId="11" borderId="0" xfId="2" applyNumberFormat="1" applyFont="1" applyFill="1" applyBorder="1" applyAlignment="1" applyProtection="1">
      <alignment vertical="center" shrinkToFit="1"/>
      <protection hidden="1"/>
    </xf>
    <xf numFmtId="9" fontId="0" fillId="23" borderId="74" xfId="0" applyNumberFormat="1" applyFill="1" applyBorder="1" applyAlignment="1" applyProtection="1">
      <alignment horizontal="center" vertical="center"/>
      <protection hidden="1"/>
    </xf>
    <xf numFmtId="0" fontId="0" fillId="23" borderId="0" xfId="0" applyFill="1" applyProtection="1">
      <alignment vertical="center"/>
      <protection hidden="1"/>
    </xf>
    <xf numFmtId="0" fontId="0" fillId="23" borderId="54" xfId="0" applyFill="1" applyBorder="1" applyProtection="1">
      <alignment vertical="center"/>
      <protection hidden="1"/>
    </xf>
    <xf numFmtId="0" fontId="0" fillId="23" borderId="34" xfId="0" applyFill="1" applyBorder="1" applyProtection="1">
      <alignment vertical="center"/>
      <protection hidden="1"/>
    </xf>
    <xf numFmtId="0" fontId="0" fillId="23" borderId="34" xfId="0" applyFill="1" applyBorder="1" applyAlignment="1" applyProtection="1">
      <alignment horizontal="center" vertical="center"/>
      <protection hidden="1"/>
    </xf>
    <xf numFmtId="0" fontId="0" fillId="23" borderId="36" xfId="0" applyFill="1" applyBorder="1" applyAlignment="1" applyProtection="1">
      <alignment horizontal="center" vertical="center"/>
      <protection hidden="1"/>
    </xf>
    <xf numFmtId="0" fontId="0" fillId="23" borderId="32" xfId="0" applyFill="1" applyBorder="1" applyAlignment="1" applyProtection="1">
      <alignment horizontal="center" vertical="center"/>
      <protection hidden="1"/>
    </xf>
    <xf numFmtId="0" fontId="0" fillId="23" borderId="57" xfId="0" applyFill="1" applyBorder="1" applyProtection="1">
      <alignment vertical="center"/>
      <protection hidden="1"/>
    </xf>
    <xf numFmtId="10" fontId="0" fillId="23" borderId="44" xfId="2" applyNumberFormat="1" applyFont="1" applyFill="1" applyBorder="1" applyAlignment="1" applyProtection="1">
      <alignment horizontal="center" vertical="center"/>
      <protection hidden="1"/>
    </xf>
    <xf numFmtId="185" fontId="0" fillId="23" borderId="43" xfId="2" applyNumberFormat="1" applyFont="1" applyFill="1" applyBorder="1" applyAlignment="1" applyProtection="1">
      <alignment horizontal="center" vertical="center"/>
      <protection hidden="1"/>
    </xf>
    <xf numFmtId="10" fontId="0" fillId="23" borderId="43" xfId="2" applyNumberFormat="1" applyFont="1" applyFill="1" applyBorder="1" applyAlignment="1" applyProtection="1">
      <alignment horizontal="center" vertical="center"/>
      <protection hidden="1"/>
    </xf>
    <xf numFmtId="10" fontId="0" fillId="23" borderId="69" xfId="2" applyNumberFormat="1" applyFont="1" applyFill="1" applyBorder="1" applyAlignment="1" applyProtection="1">
      <alignment horizontal="center" vertical="center"/>
      <protection hidden="1"/>
    </xf>
    <xf numFmtId="184" fontId="30" fillId="23" borderId="71" xfId="2" applyNumberFormat="1" applyFont="1" applyFill="1" applyBorder="1" applyAlignment="1" applyProtection="1">
      <alignment vertical="center"/>
      <protection hidden="1"/>
    </xf>
    <xf numFmtId="184" fontId="30" fillId="23" borderId="81" xfId="2" applyNumberFormat="1" applyFont="1" applyFill="1" applyBorder="1" applyAlignment="1" applyProtection="1">
      <alignment vertical="center"/>
      <protection hidden="1"/>
    </xf>
    <xf numFmtId="41" fontId="30" fillId="23" borderId="41" xfId="1" applyFont="1" applyFill="1" applyBorder="1" applyAlignment="1" applyProtection="1">
      <alignment vertical="center"/>
      <protection hidden="1"/>
    </xf>
    <xf numFmtId="41" fontId="30" fillId="23" borderId="199" xfId="1" applyFont="1" applyFill="1" applyBorder="1" applyAlignment="1" applyProtection="1">
      <alignment vertical="center"/>
      <protection hidden="1"/>
    </xf>
    <xf numFmtId="41" fontId="30" fillId="23" borderId="78" xfId="1" applyFont="1" applyFill="1" applyBorder="1" applyAlignment="1" applyProtection="1">
      <alignment vertical="center"/>
      <protection hidden="1"/>
    </xf>
    <xf numFmtId="41" fontId="30" fillId="23" borderId="203" xfId="1" applyFont="1" applyFill="1" applyBorder="1" applyAlignment="1" applyProtection="1">
      <alignment vertical="center"/>
      <protection hidden="1"/>
    </xf>
    <xf numFmtId="10" fontId="0" fillId="23" borderId="57" xfId="2" applyNumberFormat="1" applyFont="1" applyFill="1" applyBorder="1" applyAlignment="1" applyProtection="1">
      <alignment horizontal="center" vertical="center"/>
      <protection hidden="1"/>
    </xf>
    <xf numFmtId="185" fontId="0" fillId="23" borderId="58" xfId="2" applyNumberFormat="1" applyFont="1" applyFill="1" applyBorder="1" applyAlignment="1" applyProtection="1">
      <alignment horizontal="center" vertical="center"/>
      <protection hidden="1"/>
    </xf>
    <xf numFmtId="10" fontId="0" fillId="23" borderId="47" xfId="2" applyNumberFormat="1" applyFont="1" applyFill="1" applyBorder="1" applyAlignment="1" applyProtection="1">
      <alignment horizontal="center" vertical="center"/>
      <protection hidden="1"/>
    </xf>
    <xf numFmtId="0" fontId="75" fillId="23" borderId="48" xfId="0" applyFont="1" applyFill="1" applyBorder="1" applyAlignment="1" applyProtection="1">
      <alignment horizontal="center" vertical="center" wrapText="1"/>
      <protection hidden="1"/>
    </xf>
    <xf numFmtId="0" fontId="75" fillId="23" borderId="51" xfId="0" applyFont="1" applyFill="1" applyBorder="1" applyAlignment="1" applyProtection="1">
      <alignment horizontal="center" vertical="center" wrapText="1"/>
      <protection hidden="1"/>
    </xf>
    <xf numFmtId="0" fontId="75" fillId="23" borderId="52" xfId="0" applyFont="1" applyFill="1" applyBorder="1" applyAlignment="1" applyProtection="1">
      <alignment horizontal="center" vertical="center" wrapText="1"/>
      <protection hidden="1"/>
    </xf>
    <xf numFmtId="0" fontId="39" fillId="23" borderId="49" xfId="0" applyFont="1" applyFill="1" applyBorder="1" applyAlignment="1" applyProtection="1">
      <alignment horizontal="center" vertical="center" wrapText="1"/>
      <protection hidden="1"/>
    </xf>
    <xf numFmtId="0" fontId="75" fillId="23" borderId="50" xfId="0" applyFont="1" applyFill="1" applyBorder="1" applyAlignment="1" applyProtection="1">
      <alignment horizontal="center" vertical="center" wrapText="1"/>
      <protection hidden="1"/>
    </xf>
    <xf numFmtId="0" fontId="76" fillId="23" borderId="48" xfId="0" applyFont="1" applyFill="1" applyBorder="1" applyAlignment="1" applyProtection="1">
      <alignment horizontal="center" vertical="center" wrapText="1"/>
      <protection hidden="1"/>
    </xf>
    <xf numFmtId="0" fontId="75" fillId="23" borderId="74" xfId="0" applyFont="1" applyFill="1" applyBorder="1" applyAlignment="1" applyProtection="1">
      <alignment horizontal="center" vertical="center" wrapText="1"/>
      <protection hidden="1"/>
    </xf>
    <xf numFmtId="0" fontId="75" fillId="23" borderId="204" xfId="0" applyFont="1" applyFill="1" applyBorder="1" applyAlignment="1" applyProtection="1">
      <alignment horizontal="center" vertical="center" wrapText="1"/>
      <protection hidden="1"/>
    </xf>
    <xf numFmtId="0" fontId="13" fillId="24" borderId="54" xfId="0" applyFont="1" applyFill="1" applyBorder="1" applyProtection="1">
      <alignment vertical="center"/>
      <protection locked="0"/>
    </xf>
    <xf numFmtId="0" fontId="13" fillId="24" borderId="56" xfId="0" applyFont="1" applyFill="1" applyBorder="1" applyProtection="1">
      <alignment vertical="center"/>
      <protection locked="0"/>
    </xf>
    <xf numFmtId="41" fontId="13" fillId="24" borderId="56" xfId="1" applyFont="1" applyFill="1" applyBorder="1" applyProtection="1">
      <alignment vertical="center"/>
      <protection locked="0"/>
    </xf>
    <xf numFmtId="41" fontId="13" fillId="24" borderId="30" xfId="1" applyFont="1" applyFill="1" applyBorder="1" applyProtection="1">
      <alignment vertical="center"/>
      <protection locked="0"/>
    </xf>
    <xf numFmtId="41" fontId="30" fillId="23" borderId="26" xfId="1" applyFont="1" applyFill="1" applyBorder="1" applyProtection="1">
      <alignment vertical="center"/>
      <protection hidden="1"/>
    </xf>
    <xf numFmtId="41" fontId="13" fillId="23" borderId="28" xfId="1" applyFont="1" applyFill="1" applyBorder="1" applyProtection="1">
      <alignment vertical="center"/>
      <protection locked="0"/>
    </xf>
    <xf numFmtId="41" fontId="13" fillId="23" borderId="36" xfId="1" applyFont="1" applyFill="1" applyBorder="1" applyProtection="1">
      <alignment vertical="center"/>
      <protection locked="0"/>
    </xf>
    <xf numFmtId="41" fontId="13" fillId="23" borderId="30" xfId="1" applyFont="1" applyFill="1" applyBorder="1" applyProtection="1">
      <alignment vertical="center"/>
      <protection locked="0"/>
    </xf>
    <xf numFmtId="41" fontId="30" fillId="23" borderId="26" xfId="1" applyFont="1" applyFill="1" applyBorder="1" applyProtection="1">
      <alignment vertical="center"/>
      <protection locked="0"/>
    </xf>
    <xf numFmtId="41" fontId="30" fillId="23" borderId="89" xfId="1" applyFont="1" applyFill="1" applyBorder="1" applyProtection="1">
      <alignment vertical="center"/>
      <protection locked="0"/>
    </xf>
    <xf numFmtId="41" fontId="30" fillId="23" borderId="85" xfId="1" applyFont="1" applyFill="1" applyBorder="1" applyProtection="1">
      <alignment vertical="center"/>
      <protection locked="0"/>
    </xf>
    <xf numFmtId="0" fontId="77" fillId="24" borderId="54" xfId="0" applyFont="1" applyFill="1" applyBorder="1" applyProtection="1">
      <alignment vertical="center"/>
      <protection locked="0"/>
    </xf>
    <xf numFmtId="0" fontId="0" fillId="23" borderId="25" xfId="0" applyFill="1" applyBorder="1" applyProtection="1">
      <alignment vertical="center"/>
      <protection locked="0"/>
    </xf>
    <xf numFmtId="0" fontId="26" fillId="23" borderId="205" xfId="0" applyFont="1" applyFill="1" applyBorder="1" applyAlignment="1" applyProtection="1">
      <alignment horizontal="center" vertical="center"/>
      <protection hidden="1"/>
    </xf>
    <xf numFmtId="0" fontId="13" fillId="24" borderId="34" xfId="0" applyFont="1" applyFill="1" applyBorder="1" applyProtection="1">
      <alignment vertical="center"/>
      <protection locked="0"/>
    </xf>
    <xf numFmtId="0" fontId="13" fillId="24" borderId="36" xfId="0" applyFont="1" applyFill="1" applyBorder="1" applyProtection="1">
      <alignment vertical="center"/>
      <protection locked="0"/>
    </xf>
    <xf numFmtId="41" fontId="13" fillId="24" borderId="36" xfId="1" applyFont="1" applyFill="1" applyBorder="1" applyProtection="1">
      <alignment vertical="center"/>
      <protection locked="0"/>
    </xf>
    <xf numFmtId="41" fontId="13" fillId="24" borderId="41" xfId="1" applyFont="1" applyFill="1" applyBorder="1" applyProtection="1">
      <alignment vertical="center"/>
      <protection locked="0"/>
    </xf>
    <xf numFmtId="41" fontId="13" fillId="23" borderId="41" xfId="1" applyFont="1" applyFill="1" applyBorder="1" applyProtection="1">
      <alignment vertical="center"/>
      <protection locked="0"/>
    </xf>
    <xf numFmtId="0" fontId="77" fillId="24" borderId="34" xfId="0" applyFont="1" applyFill="1" applyBorder="1" applyProtection="1">
      <alignment vertical="center"/>
      <protection locked="0"/>
    </xf>
    <xf numFmtId="0" fontId="0" fillId="23" borderId="32" xfId="0" applyFill="1" applyBorder="1" applyProtection="1">
      <alignment vertical="center"/>
      <protection locked="0"/>
    </xf>
    <xf numFmtId="0" fontId="0" fillId="23" borderId="54" xfId="0" applyFill="1" applyBorder="1" applyAlignment="1" applyProtection="1">
      <alignment horizontal="center" vertical="center" shrinkToFit="1"/>
      <protection hidden="1"/>
    </xf>
    <xf numFmtId="0" fontId="0" fillId="23" borderId="56" xfId="0" applyFill="1" applyBorder="1" applyAlignment="1" applyProtection="1">
      <alignment horizontal="center" vertical="center" shrinkToFit="1"/>
      <protection hidden="1"/>
    </xf>
    <xf numFmtId="0" fontId="0" fillId="23" borderId="25" xfId="0" applyFill="1" applyBorder="1" applyAlignment="1" applyProtection="1">
      <alignment horizontal="center" vertical="center" shrinkToFit="1"/>
      <protection hidden="1"/>
    </xf>
    <xf numFmtId="0" fontId="0" fillId="23" borderId="34" xfId="0" applyFill="1" applyBorder="1" applyAlignment="1" applyProtection="1">
      <alignment horizontal="left" vertical="center" shrinkToFit="1"/>
      <protection hidden="1"/>
    </xf>
    <xf numFmtId="41" fontId="0" fillId="23" borderId="36" xfId="1" applyFont="1" applyFill="1" applyBorder="1" applyAlignment="1" applyProtection="1">
      <alignment vertical="center" shrinkToFit="1"/>
      <protection hidden="1"/>
    </xf>
    <xf numFmtId="41" fontId="77" fillId="23" borderId="32" xfId="1" applyFont="1" applyFill="1" applyBorder="1" applyAlignment="1" applyProtection="1">
      <alignment vertical="center" shrinkToFit="1"/>
      <protection hidden="1"/>
    </xf>
    <xf numFmtId="0" fontId="0" fillId="23" borderId="57" xfId="0" applyFill="1" applyBorder="1" applyAlignment="1" applyProtection="1">
      <alignment horizontal="left" vertical="center" shrinkToFit="1"/>
      <protection hidden="1"/>
    </xf>
    <xf numFmtId="41" fontId="0" fillId="23" borderId="58" xfId="1" applyFont="1" applyFill="1" applyBorder="1" applyAlignment="1" applyProtection="1">
      <alignment vertical="center" shrinkToFit="1"/>
      <protection hidden="1"/>
    </xf>
    <xf numFmtId="41" fontId="77" fillId="23" borderId="47" xfId="1" applyFont="1" applyFill="1" applyBorder="1" applyAlignment="1" applyProtection="1">
      <alignment vertical="center" shrinkToFit="1"/>
      <protection hidden="1"/>
    </xf>
    <xf numFmtId="41" fontId="13" fillId="24" borderId="200" xfId="1" applyFont="1" applyFill="1" applyBorder="1" applyProtection="1">
      <alignment vertical="center"/>
      <protection locked="0"/>
    </xf>
    <xf numFmtId="0" fontId="13" fillId="24" borderId="44" xfId="0" applyFont="1" applyFill="1" applyBorder="1" applyProtection="1">
      <alignment vertical="center"/>
      <protection locked="0"/>
    </xf>
    <xf numFmtId="0" fontId="13" fillId="24" borderId="43" xfId="0" applyFont="1" applyFill="1" applyBorder="1" applyProtection="1">
      <alignment vertical="center"/>
      <protection locked="0"/>
    </xf>
    <xf numFmtId="41" fontId="13" fillId="24" borderId="43" xfId="1" applyFont="1" applyFill="1" applyBorder="1" applyProtection="1">
      <alignment vertical="center"/>
      <protection locked="0"/>
    </xf>
    <xf numFmtId="41" fontId="13" fillId="23" borderId="44" xfId="1" applyFont="1" applyFill="1" applyBorder="1" applyProtection="1">
      <alignment vertical="center"/>
      <protection locked="0"/>
    </xf>
    <xf numFmtId="41" fontId="13" fillId="23" borderId="43" xfId="1" applyFont="1" applyFill="1" applyBorder="1" applyProtection="1">
      <alignment vertical="center"/>
      <protection locked="0"/>
    </xf>
    <xf numFmtId="41" fontId="13" fillId="23" borderId="202" xfId="1" applyFont="1" applyFill="1" applyBorder="1" applyProtection="1">
      <alignment vertical="center"/>
      <protection locked="0"/>
    </xf>
    <xf numFmtId="41" fontId="30" fillId="23" borderId="117" xfId="1" applyFont="1" applyFill="1" applyBorder="1" applyProtection="1">
      <alignment vertical="center"/>
      <protection locked="0"/>
    </xf>
    <xf numFmtId="41" fontId="30" fillId="23" borderId="83" xfId="1" applyFont="1" applyFill="1" applyBorder="1" applyProtection="1">
      <alignment vertical="center"/>
      <protection locked="0"/>
    </xf>
    <xf numFmtId="41" fontId="30" fillId="23" borderId="234" xfId="1" applyFont="1" applyFill="1" applyBorder="1" applyProtection="1">
      <alignment vertical="center"/>
      <protection locked="0"/>
    </xf>
    <xf numFmtId="0" fontId="77" fillId="24" borderId="44" xfId="0" applyFont="1" applyFill="1" applyBorder="1" applyProtection="1">
      <alignment vertical="center"/>
      <protection locked="0"/>
    </xf>
    <xf numFmtId="0" fontId="0" fillId="23" borderId="69" xfId="0" applyFill="1" applyBorder="1" applyProtection="1">
      <alignment vertical="center"/>
      <protection locked="0"/>
    </xf>
    <xf numFmtId="41" fontId="30" fillId="24" borderId="239" xfId="1" applyFont="1" applyFill="1" applyBorder="1" applyProtection="1">
      <alignment vertical="center"/>
      <protection hidden="1"/>
    </xf>
    <xf numFmtId="41" fontId="30" fillId="24" borderId="240" xfId="1" applyFont="1" applyFill="1" applyBorder="1" applyProtection="1">
      <alignment vertical="center"/>
      <protection hidden="1"/>
    </xf>
    <xf numFmtId="41" fontId="30" fillId="24" borderId="241" xfId="1" applyFont="1" applyFill="1" applyBorder="1" applyProtection="1">
      <alignment vertical="center"/>
      <protection hidden="1"/>
    </xf>
    <xf numFmtId="41" fontId="30" fillId="24" borderId="242" xfId="1" applyFont="1" applyFill="1" applyBorder="1" applyProtection="1">
      <alignment vertical="center"/>
      <protection hidden="1"/>
    </xf>
    <xf numFmtId="41" fontId="30" fillId="23" borderId="240" xfId="1" applyFont="1" applyFill="1" applyBorder="1" applyProtection="1">
      <alignment vertical="center"/>
      <protection hidden="1"/>
    </xf>
    <xf numFmtId="0" fontId="0" fillId="11" borderId="243" xfId="0" applyFill="1" applyBorder="1" applyProtection="1">
      <alignment vertical="center"/>
      <protection hidden="1"/>
    </xf>
    <xf numFmtId="0" fontId="75" fillId="23" borderId="17" xfId="0" applyFont="1" applyFill="1" applyBorder="1" applyAlignment="1" applyProtection="1">
      <alignment horizontal="center" vertical="center" wrapText="1"/>
      <protection hidden="1"/>
    </xf>
    <xf numFmtId="0" fontId="75" fillId="23" borderId="21" xfId="0" applyFont="1" applyFill="1" applyBorder="1" applyAlignment="1" applyProtection="1">
      <alignment horizontal="center" vertical="center" wrapText="1"/>
      <protection hidden="1"/>
    </xf>
    <xf numFmtId="0" fontId="75" fillId="23" borderId="75" xfId="0" applyFont="1" applyFill="1" applyBorder="1" applyAlignment="1" applyProtection="1">
      <alignment horizontal="center" vertical="center" wrapText="1"/>
      <protection hidden="1"/>
    </xf>
    <xf numFmtId="0" fontId="39" fillId="23" borderId="19" xfId="0" applyFont="1" applyFill="1" applyBorder="1" applyAlignment="1" applyProtection="1">
      <alignment horizontal="center" vertical="center" wrapText="1"/>
      <protection hidden="1"/>
    </xf>
    <xf numFmtId="0" fontId="75" fillId="23" borderId="20" xfId="0" applyFont="1" applyFill="1" applyBorder="1" applyAlignment="1" applyProtection="1">
      <alignment horizontal="center" vertical="center" wrapText="1"/>
      <protection hidden="1"/>
    </xf>
    <xf numFmtId="0" fontId="76" fillId="23" borderId="17" xfId="0" applyFont="1" applyFill="1" applyBorder="1" applyAlignment="1" applyProtection="1">
      <alignment horizontal="center" vertical="center" wrapText="1"/>
      <protection hidden="1"/>
    </xf>
    <xf numFmtId="0" fontId="75" fillId="23" borderId="18" xfId="0" applyFont="1" applyFill="1" applyBorder="1" applyAlignment="1" applyProtection="1">
      <alignment horizontal="center" vertical="center" wrapText="1"/>
      <protection hidden="1"/>
    </xf>
    <xf numFmtId="0" fontId="75" fillId="23" borderId="240" xfId="0" applyFont="1" applyFill="1" applyBorder="1" applyAlignment="1" applyProtection="1">
      <alignment horizontal="center" vertical="center" wrapText="1"/>
      <protection hidden="1"/>
    </xf>
    <xf numFmtId="0" fontId="13" fillId="6" borderId="207" xfId="0" applyFont="1" applyFill="1" applyBorder="1" applyProtection="1">
      <alignment vertical="center"/>
      <protection locked="0"/>
    </xf>
    <xf numFmtId="0" fontId="13" fillId="6" borderId="208" xfId="0" applyFont="1" applyFill="1" applyBorder="1" applyProtection="1">
      <alignment vertical="center"/>
      <protection locked="0"/>
    </xf>
    <xf numFmtId="41" fontId="13" fillId="6" borderId="208" xfId="1" applyFont="1" applyFill="1" applyBorder="1" applyProtection="1">
      <alignment vertical="center"/>
      <protection locked="0"/>
    </xf>
    <xf numFmtId="41" fontId="13" fillId="6" borderId="209" xfId="1" applyFont="1" applyFill="1" applyBorder="1" applyProtection="1">
      <alignment vertical="center"/>
      <protection locked="0"/>
    </xf>
    <xf numFmtId="41" fontId="30" fillId="23" borderId="210" xfId="1" applyFont="1" applyFill="1" applyBorder="1" applyProtection="1">
      <alignment vertical="center"/>
      <protection hidden="1"/>
    </xf>
    <xf numFmtId="41" fontId="13" fillId="23" borderId="207" xfId="1" applyFont="1" applyFill="1" applyBorder="1" applyProtection="1">
      <alignment vertical="center"/>
      <protection locked="0"/>
    </xf>
    <xf numFmtId="41" fontId="13" fillId="23" borderId="208" xfId="1" applyFont="1" applyFill="1" applyBorder="1" applyProtection="1">
      <alignment vertical="center"/>
      <protection locked="0"/>
    </xf>
    <xf numFmtId="41" fontId="13" fillId="23" borderId="244" xfId="1" applyFont="1" applyFill="1" applyBorder="1" applyProtection="1">
      <alignment vertical="center"/>
      <protection locked="0"/>
    </xf>
    <xf numFmtId="41" fontId="30" fillId="23" borderId="210" xfId="1" applyFont="1" applyFill="1" applyBorder="1" applyProtection="1">
      <alignment vertical="center"/>
      <protection locked="0"/>
    </xf>
    <xf numFmtId="41" fontId="30" fillId="23" borderId="236" xfId="1" applyFont="1" applyFill="1" applyBorder="1" applyProtection="1">
      <alignment vertical="center"/>
      <protection locked="0"/>
    </xf>
    <xf numFmtId="0" fontId="77" fillId="6" borderId="207" xfId="0" applyFont="1" applyFill="1" applyBorder="1" applyProtection="1">
      <alignment vertical="center"/>
      <protection locked="0"/>
    </xf>
    <xf numFmtId="0" fontId="0" fillId="23" borderId="209" xfId="0" applyFill="1" applyBorder="1" applyProtection="1">
      <alignment vertical="center"/>
      <protection locked="0"/>
    </xf>
    <xf numFmtId="0" fontId="13" fillId="6" borderId="34" xfId="0" applyFont="1" applyFill="1" applyBorder="1" applyProtection="1">
      <alignment vertical="center"/>
      <protection locked="0"/>
    </xf>
    <xf numFmtId="0" fontId="13" fillId="6" borderId="36" xfId="0" applyFont="1" applyFill="1" applyBorder="1" applyProtection="1">
      <alignment vertical="center"/>
      <protection locked="0"/>
    </xf>
    <xf numFmtId="41" fontId="13" fillId="6" borderId="36" xfId="1" applyFont="1" applyFill="1" applyBorder="1" applyProtection="1">
      <alignment vertical="center"/>
      <protection locked="0"/>
    </xf>
    <xf numFmtId="41" fontId="13" fillId="6" borderId="32" xfId="1" applyFont="1" applyFill="1" applyBorder="1" applyProtection="1">
      <alignment vertical="center"/>
      <protection locked="0"/>
    </xf>
    <xf numFmtId="41" fontId="13" fillId="23" borderId="35" xfId="1" applyFont="1" applyFill="1" applyBorder="1" applyProtection="1">
      <alignment vertical="center"/>
      <protection locked="0"/>
    </xf>
    <xf numFmtId="0" fontId="77" fillId="6" borderId="34" xfId="0" applyFont="1" applyFill="1" applyBorder="1" applyProtection="1">
      <alignment vertical="center"/>
      <protection locked="0"/>
    </xf>
    <xf numFmtId="41" fontId="13" fillId="6" borderId="41" xfId="1" applyFont="1" applyFill="1" applyBorder="1" applyProtection="1">
      <alignment vertical="center"/>
      <protection locked="0"/>
    </xf>
    <xf numFmtId="0" fontId="13" fillId="6" borderId="57" xfId="0" applyFont="1" applyFill="1" applyBorder="1" applyProtection="1">
      <alignment vertical="center"/>
      <protection locked="0"/>
    </xf>
    <xf numFmtId="0" fontId="13" fillId="6" borderId="58" xfId="0" applyFont="1" applyFill="1" applyBorder="1" applyProtection="1">
      <alignment vertical="center"/>
      <protection locked="0"/>
    </xf>
    <xf numFmtId="41" fontId="13" fillId="6" borderId="78" xfId="1" applyFont="1" applyFill="1" applyBorder="1" applyProtection="1">
      <alignment vertical="center"/>
      <protection locked="0"/>
    </xf>
    <xf numFmtId="41" fontId="13" fillId="23" borderId="60" xfId="1" applyFont="1" applyFill="1" applyBorder="1" applyProtection="1">
      <alignment vertical="center"/>
      <protection locked="0"/>
    </xf>
    <xf numFmtId="0" fontId="77" fillId="6" borderId="57" xfId="0" applyFont="1" applyFill="1" applyBorder="1" applyProtection="1">
      <alignment vertical="center"/>
      <protection locked="0"/>
    </xf>
    <xf numFmtId="0" fontId="0" fillId="23" borderId="47" xfId="0" applyFill="1" applyBorder="1" applyProtection="1">
      <alignment vertical="center"/>
      <protection locked="0"/>
    </xf>
    <xf numFmtId="41" fontId="30" fillId="6" borderId="74" xfId="1" applyFont="1" applyFill="1" applyBorder="1" applyProtection="1">
      <alignment vertical="center"/>
      <protection hidden="1"/>
    </xf>
    <xf numFmtId="41" fontId="30" fillId="6" borderId="49" xfId="1" applyFont="1" applyFill="1" applyBorder="1" applyProtection="1">
      <alignment vertical="center"/>
      <protection hidden="1"/>
    </xf>
    <xf numFmtId="41" fontId="30" fillId="6" borderId="50" xfId="1" applyFont="1" applyFill="1" applyBorder="1" applyProtection="1">
      <alignment vertical="center"/>
      <protection hidden="1"/>
    </xf>
    <xf numFmtId="41" fontId="30" fillId="6" borderId="51" xfId="1" applyFont="1" applyFill="1" applyBorder="1" applyProtection="1">
      <alignment vertical="center"/>
      <protection hidden="1"/>
    </xf>
    <xf numFmtId="41" fontId="30" fillId="23" borderId="49" xfId="1" applyFont="1" applyFill="1" applyBorder="1" applyProtection="1">
      <alignment vertical="center"/>
      <protection hidden="1"/>
    </xf>
    <xf numFmtId="41" fontId="30" fillId="3" borderId="74" xfId="1" applyFont="1" applyFill="1" applyBorder="1" applyProtection="1">
      <alignment vertical="center"/>
      <protection hidden="1"/>
    </xf>
    <xf numFmtId="41" fontId="30" fillId="3" borderId="49" xfId="1" applyFont="1" applyFill="1" applyBorder="1" applyProtection="1">
      <alignment vertical="center"/>
      <protection hidden="1"/>
    </xf>
    <xf numFmtId="41" fontId="30" fillId="3" borderId="50" xfId="1" applyFont="1" applyFill="1" applyBorder="1" applyProtection="1">
      <alignment vertical="center"/>
      <protection hidden="1"/>
    </xf>
    <xf numFmtId="41" fontId="13" fillId="0" borderId="244" xfId="1" applyFont="1" applyBorder="1" applyProtection="1">
      <alignment vertical="center"/>
      <protection locked="0"/>
    </xf>
    <xf numFmtId="0" fontId="0" fillId="0" borderId="68" xfId="0" applyBorder="1" applyProtection="1">
      <alignment vertical="center"/>
      <protection hidden="1"/>
    </xf>
    <xf numFmtId="0" fontId="13" fillId="0" borderId="214" xfId="0" applyFont="1" applyBorder="1" applyProtection="1">
      <alignment vertical="center"/>
      <protection locked="0"/>
    </xf>
    <xf numFmtId="0" fontId="13" fillId="0" borderId="215" xfId="0" applyFont="1" applyBorder="1" applyProtection="1">
      <alignment vertical="center"/>
      <protection locked="0"/>
    </xf>
    <xf numFmtId="41" fontId="13" fillId="0" borderId="245" xfId="1" applyFont="1" applyBorder="1" applyProtection="1">
      <alignment vertical="center"/>
      <protection locked="0"/>
    </xf>
    <xf numFmtId="41" fontId="30" fillId="0" borderId="246" xfId="1" applyFont="1" applyBorder="1" applyProtection="1">
      <alignment vertical="center"/>
      <protection hidden="1"/>
    </xf>
    <xf numFmtId="41" fontId="30" fillId="0" borderId="246" xfId="1" applyFont="1" applyBorder="1" applyProtection="1">
      <alignment vertical="center"/>
      <protection locked="0"/>
    </xf>
    <xf numFmtId="41" fontId="30" fillId="0" borderId="247" xfId="1" applyFont="1" applyBorder="1" applyProtection="1">
      <alignment vertical="center"/>
      <protection locked="0"/>
    </xf>
    <xf numFmtId="0" fontId="13" fillId="0" borderId="248" xfId="0" applyFont="1" applyBorder="1" applyProtection="1">
      <alignment vertical="center"/>
      <protection locked="0"/>
    </xf>
    <xf numFmtId="0" fontId="13" fillId="0" borderId="242" xfId="0" applyFont="1" applyBorder="1" applyProtection="1">
      <alignment vertical="center"/>
      <protection locked="0"/>
    </xf>
    <xf numFmtId="41" fontId="13" fillId="0" borderId="242" xfId="1" applyFont="1" applyBorder="1" applyProtection="1">
      <alignment vertical="center"/>
      <protection locked="0"/>
    </xf>
    <xf numFmtId="41" fontId="13" fillId="0" borderId="249" xfId="1" applyFont="1" applyBorder="1" applyProtection="1">
      <alignment vertical="center"/>
      <protection locked="0"/>
    </xf>
    <xf numFmtId="41" fontId="30" fillId="0" borderId="240" xfId="1" applyFont="1" applyBorder="1" applyProtection="1">
      <alignment vertical="center"/>
      <protection hidden="1"/>
    </xf>
    <xf numFmtId="41" fontId="30" fillId="0" borderId="240" xfId="1" applyFont="1" applyBorder="1" applyProtection="1">
      <alignment vertical="center"/>
      <protection locked="0"/>
    </xf>
    <xf numFmtId="41" fontId="30" fillId="0" borderId="237" xfId="1" applyFont="1" applyBorder="1" applyProtection="1">
      <alignment vertical="center"/>
      <protection locked="0"/>
    </xf>
    <xf numFmtId="0" fontId="77" fillId="0" borderId="248" xfId="0" applyFont="1" applyBorder="1" applyProtection="1">
      <alignment vertical="center"/>
      <protection locked="0"/>
    </xf>
    <xf numFmtId="0" fontId="0" fillId="0" borderId="239" xfId="0" applyBorder="1" applyProtection="1">
      <alignment vertical="center"/>
      <protection locked="0"/>
    </xf>
    <xf numFmtId="49" fontId="28" fillId="23" borderId="56" xfId="0" applyNumberFormat="1" applyFont="1" applyFill="1" applyBorder="1" applyProtection="1">
      <alignment vertical="center"/>
      <protection hidden="1"/>
    </xf>
    <xf numFmtId="0" fontId="28" fillId="23" borderId="56" xfId="0" applyFont="1" applyFill="1" applyBorder="1" applyProtection="1">
      <alignment vertical="center"/>
      <protection hidden="1"/>
    </xf>
    <xf numFmtId="0" fontId="28" fillId="23" borderId="25" xfId="0" applyFont="1" applyFill="1" applyBorder="1" applyProtection="1">
      <alignment vertical="center"/>
      <protection hidden="1"/>
    </xf>
    <xf numFmtId="0" fontId="28" fillId="23" borderId="36" xfId="0" applyFont="1" applyFill="1" applyBorder="1" applyProtection="1">
      <alignment vertical="center"/>
      <protection hidden="1"/>
    </xf>
    <xf numFmtId="0" fontId="28" fillId="23" borderId="32" xfId="0" applyFont="1" applyFill="1" applyBorder="1" applyProtection="1">
      <alignment vertical="center"/>
      <protection hidden="1"/>
    </xf>
    <xf numFmtId="0" fontId="28" fillId="23" borderId="58" xfId="0" applyFont="1" applyFill="1" applyBorder="1" applyProtection="1">
      <alignment vertical="center"/>
      <protection hidden="1"/>
    </xf>
    <xf numFmtId="0" fontId="28" fillId="23" borderId="47" xfId="0" applyFont="1" applyFill="1" applyBorder="1" applyProtection="1">
      <alignment vertical="center"/>
      <protection hidden="1"/>
    </xf>
    <xf numFmtId="0" fontId="93" fillId="19" borderId="0" xfId="0" applyFont="1" applyFill="1" applyAlignment="1">
      <alignment vertical="center" wrapText="1"/>
    </xf>
    <xf numFmtId="0" fontId="93" fillId="19" borderId="88" xfId="0" applyFont="1" applyFill="1" applyBorder="1" applyAlignment="1">
      <alignment vertical="center" wrapText="1"/>
    </xf>
    <xf numFmtId="0" fontId="80" fillId="9" borderId="22" xfId="0" applyFont="1" applyFill="1" applyBorder="1" applyAlignment="1">
      <alignment vertical="center" wrapText="1"/>
    </xf>
    <xf numFmtId="0" fontId="80" fillId="9" borderId="23" xfId="0" applyFont="1" applyFill="1" applyBorder="1" applyAlignment="1">
      <alignment vertical="center" wrapText="1"/>
    </xf>
    <xf numFmtId="0" fontId="80" fillId="16" borderId="22" xfId="0" applyFont="1" applyFill="1" applyBorder="1" applyAlignment="1">
      <alignment vertical="center" wrapText="1"/>
    </xf>
    <xf numFmtId="0" fontId="80" fillId="16" borderId="23" xfId="0" applyFont="1" applyFill="1" applyBorder="1" applyAlignment="1">
      <alignment vertical="center" wrapText="1"/>
    </xf>
    <xf numFmtId="0" fontId="80" fillId="12" borderId="22" xfId="0" applyFont="1" applyFill="1" applyBorder="1" applyAlignment="1">
      <alignment vertical="center" wrapText="1"/>
    </xf>
    <xf numFmtId="0" fontId="80" fillId="12" borderId="23"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93" xfId="0" applyFont="1" applyBorder="1" applyAlignment="1">
      <alignment vertical="center" wrapText="1"/>
    </xf>
    <xf numFmtId="0" fontId="2" fillId="0" borderId="3" xfId="0" applyFont="1" applyBorder="1" applyAlignment="1">
      <alignment vertical="center" wrapText="1"/>
    </xf>
    <xf numFmtId="0" fontId="2" fillId="0" borderId="94" xfId="0" applyFont="1" applyBorder="1" applyAlignment="1">
      <alignment vertical="center" wrapText="1"/>
    </xf>
    <xf numFmtId="0" fontId="0" fillId="23" borderId="22" xfId="0" applyFill="1" applyBorder="1" applyProtection="1">
      <alignment vertical="center"/>
      <protection hidden="1"/>
    </xf>
    <xf numFmtId="0" fontId="0" fillId="23" borderId="50" xfId="0" applyFill="1" applyBorder="1" applyProtection="1">
      <alignment vertical="center"/>
      <protection hidden="1"/>
    </xf>
    <xf numFmtId="0" fontId="0" fillId="23" borderId="56" xfId="0" applyFill="1" applyBorder="1" applyProtection="1">
      <alignment vertical="center"/>
      <protection hidden="1"/>
    </xf>
    <xf numFmtId="0" fontId="0" fillId="23" borderId="25" xfId="0" applyFill="1" applyBorder="1" applyProtection="1">
      <alignment vertical="center"/>
      <protection hidden="1"/>
    </xf>
    <xf numFmtId="0" fontId="8" fillId="23" borderId="80" xfId="0" applyFont="1" applyFill="1" applyBorder="1" applyAlignment="1" applyProtection="1">
      <alignment vertical="center" shrinkToFit="1"/>
      <protection hidden="1"/>
    </xf>
    <xf numFmtId="0" fontId="8" fillId="23" borderId="55" xfId="0" applyFont="1" applyFill="1" applyBorder="1" applyAlignment="1" applyProtection="1">
      <alignment vertical="center" shrinkToFit="1"/>
      <protection hidden="1"/>
    </xf>
    <xf numFmtId="0" fontId="13" fillId="23" borderId="85" xfId="0" applyFont="1" applyFill="1" applyBorder="1" applyProtection="1">
      <alignment vertical="center"/>
      <protection hidden="1"/>
    </xf>
    <xf numFmtId="0" fontId="13" fillId="23" borderId="35" xfId="0" applyFont="1" applyFill="1" applyBorder="1" applyProtection="1">
      <alignment vertical="center"/>
      <protection hidden="1"/>
    </xf>
    <xf numFmtId="0" fontId="30" fillId="3" borderId="22" xfId="0" applyFont="1" applyFill="1" applyBorder="1" applyProtection="1">
      <alignment vertical="center"/>
      <protection hidden="1"/>
    </xf>
    <xf numFmtId="0" fontId="30" fillId="3" borderId="24" xfId="0" applyFont="1" applyFill="1" applyBorder="1" applyProtection="1">
      <alignment vertical="center"/>
      <protection hidden="1"/>
    </xf>
    <xf numFmtId="0" fontId="13" fillId="23" borderId="84" xfId="0" applyFont="1" applyFill="1" applyBorder="1" applyProtection="1">
      <alignment vertical="center"/>
      <protection hidden="1"/>
    </xf>
    <xf numFmtId="0" fontId="13" fillId="23" borderId="60" xfId="0" applyFont="1" applyFill="1" applyBorder="1" applyProtection="1">
      <alignment vertical="center"/>
      <protection hidden="1"/>
    </xf>
    <xf numFmtId="0" fontId="29" fillId="23" borderId="67" xfId="0" applyFont="1" applyFill="1" applyBorder="1" applyProtection="1">
      <alignment vertical="center"/>
      <protection hidden="1"/>
    </xf>
    <xf numFmtId="0" fontId="29" fillId="23" borderId="68" xfId="0" applyFont="1" applyFill="1" applyBorder="1" applyProtection="1">
      <alignment vertical="center"/>
      <protection hidden="1"/>
    </xf>
    <xf numFmtId="0" fontId="29" fillId="23" borderId="87" xfId="0" applyFont="1" applyFill="1" applyBorder="1" applyProtection="1">
      <alignment vertical="center"/>
      <protection hidden="1"/>
    </xf>
    <xf numFmtId="0" fontId="29" fillId="23" borderId="88" xfId="0" applyFont="1" applyFill="1" applyBorder="1" applyProtection="1">
      <alignment vertical="center"/>
      <protection hidden="1"/>
    </xf>
    <xf numFmtId="0" fontId="30" fillId="24" borderId="237" xfId="0" applyFont="1" applyFill="1" applyBorder="1" applyProtection="1">
      <alignment vertical="center"/>
      <protection hidden="1"/>
    </xf>
    <xf numFmtId="0" fontId="30" fillId="24" borderId="238" xfId="0" applyFont="1" applyFill="1" applyBorder="1" applyProtection="1">
      <alignment vertical="center"/>
      <protection hidden="1"/>
    </xf>
    <xf numFmtId="0" fontId="30" fillId="6" borderId="22" xfId="0" applyFont="1" applyFill="1" applyBorder="1" applyProtection="1">
      <alignment vertical="center"/>
      <protection hidden="1"/>
    </xf>
    <xf numFmtId="0" fontId="30" fillId="6" borderId="24" xfId="0" applyFont="1" applyFill="1" applyBorder="1" applyProtection="1">
      <alignment vertical="center"/>
      <protection hidden="1"/>
    </xf>
    <xf numFmtId="41" fontId="30" fillId="0" borderId="40" xfId="1" applyFont="1" applyBorder="1" applyProtection="1">
      <alignment vertical="center"/>
      <protection hidden="1"/>
    </xf>
    <xf numFmtId="41" fontId="30" fillId="0" borderId="40" xfId="1" applyFont="1" applyBorder="1" applyProtection="1">
      <alignment vertical="center"/>
      <protection locked="0"/>
    </xf>
    <xf numFmtId="0" fontId="24" fillId="0" borderId="55" xfId="0" applyFont="1" applyBorder="1" applyAlignment="1" applyProtection="1">
      <alignment horizontal="center" vertical="center"/>
      <protection hidden="1"/>
    </xf>
    <xf numFmtId="41" fontId="77" fillId="24" borderId="34" xfId="1" applyFont="1" applyFill="1" applyBorder="1" applyProtection="1">
      <alignment vertical="center"/>
      <protection locked="0"/>
    </xf>
    <xf numFmtId="41" fontId="0" fillId="23" borderId="32" xfId="1" applyFont="1" applyFill="1" applyBorder="1" applyProtection="1">
      <alignment vertical="center"/>
      <protection locked="0"/>
    </xf>
    <xf numFmtId="41" fontId="77" fillId="6" borderId="34" xfId="1" applyFont="1" applyFill="1" applyBorder="1" applyProtection="1">
      <alignment vertical="center"/>
      <protection locked="0"/>
    </xf>
    <xf numFmtId="181" fontId="8" fillId="6" borderId="250" xfId="1" applyNumberFormat="1" applyFont="1" applyFill="1" applyBorder="1" applyAlignment="1" applyProtection="1">
      <alignment horizontal="center" vertical="center" shrinkToFit="1"/>
      <protection locked="0"/>
    </xf>
    <xf numFmtId="181" fontId="8" fillId="6" borderId="38" xfId="1" applyNumberFormat="1"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left" vertical="center" wrapText="1"/>
      <protection hidden="1"/>
    </xf>
    <xf numFmtId="0" fontId="3" fillId="2" borderId="43" xfId="0" applyFont="1" applyFill="1" applyBorder="1" applyAlignment="1" applyProtection="1">
      <alignment horizontal="center" vertical="center" wrapText="1"/>
      <protection hidden="1"/>
    </xf>
    <xf numFmtId="41" fontId="3" fillId="2" borderId="43" xfId="0" applyNumberFormat="1" applyFont="1" applyFill="1" applyBorder="1" applyAlignment="1" applyProtection="1">
      <alignment horizontal="center" vertical="center" wrapText="1"/>
      <protection hidden="1"/>
    </xf>
    <xf numFmtId="181" fontId="15" fillId="2" borderId="43" xfId="0" applyNumberFormat="1" applyFont="1" applyFill="1" applyBorder="1" applyAlignment="1" applyProtection="1">
      <alignment horizontal="center" vertical="center"/>
      <protection locked="0"/>
    </xf>
    <xf numFmtId="0" fontId="8" fillId="16" borderId="69" xfId="0" applyFont="1" applyFill="1" applyBorder="1" applyAlignment="1" applyProtection="1">
      <alignment horizontal="center" vertical="center" shrinkToFit="1"/>
      <protection hidden="1"/>
    </xf>
    <xf numFmtId="181" fontId="8" fillId="6" borderId="45" xfId="1" applyNumberFormat="1" applyFont="1" applyFill="1" applyBorder="1" applyAlignment="1" applyProtection="1">
      <alignment horizontal="center" vertical="center" shrinkToFit="1"/>
      <protection locked="0"/>
    </xf>
    <xf numFmtId="0" fontId="97" fillId="14" borderId="234" xfId="0" applyFont="1" applyFill="1" applyBorder="1" applyAlignment="1">
      <alignment vertical="top" wrapText="1"/>
    </xf>
    <xf numFmtId="0" fontId="97" fillId="14" borderId="83" xfId="0" applyFont="1" applyFill="1" applyBorder="1" applyAlignment="1">
      <alignment vertical="top" wrapText="1"/>
    </xf>
    <xf numFmtId="0" fontId="97" fillId="14" borderId="89" xfId="0" applyFont="1" applyFill="1" applyBorder="1" applyAlignment="1">
      <alignment vertical="top" wrapText="1"/>
    </xf>
    <xf numFmtId="0" fontId="97" fillId="14" borderId="234" xfId="0" applyFont="1" applyFill="1" applyBorder="1" applyAlignment="1">
      <alignment vertical="center" wrapText="1"/>
    </xf>
    <xf numFmtId="0" fontId="97" fillId="14" borderId="83" xfId="0" applyFont="1" applyFill="1" applyBorder="1" applyAlignment="1">
      <alignment vertical="center" wrapText="1"/>
    </xf>
    <xf numFmtId="0" fontId="97" fillId="14" borderId="89" xfId="0" applyFont="1" applyFill="1" applyBorder="1" applyAlignment="1">
      <alignment vertical="center" wrapText="1"/>
    </xf>
    <xf numFmtId="0" fontId="97" fillId="14" borderId="85" xfId="0" applyFont="1" applyFill="1" applyBorder="1" applyAlignment="1">
      <alignment vertical="top" wrapText="1"/>
    </xf>
    <xf numFmtId="0" fontId="97" fillId="14" borderId="80" xfId="0" applyFont="1" applyFill="1" applyBorder="1" applyAlignment="1">
      <alignment vertical="top" wrapText="1"/>
    </xf>
    <xf numFmtId="41" fontId="0" fillId="23" borderId="43" xfId="1" applyFont="1" applyFill="1" applyBorder="1" applyAlignment="1" applyProtection="1">
      <alignment vertical="center" shrinkToFit="1"/>
      <protection hidden="1"/>
    </xf>
    <xf numFmtId="0" fontId="0" fillId="23" borderId="44" xfId="0" applyFill="1" applyBorder="1" applyAlignment="1" applyProtection="1">
      <alignment horizontal="left" vertical="center" shrinkToFit="1"/>
      <protection hidden="1"/>
    </xf>
    <xf numFmtId="41" fontId="0" fillId="23" borderId="41" xfId="1" applyFont="1" applyFill="1" applyBorder="1" applyProtection="1">
      <alignment vertical="center"/>
      <protection locked="0"/>
    </xf>
    <xf numFmtId="0" fontId="37" fillId="11" borderId="34" xfId="0" applyFont="1" applyFill="1" applyBorder="1" applyProtection="1">
      <alignment vertical="center"/>
      <protection hidden="1"/>
    </xf>
    <xf numFmtId="0" fontId="37" fillId="11" borderId="57" xfId="0" applyFont="1" applyFill="1" applyBorder="1" applyProtection="1">
      <alignment vertical="center"/>
      <protection hidden="1"/>
    </xf>
    <xf numFmtId="0" fontId="24" fillId="11" borderId="36" xfId="0" applyFont="1" applyFill="1" applyBorder="1" applyAlignment="1" applyProtection="1">
      <alignment horizontal="center" vertical="center"/>
      <protection hidden="1"/>
    </xf>
    <xf numFmtId="0" fontId="24" fillId="0" borderId="32" xfId="0" applyFont="1" applyBorder="1" applyAlignment="1" applyProtection="1">
      <alignment horizontal="center" vertical="center"/>
      <protection hidden="1"/>
    </xf>
    <xf numFmtId="0" fontId="25" fillId="11" borderId="48" xfId="0" applyFont="1" applyFill="1" applyBorder="1" applyAlignment="1" applyProtection="1">
      <alignment horizontal="center" vertical="center"/>
      <protection hidden="1"/>
    </xf>
    <xf numFmtId="0" fontId="25" fillId="11" borderId="51" xfId="0" applyFont="1" applyFill="1" applyBorder="1" applyAlignment="1" applyProtection="1">
      <alignment horizontal="center" vertical="center"/>
      <protection hidden="1"/>
    </xf>
    <xf numFmtId="0" fontId="25" fillId="0" borderId="51" xfId="0" applyFont="1" applyBorder="1" applyAlignment="1" applyProtection="1">
      <alignment horizontal="center" vertical="center"/>
      <protection hidden="1"/>
    </xf>
    <xf numFmtId="0" fontId="25" fillId="0" borderId="74" xfId="0" applyFont="1" applyBorder="1" applyAlignment="1" applyProtection="1">
      <alignment horizontal="center" vertical="center"/>
      <protection hidden="1"/>
    </xf>
    <xf numFmtId="0" fontId="24" fillId="11" borderId="58" xfId="0" applyFont="1" applyFill="1" applyBorder="1" applyAlignment="1" applyProtection="1">
      <alignment horizontal="center" vertical="center"/>
      <protection hidden="1"/>
    </xf>
    <xf numFmtId="0" fontId="24" fillId="0" borderId="47" xfId="0" applyFont="1" applyBorder="1" applyAlignment="1" applyProtection="1">
      <alignment horizontal="center" vertical="center"/>
      <protection hidden="1"/>
    </xf>
    <xf numFmtId="0" fontId="24" fillId="6" borderId="36" xfId="0" applyFont="1" applyFill="1" applyBorder="1" applyAlignment="1" applyProtection="1">
      <alignment horizontal="center" vertical="center"/>
      <protection hidden="1"/>
    </xf>
    <xf numFmtId="0" fontId="96" fillId="6" borderId="27" xfId="0" applyFont="1" applyFill="1" applyBorder="1" applyProtection="1">
      <alignment vertical="center"/>
      <protection hidden="1"/>
    </xf>
    <xf numFmtId="0" fontId="37" fillId="6" borderId="34" xfId="0" applyFont="1" applyFill="1" applyBorder="1" applyProtection="1">
      <alignment vertical="center"/>
      <protection hidden="1"/>
    </xf>
    <xf numFmtId="41" fontId="13" fillId="0" borderId="56" xfId="1" applyFont="1" applyFill="1" applyBorder="1" applyAlignment="1" applyProtection="1">
      <alignment horizontal="center" vertical="center"/>
      <protection hidden="1"/>
    </xf>
    <xf numFmtId="0" fontId="8" fillId="23" borderId="48" xfId="0" applyFont="1" applyFill="1" applyBorder="1" applyAlignment="1" applyProtection="1">
      <alignment vertical="center" shrinkToFit="1"/>
      <protection hidden="1"/>
    </xf>
    <xf numFmtId="41" fontId="77" fillId="0" borderId="41" xfId="1" applyFont="1" applyBorder="1" applyAlignment="1" applyProtection="1">
      <alignment vertical="center" shrinkToFit="1"/>
      <protection hidden="1"/>
    </xf>
    <xf numFmtId="41" fontId="77" fillId="0" borderId="78" xfId="1" applyFont="1" applyBorder="1" applyAlignment="1" applyProtection="1">
      <alignment vertical="center" shrinkToFit="1"/>
      <protection hidden="1"/>
    </xf>
    <xf numFmtId="0" fontId="75" fillId="0" borderId="251" xfId="0" applyFont="1" applyBorder="1" applyAlignment="1" applyProtection="1">
      <alignment horizontal="center" vertical="center" wrapText="1"/>
      <protection hidden="1"/>
    </xf>
    <xf numFmtId="0" fontId="26" fillId="0" borderId="243" xfId="0" applyFont="1" applyBorder="1" applyAlignment="1" applyProtection="1">
      <alignment horizontal="center" vertical="center"/>
      <protection hidden="1"/>
    </xf>
    <xf numFmtId="0" fontId="31" fillId="19" borderId="34" xfId="0" applyFont="1" applyFill="1" applyBorder="1" applyProtection="1">
      <alignment vertical="center"/>
      <protection locked="0"/>
    </xf>
    <xf numFmtId="41" fontId="25" fillId="0" borderId="72" xfId="1" applyFont="1" applyBorder="1" applyProtection="1">
      <alignment vertical="center"/>
      <protection hidden="1"/>
    </xf>
    <xf numFmtId="41" fontId="31" fillId="0" borderId="252" xfId="1" applyFont="1" applyFill="1" applyBorder="1" applyProtection="1">
      <alignment vertical="center"/>
      <protection locked="0"/>
    </xf>
    <xf numFmtId="181" fontId="33" fillId="0" borderId="33" xfId="0" applyNumberFormat="1" applyFont="1" applyBorder="1" applyAlignment="1" applyProtection="1">
      <alignment horizontal="center" vertical="center"/>
      <protection locked="0"/>
    </xf>
    <xf numFmtId="181" fontId="33" fillId="2" borderId="40" xfId="0" applyNumberFormat="1" applyFont="1" applyFill="1" applyBorder="1" applyAlignment="1" applyProtection="1">
      <alignment horizontal="center" vertical="center"/>
      <protection locked="0"/>
    </xf>
    <xf numFmtId="41" fontId="8" fillId="11" borderId="226" xfId="9" applyFont="1" applyFill="1" applyBorder="1" applyAlignment="1" applyProtection="1">
      <alignment horizontal="center" vertical="center"/>
      <protection hidden="1"/>
    </xf>
    <xf numFmtId="41" fontId="8" fillId="11" borderId="223" xfId="9" applyFont="1" applyFill="1" applyBorder="1" applyAlignment="1" applyProtection="1">
      <alignment horizontal="center" vertical="center"/>
      <protection hidden="1"/>
    </xf>
    <xf numFmtId="0" fontId="31" fillId="4" borderId="57" xfId="0" applyFont="1" applyFill="1" applyBorder="1" applyProtection="1">
      <alignment vertical="center"/>
      <protection locked="0"/>
    </xf>
    <xf numFmtId="181" fontId="33" fillId="4" borderId="46" xfId="0" applyNumberFormat="1" applyFont="1" applyFill="1" applyBorder="1" applyAlignment="1" applyProtection="1">
      <alignment horizontal="center" vertical="center"/>
      <protection locked="0"/>
    </xf>
    <xf numFmtId="0" fontId="25" fillId="2" borderId="48" xfId="0" applyFont="1" applyFill="1" applyBorder="1" applyProtection="1">
      <alignment vertical="center"/>
      <protection hidden="1"/>
    </xf>
    <xf numFmtId="0" fontId="15" fillId="0" borderId="17" xfId="3" applyFont="1" applyBorder="1" applyAlignment="1" applyProtection="1">
      <alignment horizontal="left" vertical="center" shrinkToFit="1"/>
      <protection hidden="1"/>
    </xf>
    <xf numFmtId="0" fontId="25" fillId="16" borderId="48" xfId="0" applyFont="1" applyFill="1" applyBorder="1" applyProtection="1">
      <alignment vertical="center"/>
      <protection hidden="1"/>
    </xf>
    <xf numFmtId="41" fontId="25" fillId="16" borderId="74" xfId="1" applyFont="1" applyFill="1" applyBorder="1" applyProtection="1">
      <alignment vertical="center"/>
      <protection hidden="1"/>
    </xf>
    <xf numFmtId="41" fontId="25" fillId="16" borderId="49" xfId="0" applyNumberFormat="1" applyFont="1" applyFill="1" applyBorder="1" applyAlignment="1" applyProtection="1">
      <alignment horizontal="center" vertical="center"/>
      <protection hidden="1"/>
    </xf>
    <xf numFmtId="41" fontId="25" fillId="0" borderId="23" xfId="0" applyNumberFormat="1" applyFont="1" applyBorder="1" applyProtection="1">
      <alignment vertical="center"/>
      <protection hidden="1"/>
    </xf>
    <xf numFmtId="0" fontId="0" fillId="13" borderId="83" xfId="0" applyFill="1" applyBorder="1" applyProtection="1">
      <alignment vertical="center"/>
      <protection hidden="1"/>
    </xf>
    <xf numFmtId="0" fontId="0" fillId="13" borderId="0" xfId="0" applyFill="1" applyProtection="1">
      <alignment vertical="center"/>
      <protection hidden="1"/>
    </xf>
    <xf numFmtId="0" fontId="0" fillId="13" borderId="90" xfId="0" applyFill="1" applyBorder="1" applyProtection="1">
      <alignment vertical="center"/>
      <protection hidden="1"/>
    </xf>
    <xf numFmtId="0" fontId="0" fillId="13" borderId="64" xfId="0" applyFill="1" applyBorder="1" applyProtection="1">
      <alignment vertical="center"/>
      <protection hidden="1"/>
    </xf>
    <xf numFmtId="0" fontId="31" fillId="2" borderId="253" xfId="0" applyFont="1" applyFill="1" applyBorder="1" applyAlignment="1" applyProtection="1">
      <alignment horizontal="center" vertical="center"/>
      <protection locked="0"/>
    </xf>
    <xf numFmtId="41" fontId="31" fillId="2" borderId="254" xfId="1" applyFont="1" applyFill="1" applyBorder="1" applyAlignment="1" applyProtection="1">
      <alignment horizontal="center" vertical="center"/>
      <protection locked="0"/>
    </xf>
    <xf numFmtId="184" fontId="44" fillId="6" borderId="32" xfId="0" applyNumberFormat="1" applyFont="1" applyFill="1" applyBorder="1" applyAlignment="1">
      <alignment horizontal="center" vertical="center"/>
    </xf>
    <xf numFmtId="184" fontId="44" fillId="6" borderId="47" xfId="0" applyNumberFormat="1" applyFont="1" applyFill="1" applyBorder="1" applyAlignment="1">
      <alignment horizontal="center" vertical="center"/>
    </xf>
    <xf numFmtId="41" fontId="3" fillId="3" borderId="41" xfId="1" applyFont="1" applyFill="1" applyBorder="1" applyAlignment="1">
      <alignment horizontal="center" vertical="center" wrapText="1"/>
    </xf>
    <xf numFmtId="10" fontId="0" fillId="0" borderId="36" xfId="2" applyNumberFormat="1" applyFont="1" applyBorder="1">
      <alignment vertical="center"/>
    </xf>
    <xf numFmtId="185" fontId="0" fillId="0" borderId="36" xfId="2" applyNumberFormat="1" applyFont="1" applyBorder="1">
      <alignment vertical="center"/>
    </xf>
    <xf numFmtId="0" fontId="0" fillId="0" borderId="34" xfId="0" applyBorder="1">
      <alignment vertical="center"/>
    </xf>
    <xf numFmtId="10" fontId="0" fillId="0" borderId="32" xfId="2" applyNumberFormat="1" applyFont="1" applyBorder="1">
      <alignment vertical="center"/>
    </xf>
    <xf numFmtId="185" fontId="0" fillId="0" borderId="32" xfId="2" applyNumberFormat="1" applyFont="1" applyBorder="1">
      <alignment vertical="center"/>
    </xf>
    <xf numFmtId="0" fontId="0" fillId="0" borderId="57" xfId="0" applyBorder="1">
      <alignment vertical="center"/>
    </xf>
    <xf numFmtId="10" fontId="0" fillId="0" borderId="58" xfId="2" applyNumberFormat="1" applyFont="1" applyBorder="1">
      <alignment vertical="center"/>
    </xf>
    <xf numFmtId="10" fontId="0" fillId="0" borderId="47" xfId="2" applyNumberFormat="1" applyFont="1" applyBorder="1">
      <alignment vertical="center"/>
    </xf>
    <xf numFmtId="0" fontId="0" fillId="0" borderId="27" xfId="0" applyBorder="1">
      <alignment vertical="center"/>
    </xf>
    <xf numFmtId="184" fontId="0" fillId="0" borderId="36" xfId="2" applyNumberFormat="1" applyFont="1" applyBorder="1">
      <alignment vertical="center"/>
    </xf>
    <xf numFmtId="184" fontId="0" fillId="0" borderId="36" xfId="0" applyNumberFormat="1" applyBorder="1">
      <alignment vertical="center"/>
    </xf>
    <xf numFmtId="0" fontId="0" fillId="0" borderId="32" xfId="0" applyBorder="1">
      <alignment vertical="center"/>
    </xf>
    <xf numFmtId="184" fontId="0" fillId="0" borderId="58" xfId="2" applyNumberFormat="1" applyFont="1" applyBorder="1">
      <alignment vertical="center"/>
    </xf>
    <xf numFmtId="184" fontId="0" fillId="0" borderId="58" xfId="0" applyNumberFormat="1" applyBorder="1">
      <alignment vertical="center"/>
    </xf>
    <xf numFmtId="0" fontId="0" fillId="0" borderId="47" xfId="0" applyBorder="1">
      <alignment vertical="center"/>
    </xf>
    <xf numFmtId="0" fontId="0" fillId="0" borderId="32" xfId="0" applyBorder="1" applyAlignment="1">
      <alignment horizontal="center" vertical="center"/>
    </xf>
    <xf numFmtId="0" fontId="26" fillId="0" borderId="32" xfId="0" applyFont="1" applyBorder="1" applyAlignment="1">
      <alignment horizontal="center" vertical="center"/>
    </xf>
    <xf numFmtId="10" fontId="24" fillId="6" borderId="56" xfId="2" applyNumberFormat="1" applyFont="1" applyFill="1" applyBorder="1" applyAlignment="1" applyProtection="1">
      <alignment horizontal="center" vertical="center"/>
      <protection locked="0"/>
    </xf>
    <xf numFmtId="10" fontId="24" fillId="6" borderId="58" xfId="2" applyNumberFormat="1" applyFont="1" applyFill="1" applyBorder="1" applyAlignment="1" applyProtection="1">
      <alignment horizontal="center" vertical="center"/>
      <protection locked="0"/>
    </xf>
    <xf numFmtId="184" fontId="27" fillId="6" borderId="21" xfId="0" applyNumberFormat="1" applyFont="1" applyFill="1" applyBorder="1" applyAlignment="1" applyProtection="1">
      <alignment horizontal="center" vertical="center"/>
      <protection locked="0"/>
    </xf>
    <xf numFmtId="182" fontId="97" fillId="14" borderId="45" xfId="0" applyNumberFormat="1" applyFont="1" applyFill="1" applyBorder="1" applyAlignment="1">
      <alignment vertical="top" wrapText="1"/>
    </xf>
    <xf numFmtId="10" fontId="97" fillId="14" borderId="92" xfId="0" applyNumberFormat="1" applyFont="1" applyFill="1" applyBorder="1" applyAlignment="1">
      <alignment vertical="top" wrapText="1"/>
    </xf>
    <xf numFmtId="10" fontId="97" fillId="14" borderId="117" xfId="0" applyNumberFormat="1" applyFont="1" applyFill="1" applyBorder="1" applyAlignment="1">
      <alignment vertical="top" wrapText="1"/>
    </xf>
    <xf numFmtId="10" fontId="97" fillId="14" borderId="26" xfId="0" applyNumberFormat="1" applyFont="1" applyFill="1" applyBorder="1" applyAlignment="1">
      <alignment vertical="top" wrapText="1"/>
    </xf>
    <xf numFmtId="10" fontId="97" fillId="14" borderId="40" xfId="0" applyNumberFormat="1" applyFont="1" applyFill="1" applyBorder="1" applyAlignment="1">
      <alignment vertical="top" wrapText="1"/>
    </xf>
    <xf numFmtId="0" fontId="97" fillId="14" borderId="87" xfId="0" applyFont="1" applyFill="1" applyBorder="1" applyAlignment="1">
      <alignment vertical="top" wrapText="1"/>
    </xf>
    <xf numFmtId="0" fontId="97" fillId="14" borderId="87" xfId="0" applyFont="1" applyFill="1" applyBorder="1" applyAlignment="1">
      <alignment vertical="center" wrapText="1"/>
    </xf>
    <xf numFmtId="10" fontId="97" fillId="14" borderId="19" xfId="0" applyNumberFormat="1" applyFont="1" applyFill="1" applyBorder="1" applyAlignment="1">
      <alignment vertical="top" wrapText="1"/>
    </xf>
    <xf numFmtId="0" fontId="38" fillId="0" borderId="29" xfId="0" applyFont="1" applyBorder="1" applyAlignment="1">
      <alignment horizontal="center" vertical="center"/>
    </xf>
    <xf numFmtId="0" fontId="38" fillId="0" borderId="59" xfId="0" applyFont="1" applyBorder="1" applyAlignment="1">
      <alignment horizontal="center" vertical="center"/>
    </xf>
    <xf numFmtId="0" fontId="0" fillId="0" borderId="47" xfId="0" applyBorder="1" applyAlignment="1">
      <alignment horizontal="center" vertical="center"/>
    </xf>
    <xf numFmtId="0" fontId="98" fillId="0" borderId="34" xfId="0" applyFont="1" applyBorder="1" applyAlignment="1">
      <alignment horizontal="center" vertical="center"/>
    </xf>
    <xf numFmtId="0" fontId="98" fillId="0" borderId="57" xfId="0" applyFont="1" applyBorder="1" applyAlignment="1">
      <alignment horizontal="center" vertical="center"/>
    </xf>
    <xf numFmtId="41" fontId="3" fillId="9" borderId="41" xfId="1" applyFont="1" applyFill="1" applyBorder="1" applyAlignment="1">
      <alignment horizontal="center" vertical="center" wrapText="1"/>
    </xf>
    <xf numFmtId="0" fontId="0" fillId="0" borderId="36" xfId="0" applyBorder="1">
      <alignment vertical="center"/>
    </xf>
    <xf numFmtId="0" fontId="38" fillId="0" borderId="36" xfId="0" applyFont="1" applyBorder="1" applyAlignment="1">
      <alignment horizontal="center" vertical="center"/>
    </xf>
    <xf numFmtId="41" fontId="0" fillId="0" borderId="36" xfId="1" applyFont="1" applyBorder="1">
      <alignment vertical="center"/>
    </xf>
    <xf numFmtId="0" fontId="38" fillId="0" borderId="32" xfId="0" applyFont="1" applyBorder="1" applyAlignment="1">
      <alignment horizontal="center" vertical="center"/>
    </xf>
    <xf numFmtId="41" fontId="0" fillId="0" borderId="32" xfId="1" applyFont="1" applyBorder="1">
      <alignment vertical="center"/>
    </xf>
    <xf numFmtId="0" fontId="0" fillId="0" borderId="58" xfId="0" applyBorder="1">
      <alignment vertical="center"/>
    </xf>
    <xf numFmtId="41" fontId="0" fillId="0" borderId="58" xfId="1" applyFont="1" applyBorder="1">
      <alignment vertical="center"/>
    </xf>
    <xf numFmtId="41" fontId="0" fillId="0" borderId="47" xfId="1" applyFont="1" applyBorder="1">
      <alignment vertical="center"/>
    </xf>
    <xf numFmtId="177" fontId="8" fillId="7" borderId="36" xfId="0" applyNumberFormat="1" applyFont="1" applyFill="1" applyBorder="1" applyProtection="1">
      <alignment vertical="center"/>
      <protection locked="0"/>
    </xf>
    <xf numFmtId="0" fontId="28" fillId="2" borderId="74" xfId="0" applyFont="1" applyFill="1" applyBorder="1" applyAlignment="1" applyProtection="1">
      <alignment horizontal="center" vertical="center"/>
      <protection hidden="1"/>
    </xf>
    <xf numFmtId="0" fontId="28" fillId="4" borderId="74" xfId="0" applyFont="1" applyFill="1" applyBorder="1" applyAlignment="1" applyProtection="1">
      <alignment horizontal="center" vertical="center"/>
      <protection hidden="1"/>
    </xf>
    <xf numFmtId="0" fontId="28" fillId="3" borderId="74" xfId="0" applyFont="1" applyFill="1" applyBorder="1" applyAlignment="1" applyProtection="1">
      <alignment horizontal="center" vertical="center"/>
      <protection hidden="1"/>
    </xf>
    <xf numFmtId="0" fontId="26" fillId="2" borderId="32" xfId="0" applyFont="1" applyFill="1" applyBorder="1" applyAlignment="1" applyProtection="1">
      <alignment horizontal="center" vertical="center"/>
      <protection hidden="1"/>
    </xf>
    <xf numFmtId="0" fontId="8" fillId="0" borderId="255" xfId="0" applyFont="1" applyBorder="1" applyAlignment="1" applyProtection="1">
      <alignment vertical="center" shrinkToFit="1"/>
      <protection hidden="1"/>
    </xf>
    <xf numFmtId="0" fontId="26" fillId="3" borderId="256" xfId="0" applyFont="1" applyFill="1" applyBorder="1" applyAlignment="1" applyProtection="1">
      <alignment horizontal="center" vertical="center"/>
      <protection hidden="1"/>
    </xf>
    <xf numFmtId="0" fontId="8" fillId="0" borderId="257" xfId="0" applyFont="1" applyBorder="1" applyAlignment="1" applyProtection="1">
      <alignment vertical="center" shrinkToFit="1"/>
      <protection hidden="1"/>
    </xf>
    <xf numFmtId="0" fontId="26" fillId="2" borderId="258" xfId="0" applyFont="1" applyFill="1" applyBorder="1" applyAlignment="1" applyProtection="1">
      <alignment horizontal="center" vertical="center"/>
      <protection hidden="1"/>
    </xf>
    <xf numFmtId="185" fontId="24" fillId="6" borderId="36" xfId="2" applyNumberFormat="1" applyFont="1" applyFill="1" applyBorder="1" applyAlignment="1" applyProtection="1">
      <alignment horizontal="center" vertical="center"/>
      <protection locked="0"/>
    </xf>
    <xf numFmtId="0" fontId="30" fillId="16" borderId="67" xfId="0" applyFont="1" applyFill="1" applyBorder="1" applyAlignment="1" applyProtection="1">
      <alignment horizontal="center" vertical="center" shrinkToFit="1"/>
      <protection hidden="1"/>
    </xf>
    <xf numFmtId="0" fontId="30" fillId="16" borderId="68" xfId="0" applyFont="1" applyFill="1" applyBorder="1" applyAlignment="1" applyProtection="1">
      <alignment horizontal="center" vertical="center" shrinkToFit="1"/>
      <protection hidden="1"/>
    </xf>
    <xf numFmtId="0" fontId="30" fillId="16" borderId="62" xfId="0" applyFont="1" applyFill="1" applyBorder="1" applyAlignment="1" applyProtection="1">
      <alignment horizontal="center" vertical="center" shrinkToFit="1"/>
      <protection hidden="1"/>
    </xf>
    <xf numFmtId="0" fontId="30" fillId="16" borderId="87" xfId="0" applyFont="1" applyFill="1" applyBorder="1" applyAlignment="1" applyProtection="1">
      <alignment horizontal="center" vertical="center" shrinkToFit="1"/>
      <protection hidden="1"/>
    </xf>
    <xf numFmtId="0" fontId="30" fillId="16" borderId="88" xfId="0" applyFont="1" applyFill="1" applyBorder="1" applyAlignment="1" applyProtection="1">
      <alignment horizontal="center" vertical="center" shrinkToFit="1"/>
      <protection hidden="1"/>
    </xf>
    <xf numFmtId="0" fontId="30" fillId="16" borderId="64" xfId="0" applyFont="1" applyFill="1" applyBorder="1" applyAlignment="1" applyProtection="1">
      <alignment horizontal="center" vertical="center" shrinkToFit="1"/>
      <protection hidden="1"/>
    </xf>
    <xf numFmtId="41" fontId="25" fillId="2" borderId="52" xfId="0" applyNumberFormat="1" applyFont="1" applyFill="1" applyBorder="1" applyAlignment="1" applyProtection="1">
      <alignment horizontal="center" vertical="center"/>
      <protection hidden="1"/>
    </xf>
    <xf numFmtId="41" fontId="25" fillId="2" borderId="24" xfId="0" applyNumberFormat="1" applyFont="1" applyFill="1" applyBorder="1" applyAlignment="1" applyProtection="1">
      <alignment horizontal="center" vertical="center"/>
      <protection hidden="1"/>
    </xf>
    <xf numFmtId="41" fontId="24" fillId="0" borderId="71" xfId="0" applyNumberFormat="1" applyFont="1" applyBorder="1" applyAlignment="1" applyProtection="1">
      <alignment horizontal="center" vertical="center"/>
      <protection hidden="1"/>
    </xf>
    <xf numFmtId="41" fontId="24" fillId="0" borderId="77" xfId="0" applyNumberFormat="1" applyFont="1" applyBorder="1" applyAlignment="1" applyProtection="1">
      <alignment horizontal="center" vertical="center"/>
      <protection hidden="1"/>
    </xf>
    <xf numFmtId="41" fontId="24" fillId="0" borderId="41" xfId="0" applyNumberFormat="1" applyFont="1" applyBorder="1" applyAlignment="1" applyProtection="1">
      <alignment horizontal="center" vertical="center"/>
      <protection hidden="1"/>
    </xf>
    <xf numFmtId="41" fontId="24" fillId="0" borderId="82" xfId="0" applyNumberFormat="1" applyFont="1" applyBorder="1" applyAlignment="1" applyProtection="1">
      <alignment horizontal="center" vertical="center"/>
      <protection hidden="1"/>
    </xf>
    <xf numFmtId="0" fontId="25" fillId="12" borderId="22" xfId="0" applyFont="1" applyFill="1" applyBorder="1" applyAlignment="1" applyProtection="1">
      <alignment horizontal="center" vertical="center"/>
      <protection hidden="1"/>
    </xf>
    <xf numFmtId="0" fontId="25" fillId="12" borderId="23" xfId="0" applyFont="1" applyFill="1" applyBorder="1" applyAlignment="1" applyProtection="1">
      <alignment horizontal="center" vertical="center"/>
      <protection hidden="1"/>
    </xf>
    <xf numFmtId="0" fontId="25" fillId="12" borderId="24" xfId="0" applyFont="1" applyFill="1" applyBorder="1" applyAlignment="1" applyProtection="1">
      <alignment horizontal="center" vertical="center"/>
      <protection hidden="1"/>
    </xf>
    <xf numFmtId="0" fontId="25" fillId="25" borderId="22" xfId="0" applyFont="1" applyFill="1" applyBorder="1" applyAlignment="1" applyProtection="1">
      <alignment horizontal="center" vertical="center"/>
      <protection hidden="1"/>
    </xf>
    <xf numFmtId="0" fontId="25" fillId="25" borderId="23" xfId="0" applyFont="1" applyFill="1" applyBorder="1" applyAlignment="1" applyProtection="1">
      <alignment horizontal="center" vertical="center"/>
      <protection hidden="1"/>
    </xf>
    <xf numFmtId="0" fontId="25" fillId="25" borderId="24" xfId="0" applyFont="1" applyFill="1" applyBorder="1" applyAlignment="1" applyProtection="1">
      <alignment horizontal="center" vertical="center"/>
      <protection hidden="1"/>
    </xf>
    <xf numFmtId="41" fontId="24" fillId="0" borderId="78" xfId="0" applyNumberFormat="1" applyFont="1" applyBorder="1" applyAlignment="1" applyProtection="1">
      <alignment horizontal="center" vertical="center"/>
      <protection hidden="1"/>
    </xf>
    <xf numFmtId="41" fontId="24" fillId="0" borderId="79" xfId="0" applyNumberFormat="1" applyFont="1" applyBorder="1" applyAlignment="1" applyProtection="1">
      <alignment horizontal="center" vertical="center"/>
      <protection hidden="1"/>
    </xf>
    <xf numFmtId="0" fontId="26" fillId="0" borderId="22" xfId="0" applyFont="1" applyBorder="1" applyAlignment="1" applyProtection="1">
      <alignment horizontal="center" vertical="center"/>
      <protection hidden="1"/>
    </xf>
    <xf numFmtId="0" fontId="26" fillId="0" borderId="23" xfId="0" applyFont="1" applyBorder="1" applyAlignment="1" applyProtection="1">
      <alignment horizontal="center" vertical="center"/>
      <protection hidden="1"/>
    </xf>
    <xf numFmtId="41" fontId="24" fillId="0" borderId="80" xfId="0" applyNumberFormat="1" applyFont="1" applyBorder="1" applyAlignment="1" applyProtection="1">
      <alignment horizontal="center" vertical="center"/>
      <protection locked="0"/>
    </xf>
    <xf numFmtId="41" fontId="24" fillId="0" borderId="81" xfId="0" applyNumberFormat="1" applyFont="1" applyBorder="1" applyAlignment="1" applyProtection="1">
      <alignment horizontal="center" vertical="center"/>
      <protection locked="0"/>
    </xf>
    <xf numFmtId="41" fontId="24" fillId="3" borderId="84" xfId="0" applyNumberFormat="1" applyFont="1" applyFill="1" applyBorder="1" applyAlignment="1" applyProtection="1">
      <alignment horizontal="center" vertical="center"/>
      <protection locked="0"/>
    </xf>
    <xf numFmtId="41" fontId="24" fillId="3" borderId="203" xfId="0" applyNumberFormat="1" applyFont="1" applyFill="1" applyBorder="1" applyAlignment="1" applyProtection="1">
      <alignment horizontal="center" vertical="center"/>
      <protection locked="0"/>
    </xf>
    <xf numFmtId="41" fontId="15" fillId="0" borderId="41" xfId="1" applyFont="1" applyFill="1" applyBorder="1" applyAlignment="1" applyProtection="1">
      <alignment horizontal="center" vertical="center"/>
      <protection hidden="1"/>
    </xf>
    <xf numFmtId="41" fontId="15" fillId="0" borderId="82" xfId="1" applyFont="1" applyFill="1" applyBorder="1" applyAlignment="1" applyProtection="1">
      <alignment horizontal="center" vertical="center"/>
      <protection hidden="1"/>
    </xf>
    <xf numFmtId="41" fontId="24" fillId="0" borderId="85" xfId="1" applyFont="1" applyFill="1" applyBorder="1" applyAlignment="1" applyProtection="1">
      <alignment horizontal="center" vertical="center"/>
      <protection hidden="1"/>
    </xf>
    <xf numFmtId="41" fontId="24" fillId="0" borderId="82" xfId="1" applyFont="1" applyFill="1" applyBorder="1" applyAlignment="1" applyProtection="1">
      <alignment horizontal="center" vertical="center"/>
      <protection hidden="1"/>
    </xf>
    <xf numFmtId="41" fontId="26" fillId="6" borderId="85" xfId="1" applyFont="1" applyFill="1" applyBorder="1" applyAlignment="1" applyProtection="1">
      <alignment horizontal="center" vertical="center"/>
      <protection locked="0"/>
    </xf>
    <xf numFmtId="41" fontId="26" fillId="6" borderId="82" xfId="1" applyFont="1" applyFill="1" applyBorder="1" applyAlignment="1" applyProtection="1">
      <alignment horizontal="center" vertical="center"/>
      <protection locked="0"/>
    </xf>
    <xf numFmtId="41" fontId="15" fillId="0" borderId="35" xfId="1" applyFont="1" applyFill="1" applyBorder="1" applyAlignment="1" applyProtection="1">
      <alignment horizontal="center" vertical="center"/>
      <protection hidden="1"/>
    </xf>
    <xf numFmtId="41" fontId="25" fillId="4" borderId="52" xfId="0" applyNumberFormat="1" applyFont="1" applyFill="1" applyBorder="1" applyAlignment="1" applyProtection="1">
      <alignment horizontal="center" vertical="center"/>
      <protection hidden="1"/>
    </xf>
    <xf numFmtId="41" fontId="25" fillId="4" borderId="24" xfId="0" applyNumberFormat="1" applyFont="1" applyFill="1" applyBorder="1" applyAlignment="1" applyProtection="1">
      <alignment horizontal="center" vertical="center"/>
      <protection hidden="1"/>
    </xf>
    <xf numFmtId="0" fontId="34" fillId="0" borderId="71" xfId="0" applyFont="1" applyBorder="1" applyAlignment="1" applyProtection="1">
      <alignment horizontal="center" vertical="center" shrinkToFit="1"/>
      <protection hidden="1"/>
    </xf>
    <xf numFmtId="0" fontId="34" fillId="0" borderId="55" xfId="0" applyFont="1" applyBorder="1" applyAlignment="1" applyProtection="1">
      <alignment horizontal="center" vertical="center" shrinkToFit="1"/>
      <protection hidden="1"/>
    </xf>
    <xf numFmtId="0" fontId="35" fillId="0" borderId="52" xfId="0" applyFont="1" applyBorder="1" applyAlignment="1" applyProtection="1">
      <alignment horizontal="center" vertical="center"/>
      <protection hidden="1"/>
    </xf>
    <xf numFmtId="0" fontId="35" fillId="0" borderId="50" xfId="0" applyFont="1" applyBorder="1" applyAlignment="1" applyProtection="1">
      <alignment horizontal="center" vertical="center"/>
      <protection hidden="1"/>
    </xf>
    <xf numFmtId="0" fontId="35" fillId="0" borderId="24" xfId="0" applyFont="1" applyBorder="1" applyAlignment="1" applyProtection="1">
      <alignment horizontal="center" vertical="center"/>
      <protection hidden="1"/>
    </xf>
    <xf numFmtId="0" fontId="36" fillId="0" borderId="22" xfId="4" applyFont="1" applyBorder="1" applyAlignment="1" applyProtection="1">
      <alignment horizontal="center" vertical="center" wrapText="1"/>
      <protection hidden="1"/>
    </xf>
    <xf numFmtId="0" fontId="36" fillId="0" borderId="24" xfId="4" applyFont="1" applyBorder="1" applyAlignment="1" applyProtection="1">
      <alignment horizontal="center" vertical="center" wrapText="1"/>
      <protection hidden="1"/>
    </xf>
    <xf numFmtId="41" fontId="25" fillId="9" borderId="52" xfId="0" applyNumberFormat="1" applyFont="1" applyFill="1" applyBorder="1" applyAlignment="1" applyProtection="1">
      <alignment horizontal="center" vertical="center"/>
      <protection hidden="1"/>
    </xf>
    <xf numFmtId="41" fontId="25" fillId="9" borderId="24" xfId="0" applyNumberFormat="1" applyFont="1" applyFill="1" applyBorder="1" applyAlignment="1" applyProtection="1">
      <alignment horizontal="center" vertical="center"/>
      <protection hidden="1"/>
    </xf>
    <xf numFmtId="177" fontId="0" fillId="0" borderId="80" xfId="1" applyNumberFormat="1" applyFont="1" applyFill="1" applyBorder="1" applyAlignment="1" applyProtection="1">
      <alignment horizontal="center" vertical="center"/>
      <protection hidden="1"/>
    </xf>
    <xf numFmtId="177" fontId="0" fillId="0" borderId="77" xfId="1" applyNumberFormat="1" applyFont="1" applyFill="1" applyBorder="1" applyAlignment="1" applyProtection="1">
      <alignment horizontal="center" vertical="center"/>
      <protection hidden="1"/>
    </xf>
    <xf numFmtId="41" fontId="15" fillId="8" borderId="41" xfId="1" applyFont="1" applyFill="1" applyBorder="1" applyAlignment="1" applyProtection="1">
      <alignment horizontal="center" vertical="center"/>
      <protection hidden="1"/>
    </xf>
    <xf numFmtId="41" fontId="15" fillId="8" borderId="82" xfId="1" applyFont="1" applyFill="1" applyBorder="1" applyAlignment="1" applyProtection="1">
      <alignment horizontal="center" vertical="center"/>
      <protection hidden="1"/>
    </xf>
    <xf numFmtId="41" fontId="15" fillId="8" borderId="78" xfId="1" applyFont="1" applyFill="1" applyBorder="1" applyAlignment="1" applyProtection="1">
      <alignment horizontal="center" vertical="center"/>
      <protection hidden="1"/>
    </xf>
    <xf numFmtId="41" fontId="15" fillId="8" borderId="79" xfId="1" applyFont="1" applyFill="1" applyBorder="1" applyAlignment="1" applyProtection="1">
      <alignment horizontal="center" vertical="center"/>
      <protection hidden="1"/>
    </xf>
    <xf numFmtId="177" fontId="26" fillId="6" borderId="85" xfId="0" applyNumberFormat="1" applyFont="1" applyFill="1" applyBorder="1" applyAlignment="1" applyProtection="1">
      <alignment horizontal="center" vertical="center"/>
      <protection locked="0"/>
    </xf>
    <xf numFmtId="177" fontId="26" fillId="6" borderId="82" xfId="0" applyNumberFormat="1" applyFont="1" applyFill="1" applyBorder="1" applyAlignment="1" applyProtection="1">
      <alignment horizontal="center" vertical="center"/>
      <protection locked="0"/>
    </xf>
    <xf numFmtId="177" fontId="26" fillId="6" borderId="84" xfId="0" applyNumberFormat="1" applyFont="1" applyFill="1" applyBorder="1" applyAlignment="1" applyProtection="1">
      <alignment horizontal="center" vertical="center"/>
      <protection locked="0"/>
    </xf>
    <xf numFmtId="177" fontId="26" fillId="6" borderId="79" xfId="0" applyNumberFormat="1" applyFont="1" applyFill="1" applyBorder="1" applyAlignment="1" applyProtection="1">
      <alignment horizontal="center" vertical="center"/>
      <protection locked="0"/>
    </xf>
    <xf numFmtId="41" fontId="15" fillId="8" borderId="35" xfId="1" applyFont="1" applyFill="1" applyBorder="1" applyAlignment="1" applyProtection="1">
      <alignment horizontal="center" vertical="center"/>
      <protection hidden="1"/>
    </xf>
    <xf numFmtId="41" fontId="15" fillId="8" borderId="60" xfId="1" applyFont="1" applyFill="1" applyBorder="1" applyAlignment="1" applyProtection="1">
      <alignment horizontal="center" vertical="center"/>
      <protection hidden="1"/>
    </xf>
    <xf numFmtId="41" fontId="37" fillId="0" borderId="71" xfId="1" applyFont="1" applyFill="1" applyBorder="1" applyAlignment="1" applyProtection="1">
      <alignment horizontal="center" vertical="center"/>
      <protection hidden="1"/>
    </xf>
    <xf numFmtId="41" fontId="37" fillId="0" borderId="55" xfId="1" applyFont="1" applyFill="1" applyBorder="1" applyAlignment="1" applyProtection="1">
      <alignment horizontal="center" vertical="center"/>
      <protection hidden="1"/>
    </xf>
    <xf numFmtId="41" fontId="15" fillId="0" borderId="71" xfId="1" applyFont="1" applyFill="1" applyBorder="1" applyAlignment="1" applyProtection="1">
      <alignment horizontal="center" vertical="center"/>
      <protection hidden="1"/>
    </xf>
    <xf numFmtId="41" fontId="15" fillId="0" borderId="77" xfId="1" applyFont="1" applyFill="1" applyBorder="1" applyAlignment="1" applyProtection="1">
      <alignment horizontal="center" vertical="center"/>
      <protection hidden="1"/>
    </xf>
    <xf numFmtId="41" fontId="12" fillId="0" borderId="22" xfId="1" applyFont="1" applyBorder="1" applyAlignment="1" applyProtection="1">
      <alignment horizontal="center" vertical="center"/>
      <protection hidden="1"/>
    </xf>
    <xf numFmtId="41" fontId="12" fillId="0" borderId="23" xfId="1" applyFont="1" applyBorder="1" applyAlignment="1" applyProtection="1">
      <alignment horizontal="center" vertical="center"/>
      <protection hidden="1"/>
    </xf>
    <xf numFmtId="41" fontId="12" fillId="0" borderId="24" xfId="1" applyFont="1" applyBorder="1" applyAlignment="1" applyProtection="1">
      <alignment horizontal="center" vertical="center"/>
      <protection hidden="1"/>
    </xf>
    <xf numFmtId="177" fontId="0" fillId="0" borderId="71" xfId="1" applyNumberFormat="1" applyFont="1" applyFill="1" applyBorder="1" applyAlignment="1" applyProtection="1">
      <alignment horizontal="center" vertical="center"/>
      <protection hidden="1"/>
    </xf>
    <xf numFmtId="0" fontId="8" fillId="0" borderId="13" xfId="0" applyFont="1" applyBorder="1" applyAlignment="1" applyProtection="1">
      <alignment horizontal="center" vertical="center" shrinkToFit="1"/>
      <protection hidden="1"/>
    </xf>
    <xf numFmtId="0" fontId="8" fillId="0" borderId="18" xfId="0" applyFont="1" applyBorder="1" applyAlignment="1" applyProtection="1">
      <alignment horizontal="center" vertical="center" shrinkToFit="1"/>
      <protection hidden="1"/>
    </xf>
    <xf numFmtId="177" fontId="29" fillId="8" borderId="22" xfId="0" applyNumberFormat="1" applyFont="1" applyFill="1" applyBorder="1" applyAlignment="1" applyProtection="1">
      <alignment horizontal="center" vertical="center"/>
      <protection hidden="1"/>
    </xf>
    <xf numFmtId="177" fontId="29" fillId="8" borderId="23" xfId="0" applyNumberFormat="1" applyFont="1" applyFill="1" applyBorder="1" applyAlignment="1" applyProtection="1">
      <alignment horizontal="center" vertical="center"/>
      <protection hidden="1"/>
    </xf>
    <xf numFmtId="177" fontId="29" fillId="8" borderId="24" xfId="0" applyNumberFormat="1" applyFont="1" applyFill="1" applyBorder="1" applyAlignment="1" applyProtection="1">
      <alignment horizontal="center" vertical="center"/>
      <protection hidden="1"/>
    </xf>
    <xf numFmtId="41" fontId="8" fillId="0" borderId="14" xfId="1" applyFont="1" applyBorder="1" applyAlignment="1" applyProtection="1">
      <alignment horizontal="center" vertical="center" shrinkToFit="1"/>
      <protection hidden="1"/>
    </xf>
    <xf numFmtId="41" fontId="8" fillId="0" borderId="19" xfId="1" applyFont="1" applyBorder="1" applyAlignment="1" applyProtection="1">
      <alignment horizontal="center" vertical="center" shrinkToFit="1"/>
      <protection hidden="1"/>
    </xf>
    <xf numFmtId="0" fontId="8" fillId="0" borderId="15"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8" fillId="0" borderId="16" xfId="0" applyFont="1" applyBorder="1" applyAlignment="1" applyProtection="1">
      <alignment horizontal="center" vertical="center" shrinkToFit="1"/>
      <protection hidden="1"/>
    </xf>
    <xf numFmtId="0" fontId="8" fillId="0" borderId="21" xfId="0" applyFont="1" applyBorder="1" applyAlignment="1" applyProtection="1">
      <alignment horizontal="center" vertical="center" shrinkToFit="1"/>
      <protection hidden="1"/>
    </xf>
    <xf numFmtId="41" fontId="8" fillId="0" borderId="12" xfId="1" applyFont="1" applyBorder="1" applyAlignment="1" applyProtection="1">
      <alignment horizontal="center" vertical="center" shrinkToFit="1"/>
      <protection hidden="1"/>
    </xf>
    <xf numFmtId="41" fontId="8" fillId="0" borderId="17" xfId="1" applyFont="1" applyBorder="1" applyAlignment="1" applyProtection="1">
      <alignment horizontal="center" vertical="center" shrinkToFit="1"/>
      <protection hidden="1"/>
    </xf>
    <xf numFmtId="41" fontId="9" fillId="0" borderId="13" xfId="1" applyFont="1" applyBorder="1" applyAlignment="1" applyProtection="1">
      <alignment horizontal="center" vertical="center"/>
      <protection hidden="1"/>
    </xf>
    <xf numFmtId="41" fontId="11" fillId="0" borderId="18" xfId="1" applyFont="1" applyBorder="1" applyAlignment="1" applyProtection="1">
      <alignment horizontal="center" vertical="center"/>
      <protection hidden="1"/>
    </xf>
    <xf numFmtId="0" fontId="25" fillId="6" borderId="56" xfId="0" applyFont="1" applyFill="1" applyBorder="1" applyAlignment="1" applyProtection="1">
      <alignment horizontal="center" vertical="center"/>
      <protection locked="0"/>
    </xf>
    <xf numFmtId="0" fontId="25" fillId="6" borderId="25" xfId="0" applyFont="1" applyFill="1" applyBorder="1" applyAlignment="1" applyProtection="1">
      <alignment horizontal="center" vertical="center"/>
      <protection locked="0"/>
    </xf>
    <xf numFmtId="177" fontId="0" fillId="3" borderId="41" xfId="1" applyNumberFormat="1" applyFont="1" applyFill="1" applyBorder="1" applyAlignment="1" applyProtection="1">
      <alignment horizontal="center" vertical="center"/>
      <protection locked="0"/>
    </xf>
    <xf numFmtId="177" fontId="0" fillId="3" borderId="82" xfId="1" applyNumberFormat="1"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shrinkToFit="1"/>
      <protection hidden="1"/>
    </xf>
    <xf numFmtId="0" fontId="6" fillId="6" borderId="9" xfId="0" applyFont="1" applyFill="1" applyBorder="1" applyAlignment="1" applyProtection="1">
      <alignment horizontal="center" vertical="center" shrinkToFit="1"/>
      <protection hidden="1"/>
    </xf>
    <xf numFmtId="0" fontId="6" fillId="6" borderId="10"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9" xfId="0" applyFont="1" applyFill="1" applyBorder="1" applyAlignment="1" applyProtection="1">
      <alignment horizontal="center" vertical="center" shrinkToFit="1"/>
      <protection hidden="1"/>
    </xf>
    <xf numFmtId="0" fontId="6" fillId="3" borderId="10" xfId="0" applyFont="1" applyFill="1" applyBorder="1" applyAlignment="1" applyProtection="1">
      <alignment horizontal="center" vertical="center" shrinkToFit="1"/>
      <protection hidden="1"/>
    </xf>
    <xf numFmtId="0" fontId="5" fillId="0" borderId="1" xfId="0" applyFont="1" applyBorder="1" applyAlignment="1" applyProtection="1">
      <alignment horizontal="center" vertical="center" wrapText="1" shrinkToFit="1"/>
      <protection hidden="1"/>
    </xf>
    <xf numFmtId="0" fontId="5" fillId="0" borderId="2" xfId="0" applyFont="1" applyBorder="1" applyAlignment="1" applyProtection="1">
      <alignment horizontal="center" vertical="center" wrapText="1" shrinkToFit="1"/>
      <protection hidden="1"/>
    </xf>
    <xf numFmtId="0" fontId="5" fillId="2" borderId="1" xfId="0" applyFont="1" applyFill="1" applyBorder="1" applyAlignment="1" applyProtection="1">
      <alignment horizontal="center" vertical="center" wrapText="1" shrinkToFit="1"/>
      <protection hidden="1"/>
    </xf>
    <xf numFmtId="0" fontId="5" fillId="2" borderId="2" xfId="0" applyFont="1" applyFill="1" applyBorder="1" applyAlignment="1" applyProtection="1">
      <alignment horizontal="center" vertical="center" wrapText="1" shrinkToFi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6" fillId="5" borderId="8" xfId="0" applyFont="1" applyFill="1" applyBorder="1" applyAlignment="1" applyProtection="1">
      <alignment horizontal="center" vertical="center" shrinkToFit="1"/>
      <protection hidden="1"/>
    </xf>
    <xf numFmtId="0" fontId="6" fillId="5" borderId="9" xfId="0" applyFont="1" applyFill="1" applyBorder="1" applyAlignment="1" applyProtection="1">
      <alignment horizontal="center" vertical="center" shrinkToFit="1"/>
      <protection hidden="1"/>
    </xf>
    <xf numFmtId="0" fontId="6" fillId="5" borderId="10" xfId="0" applyFont="1" applyFill="1" applyBorder="1" applyAlignment="1" applyProtection="1">
      <alignment horizontal="center" vertical="center" shrinkToFit="1"/>
      <protection hidden="1"/>
    </xf>
    <xf numFmtId="0" fontId="24" fillId="0" borderId="41" xfId="0" applyFont="1" applyBorder="1" applyAlignment="1" applyProtection="1">
      <alignment horizontal="center" vertical="center"/>
      <protection hidden="1"/>
    </xf>
    <xf numFmtId="0" fontId="24" fillId="0" borderId="82" xfId="0" applyFont="1" applyBorder="1" applyAlignment="1" applyProtection="1">
      <alignment horizontal="center" vertical="center"/>
      <protection hidden="1"/>
    </xf>
    <xf numFmtId="9" fontId="26" fillId="6" borderId="78" xfId="2" applyFont="1" applyFill="1" applyBorder="1" applyAlignment="1" applyProtection="1">
      <alignment horizontal="center" vertical="center"/>
      <protection hidden="1"/>
    </xf>
    <xf numFmtId="9" fontId="26" fillId="6" borderId="79" xfId="2" applyFont="1" applyFill="1" applyBorder="1" applyAlignment="1" applyProtection="1">
      <alignment horizontal="center" vertical="center"/>
      <protection hidden="1"/>
    </xf>
    <xf numFmtId="182" fontId="25" fillId="6" borderId="56" xfId="0" applyNumberFormat="1" applyFont="1" applyFill="1" applyBorder="1" applyAlignment="1" applyProtection="1">
      <alignment horizontal="center" vertical="center"/>
      <protection locked="0"/>
    </xf>
    <xf numFmtId="14" fontId="25" fillId="6" borderId="58" xfId="0" applyNumberFormat="1" applyFont="1" applyFill="1" applyBorder="1" applyAlignment="1" applyProtection="1">
      <alignment horizontal="center" vertical="center"/>
      <protection locked="0"/>
    </xf>
    <xf numFmtId="182" fontId="25" fillId="0" borderId="22" xfId="0" applyNumberFormat="1" applyFont="1" applyBorder="1" applyAlignment="1" applyProtection="1">
      <alignment horizontal="center" vertical="center"/>
      <protection hidden="1"/>
    </xf>
    <xf numFmtId="182" fontId="25" fillId="0" borderId="23" xfId="0" applyNumberFormat="1" applyFont="1" applyBorder="1" applyAlignment="1" applyProtection="1">
      <alignment horizontal="center" vertical="center"/>
      <protection hidden="1"/>
    </xf>
    <xf numFmtId="0" fontId="25" fillId="6" borderId="78" xfId="0" applyFont="1" applyFill="1" applyBorder="1" applyAlignment="1" applyProtection="1">
      <alignment horizontal="center" vertical="center"/>
      <protection locked="0"/>
    </xf>
    <xf numFmtId="0" fontId="25" fillId="6" borderId="60" xfId="0" applyFont="1" applyFill="1" applyBorder="1" applyAlignment="1" applyProtection="1">
      <alignment horizontal="center" vertical="center"/>
      <protection locked="0"/>
    </xf>
    <xf numFmtId="0" fontId="0" fillId="0" borderId="80"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28" fillId="6" borderId="71" xfId="0" applyFont="1" applyFill="1" applyBorder="1" applyAlignment="1" applyProtection="1">
      <alignment horizontal="center" vertical="center"/>
      <protection hidden="1"/>
    </xf>
    <xf numFmtId="0" fontId="28" fillId="6" borderId="81" xfId="0" applyFont="1" applyFill="1" applyBorder="1" applyAlignment="1" applyProtection="1">
      <alignment horizontal="center" vertical="center"/>
      <protection hidden="1"/>
    </xf>
    <xf numFmtId="0" fontId="28" fillId="6" borderId="77" xfId="0" applyFont="1" applyFill="1" applyBorder="1" applyAlignment="1" applyProtection="1">
      <alignment horizontal="center" vertical="center"/>
      <protection hidden="1"/>
    </xf>
    <xf numFmtId="0" fontId="25" fillId="0" borderId="54" xfId="0" applyFont="1" applyBorder="1" applyAlignment="1" applyProtection="1">
      <alignment horizontal="center" vertical="center"/>
      <protection hidden="1"/>
    </xf>
    <xf numFmtId="0" fontId="25" fillId="0" borderId="56" xfId="0" applyFont="1" applyBorder="1" applyAlignment="1" applyProtection="1">
      <alignment horizontal="center" vertical="center"/>
      <protection hidden="1"/>
    </xf>
    <xf numFmtId="0" fontId="25" fillId="0" borderId="25" xfId="0" applyFont="1" applyBorder="1" applyAlignment="1" applyProtection="1">
      <alignment horizontal="center" vertical="center"/>
      <protection hidden="1"/>
    </xf>
    <xf numFmtId="0" fontId="26" fillId="6" borderId="51" xfId="0" applyFont="1" applyFill="1" applyBorder="1" applyAlignment="1" applyProtection="1">
      <alignment horizontal="center" vertical="center"/>
      <protection locked="0"/>
    </xf>
    <xf numFmtId="0" fontId="26" fillId="6" borderId="74" xfId="0" applyFont="1" applyFill="1" applyBorder="1" applyAlignment="1" applyProtection="1">
      <alignment horizontal="center" vertical="center"/>
      <protection locked="0"/>
    </xf>
    <xf numFmtId="0" fontId="27" fillId="0" borderId="22" xfId="0" applyFont="1" applyBorder="1" applyAlignment="1" applyProtection="1">
      <alignment horizontal="center" vertical="center"/>
      <protection hidden="1"/>
    </xf>
    <xf numFmtId="0" fontId="27" fillId="0" borderId="23" xfId="0" applyFont="1" applyBorder="1" applyAlignment="1" applyProtection="1">
      <alignment horizontal="center" vertical="center"/>
      <protection hidden="1"/>
    </xf>
    <xf numFmtId="0" fontId="27" fillId="0" borderId="24" xfId="0" applyFont="1" applyBorder="1" applyAlignment="1" applyProtection="1">
      <alignment horizontal="center" vertical="center"/>
      <protection hidden="1"/>
    </xf>
    <xf numFmtId="9" fontId="26" fillId="6" borderId="71" xfId="2" applyFont="1" applyFill="1" applyBorder="1" applyAlignment="1" applyProtection="1">
      <alignment horizontal="center" vertical="center"/>
      <protection hidden="1"/>
    </xf>
    <xf numFmtId="9" fontId="26" fillId="6" borderId="77" xfId="2" applyFont="1" applyFill="1" applyBorder="1" applyAlignment="1" applyProtection="1">
      <alignment horizontal="center" vertical="center"/>
      <protection hidden="1"/>
    </xf>
    <xf numFmtId="182" fontId="25" fillId="11" borderId="22" xfId="0" applyNumberFormat="1" applyFont="1" applyFill="1" applyBorder="1" applyAlignment="1" applyProtection="1">
      <alignment horizontal="center" vertical="center"/>
      <protection hidden="1"/>
    </xf>
    <xf numFmtId="182" fontId="25" fillId="11" borderId="23" xfId="0" applyNumberFormat="1" applyFont="1" applyFill="1" applyBorder="1" applyAlignment="1" applyProtection="1">
      <alignment horizontal="center" vertical="center"/>
      <protection hidden="1"/>
    </xf>
    <xf numFmtId="0" fontId="0" fillId="0" borderId="57" xfId="0"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28" fillId="0" borderId="58" xfId="0" applyFont="1" applyBorder="1" applyAlignment="1" applyProtection="1">
      <alignment horizontal="center" vertical="center"/>
      <protection hidden="1"/>
    </xf>
    <xf numFmtId="0" fontId="28" fillId="0" borderId="47" xfId="0" applyFont="1" applyBorder="1" applyAlignment="1" applyProtection="1">
      <alignment horizontal="center" vertical="center"/>
      <protection hidden="1"/>
    </xf>
    <xf numFmtId="182" fontId="25" fillId="9" borderId="22" xfId="0" applyNumberFormat="1" applyFont="1" applyFill="1" applyBorder="1" applyAlignment="1" applyProtection="1">
      <alignment horizontal="center" vertical="center"/>
      <protection hidden="1"/>
    </xf>
    <xf numFmtId="182" fontId="25" fillId="9" borderId="23" xfId="0" applyNumberFormat="1" applyFont="1" applyFill="1" applyBorder="1" applyAlignment="1" applyProtection="1">
      <alignment horizontal="center" vertical="center"/>
      <protection hidden="1"/>
    </xf>
    <xf numFmtId="0" fontId="24" fillId="0" borderId="36" xfId="0" applyFont="1" applyBorder="1" applyProtection="1">
      <alignment vertical="center"/>
      <protection hidden="1"/>
    </xf>
    <xf numFmtId="0" fontId="24" fillId="0" borderId="32" xfId="0" applyFont="1" applyBorder="1" applyProtection="1">
      <alignment vertical="center"/>
      <protection hidden="1"/>
    </xf>
    <xf numFmtId="177" fontId="0" fillId="0" borderId="41" xfId="1" applyNumberFormat="1" applyFont="1" applyFill="1" applyBorder="1" applyAlignment="1" applyProtection="1">
      <alignment horizontal="center" vertical="center"/>
      <protection hidden="1"/>
    </xf>
    <xf numFmtId="177" fontId="0" fillId="0" borderId="82" xfId="1" applyNumberFormat="1" applyFont="1" applyFill="1" applyBorder="1" applyAlignment="1" applyProtection="1">
      <alignment horizontal="center" vertical="center"/>
      <protection hidden="1"/>
    </xf>
    <xf numFmtId="0" fontId="25" fillId="3" borderId="22" xfId="0" applyFont="1" applyFill="1" applyBorder="1" applyAlignment="1" applyProtection="1">
      <alignment horizontal="center" vertical="center"/>
      <protection hidden="1"/>
    </xf>
    <xf numFmtId="0" fontId="25" fillId="3" borderId="23" xfId="0" applyFont="1" applyFill="1" applyBorder="1" applyAlignment="1" applyProtection="1">
      <alignment horizontal="center" vertical="center"/>
      <protection hidden="1"/>
    </xf>
    <xf numFmtId="0" fontId="25" fillId="3" borderId="24" xfId="0" applyFont="1" applyFill="1" applyBorder="1" applyAlignment="1" applyProtection="1">
      <alignment horizontal="center" vertical="center"/>
      <protection hidden="1"/>
    </xf>
    <xf numFmtId="0" fontId="25" fillId="2" borderId="22" xfId="0" applyFont="1" applyFill="1" applyBorder="1" applyAlignment="1" applyProtection="1">
      <alignment horizontal="center" vertical="center"/>
      <protection hidden="1"/>
    </xf>
    <xf numFmtId="0" fontId="25" fillId="2" borderId="23" xfId="0" applyFont="1" applyFill="1" applyBorder="1" applyAlignment="1" applyProtection="1">
      <alignment horizontal="center" vertical="center"/>
      <protection hidden="1"/>
    </xf>
    <xf numFmtId="0" fontId="25" fillId="2" borderId="24" xfId="0" applyFont="1" applyFill="1" applyBorder="1" applyAlignment="1" applyProtection="1">
      <alignment horizontal="center" vertical="center"/>
      <protection hidden="1"/>
    </xf>
    <xf numFmtId="0" fontId="25" fillId="4" borderId="22" xfId="0" applyFont="1" applyFill="1" applyBorder="1" applyAlignment="1" applyProtection="1">
      <alignment horizontal="center" vertical="center"/>
      <protection hidden="1"/>
    </xf>
    <xf numFmtId="0" fontId="25" fillId="4" borderId="23" xfId="0" applyFont="1" applyFill="1" applyBorder="1" applyAlignment="1" applyProtection="1">
      <alignment horizontal="center" vertical="center"/>
      <protection hidden="1"/>
    </xf>
    <xf numFmtId="0" fontId="25" fillId="4" borderId="24" xfId="0" applyFont="1" applyFill="1" applyBorder="1" applyAlignment="1" applyProtection="1">
      <alignment horizontal="center" vertical="center"/>
      <protection hidden="1"/>
    </xf>
    <xf numFmtId="184" fontId="26" fillId="0" borderId="71" xfId="2" applyNumberFormat="1" applyFont="1" applyFill="1" applyBorder="1" applyAlignment="1" applyProtection="1">
      <alignment horizontal="center" vertical="center"/>
      <protection hidden="1"/>
    </xf>
    <xf numFmtId="184" fontId="26" fillId="0" borderId="77" xfId="2" applyNumberFormat="1" applyFont="1" applyFill="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25" fillId="0" borderId="23" xfId="0" applyFont="1" applyBorder="1" applyAlignment="1" applyProtection="1">
      <alignment horizontal="center" vertical="center"/>
      <protection hidden="1"/>
    </xf>
    <xf numFmtId="0" fontId="25" fillId="0" borderId="24" xfId="0" applyFont="1" applyBorder="1" applyAlignment="1" applyProtection="1">
      <alignment horizontal="center" vertical="center"/>
      <protection hidden="1"/>
    </xf>
    <xf numFmtId="0" fontId="25" fillId="8" borderId="22" xfId="0" applyFont="1" applyFill="1" applyBorder="1" applyAlignment="1" applyProtection="1">
      <alignment horizontal="center" vertical="center"/>
      <protection hidden="1"/>
    </xf>
    <xf numFmtId="0" fontId="25" fillId="8" borderId="23" xfId="0" applyFont="1" applyFill="1" applyBorder="1" applyAlignment="1" applyProtection="1">
      <alignment horizontal="center" vertical="center"/>
      <protection hidden="1"/>
    </xf>
    <xf numFmtId="0" fontId="25" fillId="8" borderId="24" xfId="0" applyFont="1" applyFill="1" applyBorder="1" applyAlignment="1" applyProtection="1">
      <alignment horizontal="center" vertical="center"/>
      <protection hidden="1"/>
    </xf>
    <xf numFmtId="177" fontId="0" fillId="2" borderId="41" xfId="0" applyNumberFormat="1" applyFill="1" applyBorder="1" applyAlignment="1" applyProtection="1">
      <alignment horizontal="center" vertical="center"/>
      <protection locked="0"/>
    </xf>
    <xf numFmtId="177" fontId="0" fillId="2" borderId="82" xfId="0" applyNumberFormat="1" applyFill="1" applyBorder="1" applyAlignment="1" applyProtection="1">
      <alignment horizontal="center" vertical="center"/>
      <protection locked="0"/>
    </xf>
    <xf numFmtId="177" fontId="0" fillId="4" borderId="71" xfId="1" applyNumberFormat="1" applyFont="1" applyFill="1" applyBorder="1" applyAlignment="1" applyProtection="1">
      <alignment horizontal="center" vertical="center"/>
      <protection locked="0"/>
    </xf>
    <xf numFmtId="177" fontId="0" fillId="4" borderId="77" xfId="1" applyNumberFormat="1" applyFont="1" applyFill="1" applyBorder="1" applyAlignment="1" applyProtection="1">
      <alignment horizontal="center" vertical="center"/>
      <protection locked="0"/>
    </xf>
    <xf numFmtId="177" fontId="0" fillId="4" borderId="41" xfId="1" applyNumberFormat="1" applyFont="1" applyFill="1" applyBorder="1" applyAlignment="1" applyProtection="1">
      <alignment horizontal="center" vertical="center"/>
      <protection locked="0"/>
    </xf>
    <xf numFmtId="177" fontId="0" fillId="4" borderId="82" xfId="1" applyNumberFormat="1" applyFont="1" applyFill="1" applyBorder="1" applyAlignment="1" applyProtection="1">
      <alignment horizontal="center" vertical="center"/>
      <protection locked="0"/>
    </xf>
    <xf numFmtId="177" fontId="0" fillId="3" borderId="71" xfId="1" applyNumberFormat="1" applyFont="1" applyFill="1" applyBorder="1" applyAlignment="1" applyProtection="1">
      <alignment horizontal="center" vertical="center"/>
      <protection locked="0"/>
    </xf>
    <xf numFmtId="177" fontId="0" fillId="3" borderId="77" xfId="1" applyNumberFormat="1" applyFont="1" applyFill="1" applyBorder="1" applyAlignment="1" applyProtection="1">
      <alignment horizontal="center" vertical="center"/>
      <protection locked="0"/>
    </xf>
    <xf numFmtId="177" fontId="0" fillId="0" borderId="78" xfId="1" applyNumberFormat="1" applyFont="1" applyFill="1" applyBorder="1" applyAlignment="1" applyProtection="1">
      <alignment horizontal="center" vertical="center"/>
      <protection hidden="1"/>
    </xf>
    <xf numFmtId="177" fontId="0" fillId="0" borderId="79" xfId="1" applyNumberFormat="1" applyFont="1" applyFill="1" applyBorder="1" applyAlignment="1" applyProtection="1">
      <alignment horizontal="center" vertical="center"/>
      <protection hidden="1"/>
    </xf>
    <xf numFmtId="0" fontId="26" fillId="13" borderId="22" xfId="0" applyFont="1" applyFill="1" applyBorder="1" applyAlignment="1" applyProtection="1">
      <alignment horizontal="center" vertical="center"/>
      <protection hidden="1"/>
    </xf>
    <xf numFmtId="0" fontId="26" fillId="13" borderId="23" xfId="0" applyFont="1" applyFill="1" applyBorder="1" applyAlignment="1" applyProtection="1">
      <alignment horizontal="center" vertical="center"/>
      <protection hidden="1"/>
    </xf>
    <xf numFmtId="0" fontId="26" fillId="13" borderId="24" xfId="0" applyFont="1" applyFill="1" applyBorder="1" applyAlignment="1" applyProtection="1">
      <alignment horizontal="center" vertical="center"/>
      <protection hidden="1"/>
    </xf>
    <xf numFmtId="0" fontId="30" fillId="9" borderId="22" xfId="0" applyFont="1" applyFill="1" applyBorder="1" applyAlignment="1" applyProtection="1">
      <alignment horizontal="center" vertical="center" shrinkToFit="1"/>
      <protection hidden="1"/>
    </xf>
    <xf numFmtId="0" fontId="30" fillId="9" borderId="23" xfId="0" applyFont="1" applyFill="1" applyBorder="1" applyAlignment="1" applyProtection="1">
      <alignment horizontal="center" vertical="center" shrinkToFit="1"/>
      <protection hidden="1"/>
    </xf>
    <xf numFmtId="0" fontId="30" fillId="9" borderId="24" xfId="0" applyFont="1" applyFill="1" applyBorder="1" applyAlignment="1" applyProtection="1">
      <alignment horizontal="center" vertical="center" shrinkToFit="1"/>
      <protection hidden="1"/>
    </xf>
    <xf numFmtId="177" fontId="0" fillId="3" borderId="78" xfId="1" applyNumberFormat="1" applyFont="1" applyFill="1" applyBorder="1" applyAlignment="1" applyProtection="1">
      <alignment horizontal="center" vertical="center"/>
      <protection locked="0"/>
    </xf>
    <xf numFmtId="177" fontId="0" fillId="3" borderId="79" xfId="1" applyNumberFormat="1" applyFont="1" applyFill="1" applyBorder="1" applyAlignment="1" applyProtection="1">
      <alignment horizontal="center" vertical="center"/>
      <protection locked="0"/>
    </xf>
    <xf numFmtId="177" fontId="0" fillId="2" borderId="78" xfId="0" applyNumberFormat="1" applyFill="1" applyBorder="1" applyAlignment="1" applyProtection="1">
      <alignment horizontal="center" vertical="center"/>
      <protection locked="0"/>
    </xf>
    <xf numFmtId="177" fontId="0" fillId="2" borderId="79" xfId="0" applyNumberFormat="1" applyFill="1" applyBorder="1" applyAlignment="1" applyProtection="1">
      <alignment horizontal="center" vertical="center"/>
      <protection locked="0"/>
    </xf>
    <xf numFmtId="177" fontId="0" fillId="4" borderId="78" xfId="1" applyNumberFormat="1" applyFont="1" applyFill="1" applyBorder="1" applyAlignment="1" applyProtection="1">
      <alignment horizontal="center" vertical="center"/>
      <protection locked="0"/>
    </xf>
    <xf numFmtId="177" fontId="0" fillId="4" borderId="79" xfId="1" applyNumberFormat="1" applyFont="1" applyFill="1" applyBorder="1" applyAlignment="1" applyProtection="1">
      <alignment horizontal="center" vertical="center"/>
      <protection locked="0"/>
    </xf>
    <xf numFmtId="0" fontId="27" fillId="0" borderId="80" xfId="0" applyFont="1" applyBorder="1" applyAlignment="1" applyProtection="1">
      <alignment horizontal="center" vertical="center"/>
      <protection hidden="1"/>
    </xf>
    <xf numFmtId="0" fontId="27" fillId="0" borderId="81" xfId="0" applyFont="1" applyBorder="1" applyAlignment="1" applyProtection="1">
      <alignment horizontal="center" vertical="center"/>
      <protection hidden="1"/>
    </xf>
    <xf numFmtId="0" fontId="27" fillId="0" borderId="77" xfId="0" applyFont="1" applyBorder="1" applyAlignment="1" applyProtection="1">
      <alignment horizontal="center" vertical="center"/>
      <protection hidden="1"/>
    </xf>
    <xf numFmtId="0" fontId="30" fillId="24" borderId="237" xfId="0" applyFont="1" applyFill="1" applyBorder="1" applyAlignment="1" applyProtection="1">
      <alignment horizontal="center" vertical="center"/>
      <protection hidden="1"/>
    </xf>
    <xf numFmtId="0" fontId="30" fillId="24" borderId="238" xfId="0" applyFont="1" applyFill="1" applyBorder="1" applyAlignment="1" applyProtection="1">
      <alignment horizontal="center" vertical="center"/>
      <protection hidden="1"/>
    </xf>
    <xf numFmtId="0" fontId="34" fillId="0" borderId="77" xfId="0" applyFont="1" applyBorder="1" applyAlignment="1" applyProtection="1">
      <alignment horizontal="center" vertical="center" shrinkToFit="1"/>
      <protection hidden="1"/>
    </xf>
    <xf numFmtId="0" fontId="25" fillId="10" borderId="22" xfId="0" applyFont="1" applyFill="1" applyBorder="1" applyAlignment="1" applyProtection="1">
      <alignment horizontal="center" vertical="center"/>
      <protection hidden="1"/>
    </xf>
    <xf numFmtId="0" fontId="25" fillId="10" borderId="23" xfId="0" applyFont="1" applyFill="1" applyBorder="1" applyAlignment="1" applyProtection="1">
      <alignment horizontal="center" vertical="center"/>
      <protection hidden="1"/>
    </xf>
    <xf numFmtId="0" fontId="25" fillId="10" borderId="24" xfId="0" applyFont="1" applyFill="1" applyBorder="1" applyAlignment="1" applyProtection="1">
      <alignment horizontal="center" vertical="center"/>
      <protection hidden="1"/>
    </xf>
    <xf numFmtId="0" fontId="30" fillId="6" borderId="22" xfId="0" applyFont="1" applyFill="1" applyBorder="1" applyAlignment="1" applyProtection="1">
      <alignment horizontal="center" vertical="center"/>
      <protection hidden="1"/>
    </xf>
    <xf numFmtId="0" fontId="30" fillId="6" borderId="24" xfId="0" applyFont="1" applyFill="1" applyBorder="1" applyAlignment="1" applyProtection="1">
      <alignment horizontal="center" vertical="center"/>
      <protection hidden="1"/>
    </xf>
    <xf numFmtId="0" fontId="30" fillId="3" borderId="22" xfId="0" applyFont="1" applyFill="1" applyBorder="1" applyAlignment="1" applyProtection="1">
      <alignment horizontal="center" vertical="center"/>
      <protection hidden="1"/>
    </xf>
    <xf numFmtId="0" fontId="30" fillId="3" borderId="24" xfId="0" applyFont="1" applyFill="1" applyBorder="1" applyAlignment="1" applyProtection="1">
      <alignment horizontal="center" vertical="center"/>
      <protection hidden="1"/>
    </xf>
    <xf numFmtId="0" fontId="0" fillId="23" borderId="22" xfId="0" applyFill="1" applyBorder="1" applyAlignment="1" applyProtection="1">
      <alignment horizontal="center" vertical="center"/>
      <protection hidden="1"/>
    </xf>
    <xf numFmtId="0" fontId="0" fillId="23" borderId="50" xfId="0" applyFill="1" applyBorder="1" applyAlignment="1" applyProtection="1">
      <alignment horizontal="center" vertical="center"/>
      <protection hidden="1"/>
    </xf>
    <xf numFmtId="49" fontId="28" fillId="23" borderId="56" xfId="0" applyNumberFormat="1" applyFont="1" applyFill="1" applyBorder="1" applyProtection="1">
      <alignment vertical="center"/>
      <protection hidden="1"/>
    </xf>
    <xf numFmtId="0" fontId="28" fillId="23" borderId="56" xfId="0" applyFont="1" applyFill="1" applyBorder="1" applyProtection="1">
      <alignment vertical="center"/>
      <protection hidden="1"/>
    </xf>
    <xf numFmtId="0" fontId="28" fillId="23" borderId="25" xfId="0" applyFont="1" applyFill="1" applyBorder="1" applyProtection="1">
      <alignment vertical="center"/>
      <protection hidden="1"/>
    </xf>
    <xf numFmtId="0" fontId="0" fillId="23" borderId="54" xfId="0" applyFill="1" applyBorder="1" applyAlignment="1" applyProtection="1">
      <alignment horizontal="center" vertical="center"/>
      <protection hidden="1"/>
    </xf>
    <xf numFmtId="0" fontId="0" fillId="23" borderId="56" xfId="0" applyFill="1" applyBorder="1" applyAlignment="1" applyProtection="1">
      <alignment horizontal="center" vertical="center"/>
      <protection hidden="1"/>
    </xf>
    <xf numFmtId="0" fontId="0" fillId="23" borderId="25" xfId="0" applyFill="1" applyBorder="1" applyAlignment="1" applyProtection="1">
      <alignment horizontal="center" vertical="center"/>
      <protection hidden="1"/>
    </xf>
    <xf numFmtId="0" fontId="28" fillId="23" borderId="36" xfId="0" applyFont="1" applyFill="1" applyBorder="1" applyProtection="1">
      <alignment vertical="center"/>
      <protection hidden="1"/>
    </xf>
    <xf numFmtId="0" fontId="28" fillId="23" borderId="32" xfId="0" applyFont="1" applyFill="1" applyBorder="1" applyProtection="1">
      <alignment vertical="center"/>
      <protection hidden="1"/>
    </xf>
    <xf numFmtId="0" fontId="28" fillId="23" borderId="58" xfId="0" applyFont="1" applyFill="1" applyBorder="1" applyProtection="1">
      <alignment vertical="center"/>
      <protection hidden="1"/>
    </xf>
    <xf numFmtId="0" fontId="28" fillId="23" borderId="47" xfId="0" applyFont="1" applyFill="1" applyBorder="1" applyProtection="1">
      <alignment vertical="center"/>
      <protection hidden="1"/>
    </xf>
    <xf numFmtId="0" fontId="8" fillId="23" borderId="80" xfId="0" applyFont="1" applyFill="1" applyBorder="1" applyAlignment="1" applyProtection="1">
      <alignment horizontal="center" vertical="center" shrinkToFit="1"/>
      <protection hidden="1"/>
    </xf>
    <xf numFmtId="0" fontId="8" fillId="23" borderId="55" xfId="0" applyFont="1" applyFill="1" applyBorder="1" applyAlignment="1" applyProtection="1">
      <alignment horizontal="center" vertical="center" shrinkToFit="1"/>
      <protection hidden="1"/>
    </xf>
    <xf numFmtId="184" fontId="30" fillId="23" borderId="71" xfId="2" applyNumberFormat="1" applyFont="1" applyFill="1" applyBorder="1" applyAlignment="1" applyProtection="1">
      <alignment vertical="center"/>
      <protection hidden="1"/>
    </xf>
    <xf numFmtId="184" fontId="30" fillId="23" borderId="81" xfId="2" applyNumberFormat="1" applyFont="1" applyFill="1" applyBorder="1" applyAlignment="1" applyProtection="1">
      <alignment vertical="center"/>
      <protection hidden="1"/>
    </xf>
    <xf numFmtId="0" fontId="13" fillId="23" borderId="85" xfId="0" applyFont="1" applyFill="1" applyBorder="1" applyAlignment="1" applyProtection="1">
      <alignment horizontal="center" vertical="center"/>
      <protection hidden="1"/>
    </xf>
    <xf numFmtId="0" fontId="13" fillId="23" borderId="35" xfId="0" applyFont="1" applyFill="1" applyBorder="1" applyAlignment="1" applyProtection="1">
      <alignment horizontal="center" vertical="center"/>
      <protection hidden="1"/>
    </xf>
    <xf numFmtId="41" fontId="30" fillId="23" borderId="41" xfId="1" applyFont="1" applyFill="1" applyBorder="1" applyAlignment="1" applyProtection="1">
      <alignment vertical="center"/>
      <protection hidden="1"/>
    </xf>
    <xf numFmtId="41" fontId="30" fillId="23" borderId="199" xfId="1" applyFont="1" applyFill="1" applyBorder="1" applyAlignment="1" applyProtection="1">
      <alignment vertical="center"/>
      <protection hidden="1"/>
    </xf>
    <xf numFmtId="0" fontId="13" fillId="23" borderId="84" xfId="0" applyFont="1" applyFill="1" applyBorder="1" applyAlignment="1" applyProtection="1">
      <alignment horizontal="center" vertical="center"/>
      <protection hidden="1"/>
    </xf>
    <xf numFmtId="0" fontId="13" fillId="23" borderId="60" xfId="0" applyFont="1" applyFill="1" applyBorder="1" applyAlignment="1" applyProtection="1">
      <alignment horizontal="center" vertical="center"/>
      <protection hidden="1"/>
    </xf>
    <xf numFmtId="41" fontId="30" fillId="23" borderId="78" xfId="1" applyFont="1" applyFill="1" applyBorder="1" applyAlignment="1" applyProtection="1">
      <alignment vertical="center"/>
      <protection hidden="1"/>
    </xf>
    <xf numFmtId="41" fontId="30" fillId="23" borderId="203" xfId="1" applyFont="1" applyFill="1" applyBorder="1" applyAlignment="1" applyProtection="1">
      <alignment vertical="center"/>
      <protection hidden="1"/>
    </xf>
    <xf numFmtId="0" fontId="29" fillId="23" borderId="67" xfId="0" applyFont="1" applyFill="1" applyBorder="1" applyAlignment="1" applyProtection="1">
      <alignment horizontal="center" vertical="center"/>
      <protection hidden="1"/>
    </xf>
    <xf numFmtId="0" fontId="29" fillId="23" borderId="68" xfId="0" applyFont="1" applyFill="1" applyBorder="1" applyAlignment="1" applyProtection="1">
      <alignment horizontal="center" vertical="center"/>
      <protection hidden="1"/>
    </xf>
    <xf numFmtId="0" fontId="29" fillId="23" borderId="87" xfId="0" applyFont="1" applyFill="1" applyBorder="1" applyAlignment="1" applyProtection="1">
      <alignment horizontal="center" vertical="center"/>
      <protection hidden="1"/>
    </xf>
    <xf numFmtId="0" fontId="29" fillId="23" borderId="88" xfId="0" applyFont="1" applyFill="1" applyBorder="1" applyAlignment="1" applyProtection="1">
      <alignment horizontal="center" vertical="center"/>
      <protection hidden="1"/>
    </xf>
    <xf numFmtId="0" fontId="34" fillId="0" borderId="80" xfId="0" applyFont="1" applyBorder="1" applyAlignment="1" applyProtection="1">
      <alignment horizontal="center" vertical="center" shrinkToFit="1"/>
      <protection hidden="1"/>
    </xf>
    <xf numFmtId="0" fontId="26" fillId="11" borderId="67" xfId="0" applyFont="1" applyFill="1" applyBorder="1" applyAlignment="1" applyProtection="1">
      <alignment horizontal="center" vertical="center"/>
      <protection hidden="1"/>
    </xf>
    <xf numFmtId="0" fontId="26" fillId="11" borderId="68" xfId="0" applyFont="1" applyFill="1" applyBorder="1" applyAlignment="1" applyProtection="1">
      <alignment horizontal="center" vertical="center"/>
      <protection hidden="1"/>
    </xf>
    <xf numFmtId="0" fontId="26" fillId="11" borderId="62" xfId="0" applyFont="1" applyFill="1" applyBorder="1" applyAlignment="1" applyProtection="1">
      <alignment horizontal="center" vertical="center"/>
      <protection hidden="1"/>
    </xf>
    <xf numFmtId="0" fontId="26" fillId="11" borderId="83" xfId="0" applyFont="1" applyFill="1" applyBorder="1" applyAlignment="1" applyProtection="1">
      <alignment horizontal="center" vertical="center"/>
      <protection hidden="1"/>
    </xf>
    <xf numFmtId="0" fontId="26" fillId="11" borderId="0" xfId="0" applyFont="1" applyFill="1" applyAlignment="1" applyProtection="1">
      <alignment horizontal="center" vertical="center"/>
      <protection hidden="1"/>
    </xf>
    <xf numFmtId="0" fontId="26" fillId="11" borderId="90" xfId="0" applyFont="1" applyFill="1" applyBorder="1" applyAlignment="1" applyProtection="1">
      <alignment horizontal="center" vertical="center"/>
      <protection hidden="1"/>
    </xf>
    <xf numFmtId="0" fontId="31" fillId="6" borderId="71" xfId="0" applyFont="1" applyFill="1" applyBorder="1" applyAlignment="1" applyProtection="1">
      <alignment horizontal="center" vertical="center"/>
      <protection hidden="1"/>
    </xf>
    <xf numFmtId="0" fontId="31" fillId="6" borderId="81" xfId="0" applyFont="1" applyFill="1" applyBorder="1" applyAlignment="1" applyProtection="1">
      <alignment horizontal="center" vertical="center"/>
      <protection hidden="1"/>
    </xf>
    <xf numFmtId="0" fontId="31" fillId="6" borderId="77" xfId="0" applyFont="1" applyFill="1" applyBorder="1" applyAlignment="1" applyProtection="1">
      <alignment horizontal="center" vertical="center"/>
      <protection hidden="1"/>
    </xf>
    <xf numFmtId="0" fontId="24" fillId="11" borderId="41" xfId="0" applyFont="1" applyFill="1" applyBorder="1" applyAlignment="1" applyProtection="1">
      <alignment horizontal="center" vertical="center"/>
      <protection hidden="1"/>
    </xf>
    <xf numFmtId="0" fontId="24" fillId="11" borderId="199" xfId="0" applyFont="1" applyFill="1" applyBorder="1" applyAlignment="1" applyProtection="1">
      <alignment horizontal="center" vertical="center"/>
      <protection hidden="1"/>
    </xf>
    <xf numFmtId="0" fontId="24" fillId="11" borderId="82" xfId="0" applyFont="1" applyFill="1" applyBorder="1" applyAlignment="1" applyProtection="1">
      <alignment horizontal="center" vertical="center"/>
      <protection hidden="1"/>
    </xf>
    <xf numFmtId="0" fontId="24" fillId="6" borderId="41" xfId="0" applyFont="1" applyFill="1" applyBorder="1" applyAlignment="1" applyProtection="1">
      <alignment horizontal="center" vertical="center"/>
      <protection hidden="1"/>
    </xf>
    <xf numFmtId="0" fontId="24" fillId="6" borderId="199" xfId="0" applyFont="1" applyFill="1" applyBorder="1" applyAlignment="1" applyProtection="1">
      <alignment horizontal="center" vertical="center"/>
      <protection hidden="1"/>
    </xf>
    <xf numFmtId="0" fontId="24" fillId="6" borderId="82" xfId="0" applyFont="1" applyFill="1" applyBorder="1" applyAlignment="1" applyProtection="1">
      <alignment horizontal="center" vertical="center"/>
      <protection hidden="1"/>
    </xf>
    <xf numFmtId="0" fontId="24" fillId="6" borderId="36" xfId="0" applyFont="1" applyFill="1" applyBorder="1" applyAlignment="1" applyProtection="1">
      <alignment horizontal="center" vertical="center" wrapText="1"/>
      <protection hidden="1"/>
    </xf>
    <xf numFmtId="0" fontId="24" fillId="6" borderId="36" xfId="0" applyFont="1" applyFill="1" applyBorder="1" applyAlignment="1" applyProtection="1">
      <alignment horizontal="center" vertical="center"/>
      <protection hidden="1"/>
    </xf>
    <xf numFmtId="184" fontId="30" fillId="23" borderId="52" xfId="2" applyNumberFormat="1" applyFont="1" applyFill="1" applyBorder="1" applyAlignment="1" applyProtection="1">
      <alignment horizontal="left" vertical="center"/>
      <protection hidden="1"/>
    </xf>
    <xf numFmtId="184" fontId="30" fillId="23" borderId="23" xfId="2" applyNumberFormat="1" applyFont="1" applyFill="1" applyBorder="1" applyAlignment="1" applyProtection="1">
      <alignment horizontal="left" vertical="center"/>
      <protection hidden="1"/>
    </xf>
    <xf numFmtId="184" fontId="30" fillId="23" borderId="24" xfId="2" applyNumberFormat="1" applyFont="1" applyFill="1" applyBorder="1" applyAlignment="1" applyProtection="1">
      <alignment horizontal="left" vertical="center"/>
      <protection hidden="1"/>
    </xf>
    <xf numFmtId="0" fontId="29" fillId="0" borderId="48" xfId="0" applyFont="1" applyBorder="1" applyAlignment="1">
      <alignment horizontal="center" vertical="center"/>
    </xf>
    <xf numFmtId="0" fontId="29" fillId="0" borderId="51" xfId="0" applyFont="1" applyBorder="1" applyAlignment="1">
      <alignment horizontal="center" vertical="center"/>
    </xf>
    <xf numFmtId="0" fontId="29" fillId="0" borderId="74" xfId="0" applyFont="1" applyBorder="1" applyAlignment="1">
      <alignment horizontal="center" vertical="center"/>
    </xf>
    <xf numFmtId="0" fontId="38" fillId="0" borderId="80" xfId="0" applyFont="1" applyBorder="1" applyAlignment="1">
      <alignment horizontal="center" vertical="center"/>
    </xf>
    <xf numFmtId="0" fontId="38" fillId="0" borderId="81" xfId="0" applyFont="1" applyBorder="1" applyAlignment="1">
      <alignment horizontal="center" vertical="center"/>
    </xf>
    <xf numFmtId="0" fontId="38" fillId="0" borderId="77" xfId="0" applyFont="1" applyBorder="1" applyAlignment="1">
      <alignment horizontal="center" vertical="center"/>
    </xf>
    <xf numFmtId="0" fontId="38" fillId="0" borderId="54" xfId="0" applyFont="1" applyBorder="1" applyAlignment="1">
      <alignment horizontal="center" vertical="center"/>
    </xf>
    <xf numFmtId="0" fontId="38" fillId="0" borderId="56" xfId="0" applyFont="1" applyBorder="1" applyAlignment="1">
      <alignment horizontal="center" vertical="center"/>
    </xf>
    <xf numFmtId="0" fontId="38" fillId="0" borderId="25"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4" xfId="0" applyFont="1" applyBorder="1" applyAlignment="1">
      <alignment horizontal="center" vertical="center" wrapText="1"/>
    </xf>
    <xf numFmtId="0" fontId="81" fillId="11" borderId="123" xfId="0" applyFont="1" applyFill="1" applyBorder="1" applyAlignment="1">
      <alignment horizontal="center" vertical="center"/>
    </xf>
    <xf numFmtId="0" fontId="81" fillId="0" borderId="198" xfId="0" applyFont="1" applyBorder="1" applyAlignment="1">
      <alignment horizontal="center" vertical="center" wrapText="1"/>
    </xf>
    <xf numFmtId="49" fontId="81" fillId="6" borderId="123" xfId="0" applyNumberFormat="1" applyFont="1" applyFill="1" applyBorder="1" applyAlignment="1">
      <alignment horizontal="center" vertical="center"/>
    </xf>
    <xf numFmtId="49" fontId="81" fillId="5" borderId="123" xfId="0" applyNumberFormat="1" applyFont="1" applyFill="1" applyBorder="1" applyAlignment="1">
      <alignment horizontal="center" vertical="center"/>
    </xf>
    <xf numFmtId="0" fontId="52" fillId="11" borderId="0" xfId="0" applyFont="1" applyFill="1" applyAlignment="1">
      <alignment horizontal="center" vertical="center"/>
    </xf>
    <xf numFmtId="0" fontId="51" fillId="11" borderId="0" xfId="0" applyFont="1" applyFill="1" applyAlignment="1">
      <alignment horizontal="center" vertical="center"/>
    </xf>
    <xf numFmtId="0" fontId="95" fillId="11" borderId="0" xfId="0" applyFont="1" applyFill="1" applyAlignment="1">
      <alignment horizontal="center"/>
    </xf>
    <xf numFmtId="0" fontId="47" fillId="11" borderId="112" xfId="0" applyFont="1" applyFill="1" applyBorder="1" applyAlignment="1">
      <alignment horizontal="center" vertical="center"/>
    </xf>
    <xf numFmtId="0" fontId="47" fillId="11" borderId="113" xfId="0" applyFont="1" applyFill="1" applyBorder="1" applyAlignment="1">
      <alignment horizontal="center" vertical="center"/>
    </xf>
    <xf numFmtId="0" fontId="49" fillId="11" borderId="0" xfId="0" applyFont="1" applyFill="1" applyAlignment="1">
      <alignment horizontal="center" vertical="center"/>
    </xf>
    <xf numFmtId="10" fontId="50" fillId="11" borderId="114" xfId="2" applyNumberFormat="1" applyFont="1" applyFill="1" applyBorder="1" applyAlignment="1">
      <alignment horizontal="center" vertical="center"/>
    </xf>
    <xf numFmtId="10" fontId="50" fillId="11" borderId="115" xfId="2" applyNumberFormat="1" applyFont="1" applyFill="1" applyBorder="1" applyAlignment="1">
      <alignment horizontal="center" vertical="center"/>
    </xf>
    <xf numFmtId="14" fontId="51" fillId="11" borderId="0" xfId="0" applyNumberFormat="1" applyFont="1" applyFill="1" applyAlignment="1">
      <alignment horizontal="center" vertical="center"/>
    </xf>
    <xf numFmtId="14" fontId="50" fillId="11" borderId="114" xfId="2" applyNumberFormat="1" applyFont="1" applyFill="1" applyBorder="1" applyAlignment="1" applyProtection="1">
      <alignment horizontal="center" vertical="center"/>
      <protection locked="0"/>
    </xf>
    <xf numFmtId="14" fontId="50" fillId="11" borderId="115" xfId="2" applyNumberFormat="1" applyFont="1" applyFill="1" applyBorder="1" applyAlignment="1" applyProtection="1">
      <alignment horizontal="center" vertical="center"/>
      <protection locked="0"/>
    </xf>
    <xf numFmtId="0" fontId="46" fillId="11" borderId="36" xfId="5" applyFont="1" applyFill="1" applyBorder="1" applyAlignment="1">
      <alignment horizontal="center" vertical="center"/>
    </xf>
    <xf numFmtId="0" fontId="52" fillId="11" borderId="0" xfId="5" applyFont="1" applyFill="1" applyAlignment="1">
      <alignment horizontal="center" vertical="center"/>
    </xf>
    <xf numFmtId="0" fontId="47" fillId="11" borderId="0" xfId="5" applyFont="1" applyFill="1" applyAlignment="1">
      <alignment horizontal="left" vertical="center"/>
    </xf>
    <xf numFmtId="0" fontId="46" fillId="11" borderId="0" xfId="5" applyFont="1" applyFill="1" applyAlignment="1">
      <alignment horizontal="center" vertical="center"/>
    </xf>
    <xf numFmtId="0" fontId="46" fillId="11" borderId="0" xfId="5" applyFont="1" applyFill="1" applyAlignment="1">
      <alignment horizontal="left" vertical="center"/>
    </xf>
    <xf numFmtId="0" fontId="46" fillId="11" borderId="0" xfId="5" applyFont="1" applyFill="1" applyAlignment="1">
      <alignment horizontal="right" vertical="center"/>
    </xf>
    <xf numFmtId="0" fontId="47" fillId="11" borderId="0" xfId="5" applyFont="1" applyFill="1" applyAlignment="1">
      <alignment horizontal="right" vertical="center"/>
    </xf>
    <xf numFmtId="0" fontId="46" fillId="11" borderId="36" xfId="5" applyFont="1" applyFill="1" applyBorder="1" applyAlignment="1">
      <alignment horizontal="center" vertical="center" wrapText="1"/>
    </xf>
    <xf numFmtId="0" fontId="47" fillId="11" borderId="68" xfId="4" applyFont="1" applyFill="1" applyBorder="1" applyAlignment="1" applyProtection="1">
      <alignment horizontal="right" vertical="center"/>
      <protection hidden="1"/>
    </xf>
    <xf numFmtId="0" fontId="53" fillId="11" borderId="0" xfId="0" applyFont="1" applyFill="1" applyAlignment="1" applyProtection="1">
      <alignment horizontal="center" vertical="center"/>
      <protection hidden="1"/>
    </xf>
    <xf numFmtId="0" fontId="46" fillId="11" borderId="80" xfId="4" applyFont="1" applyFill="1" applyBorder="1" applyAlignment="1" applyProtection="1">
      <alignment horizontal="center" vertical="center"/>
      <protection hidden="1"/>
    </xf>
    <xf numFmtId="0" fontId="46" fillId="11" borderId="55" xfId="4" applyFont="1" applyFill="1" applyBorder="1" applyAlignment="1" applyProtection="1">
      <alignment horizontal="center" vertical="center"/>
      <protection hidden="1"/>
    </xf>
    <xf numFmtId="0" fontId="46" fillId="11" borderId="71" xfId="4" applyFont="1" applyFill="1" applyBorder="1" applyAlignment="1" applyProtection="1">
      <alignment horizontal="center" vertical="center"/>
      <protection hidden="1"/>
    </xf>
    <xf numFmtId="0" fontId="47" fillId="11" borderId="57" xfId="4" applyFont="1" applyFill="1" applyBorder="1" applyAlignment="1" applyProtection="1">
      <alignment horizontal="center" vertical="center"/>
      <protection hidden="1"/>
    </xf>
    <xf numFmtId="0" fontId="47" fillId="11" borderId="58" xfId="4" applyFont="1" applyFill="1" applyBorder="1" applyAlignment="1" applyProtection="1">
      <alignment horizontal="center" vertical="center"/>
      <protection hidden="1"/>
    </xf>
    <xf numFmtId="0" fontId="12" fillId="11" borderId="201" xfId="0" applyFont="1" applyFill="1" applyBorder="1" applyAlignment="1" applyProtection="1">
      <alignment horizontal="right" vertical="center"/>
      <protection hidden="1"/>
    </xf>
    <xf numFmtId="49" fontId="47" fillId="11" borderId="41" xfId="0" applyNumberFormat="1" applyFont="1" applyFill="1" applyBorder="1" applyAlignment="1" applyProtection="1">
      <alignment horizontal="center" vertical="center"/>
      <protection hidden="1"/>
    </xf>
    <xf numFmtId="49" fontId="47" fillId="11" borderId="199" xfId="0" applyNumberFormat="1" applyFont="1" applyFill="1" applyBorder="1" applyAlignment="1" applyProtection="1">
      <alignment horizontal="center" vertical="center"/>
      <protection hidden="1"/>
    </xf>
    <xf numFmtId="49" fontId="47" fillId="11" borderId="35" xfId="0" applyNumberFormat="1" applyFont="1" applyFill="1" applyBorder="1" applyAlignment="1" applyProtection="1">
      <alignment horizontal="center" vertical="center"/>
      <protection hidden="1"/>
    </xf>
    <xf numFmtId="0" fontId="69" fillId="11" borderId="43" xfId="0" applyFont="1" applyFill="1" applyBorder="1" applyAlignment="1" applyProtection="1">
      <alignment horizontal="center" vertical="top" wrapText="1"/>
      <protection hidden="1"/>
    </xf>
    <xf numFmtId="0" fontId="69" fillId="11" borderId="91" xfId="0" applyFont="1" applyFill="1" applyBorder="1" applyAlignment="1" applyProtection="1">
      <alignment horizontal="center" vertical="top" wrapText="1"/>
      <protection hidden="1"/>
    </xf>
    <xf numFmtId="0" fontId="69" fillId="11" borderId="29" xfId="0" applyFont="1" applyFill="1" applyBorder="1" applyAlignment="1" applyProtection="1">
      <alignment horizontal="center" vertical="top" wrapText="1"/>
      <protection hidden="1"/>
    </xf>
    <xf numFmtId="0" fontId="8" fillId="11" borderId="41" xfId="0" applyFont="1" applyFill="1" applyBorder="1" applyAlignment="1" applyProtection="1">
      <alignment horizontal="center" vertical="center" wrapText="1"/>
      <protection hidden="1"/>
    </xf>
    <xf numFmtId="0" fontId="8" fillId="11" borderId="35" xfId="0" applyFont="1" applyFill="1" applyBorder="1" applyAlignment="1" applyProtection="1">
      <alignment horizontal="center" vertical="center" wrapText="1"/>
      <protection hidden="1"/>
    </xf>
    <xf numFmtId="0" fontId="8" fillId="11" borderId="41" xfId="0" applyFont="1" applyFill="1" applyBorder="1" applyAlignment="1" applyProtection="1">
      <alignment horizontal="center" vertical="center" shrinkToFit="1"/>
      <protection hidden="1"/>
    </xf>
    <xf numFmtId="0" fontId="8" fillId="11" borderId="199" xfId="0" applyFont="1" applyFill="1" applyBorder="1" applyAlignment="1" applyProtection="1">
      <alignment horizontal="center" vertical="center" shrinkToFit="1"/>
      <protection hidden="1"/>
    </xf>
    <xf numFmtId="0" fontId="11" fillId="11" borderId="0" xfId="0" applyFont="1" applyFill="1" applyAlignment="1" applyProtection="1">
      <alignment horizontal="right" vertical="center"/>
      <protection hidden="1"/>
    </xf>
    <xf numFmtId="0" fontId="11" fillId="11" borderId="198" xfId="0" applyFont="1" applyFill="1" applyBorder="1" applyAlignment="1" applyProtection="1">
      <alignment horizontal="right" vertical="center" shrinkToFit="1"/>
      <protection hidden="1"/>
    </xf>
    <xf numFmtId="0" fontId="12" fillId="11" borderId="201" xfId="0" applyFont="1" applyFill="1" applyBorder="1" applyAlignment="1" applyProtection="1">
      <alignment horizontal="right" vertical="center" shrinkToFit="1"/>
      <protection hidden="1"/>
    </xf>
    <xf numFmtId="49" fontId="14" fillId="11" borderId="41" xfId="0" applyNumberFormat="1" applyFont="1" applyFill="1" applyBorder="1" applyAlignment="1" applyProtection="1">
      <alignment horizontal="center" vertical="center"/>
      <protection hidden="1"/>
    </xf>
    <xf numFmtId="49" fontId="14" fillId="11" borderId="199" xfId="0" applyNumberFormat="1" applyFont="1" applyFill="1" applyBorder="1" applyAlignment="1" applyProtection="1">
      <alignment horizontal="center" vertical="center"/>
      <protection hidden="1"/>
    </xf>
    <xf numFmtId="49" fontId="14" fillId="11" borderId="35" xfId="0" applyNumberFormat="1" applyFont="1" applyFill="1" applyBorder="1" applyAlignment="1" applyProtection="1">
      <alignment horizontal="center" vertical="center"/>
      <protection hidden="1"/>
    </xf>
    <xf numFmtId="0" fontId="8" fillId="11" borderId="35" xfId="0" applyFont="1" applyFill="1" applyBorder="1" applyAlignment="1" applyProtection="1">
      <alignment horizontal="center" vertical="center" shrinkToFit="1"/>
      <protection hidden="1"/>
    </xf>
    <xf numFmtId="0" fontId="69" fillId="11" borderId="41" xfId="0" applyFont="1" applyFill="1" applyBorder="1" applyAlignment="1" applyProtection="1">
      <alignment horizontal="left" vertical="center" shrinkToFit="1"/>
      <protection hidden="1"/>
    </xf>
    <xf numFmtId="0" fontId="69" fillId="11" borderId="199" xfId="0" applyFont="1" applyFill="1" applyBorder="1" applyAlignment="1" applyProtection="1">
      <alignment horizontal="left" vertical="center" shrinkToFit="1"/>
      <protection hidden="1"/>
    </xf>
    <xf numFmtId="0" fontId="0" fillId="0" borderId="22"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6" fillId="0" borderId="0" xfId="0" applyFont="1" applyAlignment="1" applyProtection="1">
      <alignment horizontal="right" vertical="center"/>
      <protection hidden="1"/>
    </xf>
    <xf numFmtId="49" fontId="78" fillId="15" borderId="22" xfId="0" applyNumberFormat="1" applyFont="1" applyFill="1" applyBorder="1" applyAlignment="1" applyProtection="1">
      <alignment horizontal="center" vertical="center" wrapText="1"/>
      <protection hidden="1"/>
    </xf>
    <xf numFmtId="49" fontId="78" fillId="15" borderId="23" xfId="0" applyNumberFormat="1" applyFont="1" applyFill="1" applyBorder="1" applyAlignment="1" applyProtection="1">
      <alignment horizontal="center" vertical="center" wrapText="1"/>
      <protection hidden="1"/>
    </xf>
    <xf numFmtId="49" fontId="78" fillId="15" borderId="50" xfId="0" applyNumberFormat="1" applyFont="1" applyFill="1" applyBorder="1" applyAlignment="1" applyProtection="1">
      <alignment horizontal="center" vertical="center" wrapText="1"/>
      <protection hidden="1"/>
    </xf>
    <xf numFmtId="0" fontId="30" fillId="0" borderId="22" xfId="0" applyFont="1" applyBorder="1" applyAlignment="1" applyProtection="1">
      <alignment horizontal="center" vertical="center"/>
      <protection hidden="1"/>
    </xf>
    <xf numFmtId="0" fontId="30" fillId="0" borderId="24" xfId="0" applyFont="1" applyBorder="1" applyAlignment="1" applyProtection="1">
      <alignment horizontal="center" vertical="center"/>
      <protection hidden="1"/>
    </xf>
    <xf numFmtId="0" fontId="74" fillId="0" borderId="3" xfId="0" applyFont="1" applyBorder="1" applyAlignment="1" applyProtection="1">
      <alignment horizontal="center" vertical="center" wrapText="1"/>
      <protection hidden="1"/>
    </xf>
    <xf numFmtId="0" fontId="74" fillId="0" borderId="94" xfId="0" applyFont="1" applyBorder="1" applyAlignment="1" applyProtection="1">
      <alignment horizontal="center" vertical="center" wrapText="1"/>
      <protection hidden="1"/>
    </xf>
    <xf numFmtId="0" fontId="74" fillId="0" borderId="93" xfId="0" applyFont="1" applyBorder="1" applyAlignment="1" applyProtection="1">
      <alignment horizontal="center" vertical="center" wrapText="1"/>
      <protection hidden="1"/>
    </xf>
    <xf numFmtId="0" fontId="13" fillId="0" borderId="85" xfId="0" applyFont="1" applyBorder="1" applyAlignment="1" applyProtection="1">
      <alignment horizontal="center" vertical="center"/>
      <protection hidden="1"/>
    </xf>
    <xf numFmtId="0" fontId="13" fillId="0" borderId="35" xfId="0" applyFont="1" applyBorder="1" applyAlignment="1" applyProtection="1">
      <alignment horizontal="center" vertical="center"/>
      <protection hidden="1"/>
    </xf>
    <xf numFmtId="41" fontId="30" fillId="0" borderId="41" xfId="1" applyFont="1" applyBorder="1" applyAlignment="1" applyProtection="1">
      <alignment vertical="center"/>
      <protection hidden="1"/>
    </xf>
    <xf numFmtId="41" fontId="30" fillId="0" borderId="82" xfId="1" applyFont="1" applyBorder="1" applyAlignment="1" applyProtection="1">
      <alignment vertical="center"/>
      <protection hidden="1"/>
    </xf>
    <xf numFmtId="0" fontId="74" fillId="0" borderId="36" xfId="0" applyFont="1" applyBorder="1" applyAlignment="1" applyProtection="1">
      <alignment horizontal="center" vertical="center" wrapText="1"/>
      <protection hidden="1"/>
    </xf>
    <xf numFmtId="49" fontId="74" fillId="0" borderId="3" xfId="0" applyNumberFormat="1" applyFont="1" applyBorder="1" applyAlignment="1" applyProtection="1">
      <alignment horizontal="center" vertical="center" wrapText="1"/>
      <protection hidden="1"/>
    </xf>
    <xf numFmtId="49" fontId="74" fillId="0" borderId="94" xfId="0" applyNumberFormat="1" applyFont="1" applyBorder="1" applyAlignment="1" applyProtection="1">
      <alignment horizontal="center" vertical="center" wrapText="1"/>
      <protection hidden="1"/>
    </xf>
    <xf numFmtId="0" fontId="13" fillId="0" borderId="84" xfId="0" applyFont="1" applyBorder="1" applyAlignment="1" applyProtection="1">
      <alignment horizontal="center" vertical="center"/>
      <protection hidden="1"/>
    </xf>
    <xf numFmtId="0" fontId="13" fillId="0" borderId="60" xfId="0" applyFont="1" applyBorder="1" applyAlignment="1" applyProtection="1">
      <alignment horizontal="center" vertical="center"/>
      <protection hidden="1"/>
    </xf>
    <xf numFmtId="41" fontId="30" fillId="0" borderId="78" xfId="1" applyFont="1" applyBorder="1" applyAlignment="1" applyProtection="1">
      <alignment vertical="center"/>
      <protection hidden="1"/>
    </xf>
    <xf numFmtId="41" fontId="30" fillId="0" borderId="79" xfId="1" applyFont="1" applyBorder="1" applyAlignment="1" applyProtection="1">
      <alignment vertical="center"/>
      <protection hidden="1"/>
    </xf>
    <xf numFmtId="0" fontId="29" fillId="0" borderId="67" xfId="0" applyFont="1" applyBorder="1" applyAlignment="1" applyProtection="1">
      <alignment horizontal="center" vertical="center"/>
      <protection hidden="1"/>
    </xf>
    <xf numFmtId="0" fontId="29" fillId="0" borderId="68" xfId="0" applyFont="1" applyBorder="1" applyAlignment="1" applyProtection="1">
      <alignment horizontal="center" vertical="center"/>
      <protection hidden="1"/>
    </xf>
    <xf numFmtId="0" fontId="29" fillId="0" borderId="87" xfId="0" applyFont="1" applyBorder="1" applyAlignment="1" applyProtection="1">
      <alignment horizontal="center" vertical="center"/>
      <protection hidden="1"/>
    </xf>
    <xf numFmtId="0" fontId="29" fillId="0" borderId="88" xfId="0" applyFont="1"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74" fillId="0" borderId="0" xfId="0" applyFont="1" applyAlignment="1" applyProtection="1">
      <alignment horizontal="center" vertical="center" wrapText="1"/>
      <protection hidden="1"/>
    </xf>
    <xf numFmtId="0" fontId="74" fillId="0" borderId="99" xfId="0" applyFont="1" applyBorder="1" applyAlignment="1" applyProtection="1">
      <alignment horizontal="center" vertical="center" wrapText="1"/>
      <protection hidden="1"/>
    </xf>
    <xf numFmtId="49" fontId="28" fillId="0" borderId="56" xfId="0" applyNumberFormat="1" applyFont="1" applyBorder="1" applyProtection="1">
      <alignment vertical="center"/>
      <protection hidden="1"/>
    </xf>
    <xf numFmtId="0" fontId="28" fillId="0" borderId="56" xfId="0" applyFont="1" applyBorder="1" applyProtection="1">
      <alignment vertical="center"/>
      <protection hidden="1"/>
    </xf>
    <xf numFmtId="0" fontId="28" fillId="0" borderId="25" xfId="0" applyFont="1" applyBorder="1" applyProtection="1">
      <alignment vertical="center"/>
      <protection hidden="1"/>
    </xf>
    <xf numFmtId="0" fontId="28" fillId="0" borderId="36" xfId="0" applyFont="1" applyBorder="1" applyProtection="1">
      <alignment vertical="center"/>
      <protection hidden="1"/>
    </xf>
    <xf numFmtId="0" fontId="28" fillId="0" borderId="32" xfId="0" applyFont="1" applyBorder="1" applyProtection="1">
      <alignment vertical="center"/>
      <protection hidden="1"/>
    </xf>
    <xf numFmtId="0" fontId="28" fillId="0" borderId="58" xfId="0" applyFont="1" applyBorder="1" applyProtection="1">
      <alignment vertical="center"/>
      <protection hidden="1"/>
    </xf>
    <xf numFmtId="0" fontId="28" fillId="0" borderId="47" xfId="0" applyFont="1" applyBorder="1" applyProtection="1">
      <alignment vertical="center"/>
      <protection hidden="1"/>
    </xf>
    <xf numFmtId="0" fontId="8" fillId="0" borderId="80" xfId="0" applyFont="1" applyBorder="1" applyAlignment="1" applyProtection="1">
      <alignment horizontal="center" vertical="center" shrinkToFit="1"/>
      <protection hidden="1"/>
    </xf>
    <xf numFmtId="0" fontId="8" fillId="0" borderId="55" xfId="0" applyFont="1" applyBorder="1" applyAlignment="1" applyProtection="1">
      <alignment horizontal="center" vertical="center" shrinkToFit="1"/>
      <protection hidden="1"/>
    </xf>
    <xf numFmtId="184" fontId="30" fillId="0" borderId="71" xfId="2" applyNumberFormat="1" applyFont="1" applyBorder="1" applyAlignment="1" applyProtection="1">
      <alignment vertical="center"/>
      <protection hidden="1"/>
    </xf>
    <xf numFmtId="184" fontId="30" fillId="0" borderId="77" xfId="2" applyNumberFormat="1" applyFont="1" applyBorder="1" applyAlignment="1" applyProtection="1">
      <alignment vertical="center"/>
      <protection hidden="1"/>
    </xf>
    <xf numFmtId="0" fontId="27" fillId="0" borderId="54" xfId="0" applyFont="1" applyBorder="1" applyAlignment="1" applyProtection="1">
      <alignment horizontal="center" vertical="center"/>
      <protection hidden="1"/>
    </xf>
    <xf numFmtId="0" fontId="27" fillId="0" borderId="56" xfId="0" applyFont="1" applyBorder="1" applyAlignment="1" applyProtection="1">
      <alignment horizontal="center" vertical="center"/>
      <protection hidden="1"/>
    </xf>
    <xf numFmtId="0" fontId="27" fillId="0" borderId="25" xfId="0" applyFont="1" applyBorder="1" applyAlignment="1" applyProtection="1">
      <alignment horizontal="center" vertical="center"/>
      <protection hidden="1"/>
    </xf>
    <xf numFmtId="0" fontId="27" fillId="11" borderId="34" xfId="0" applyFont="1" applyFill="1" applyBorder="1" applyAlignment="1" applyProtection="1">
      <alignment horizontal="center" vertical="center"/>
      <protection hidden="1"/>
    </xf>
    <xf numFmtId="0" fontId="27" fillId="11" borderId="36" xfId="0" applyFont="1" applyFill="1" applyBorder="1" applyAlignment="1" applyProtection="1">
      <alignment horizontal="center" vertical="center"/>
      <protection hidden="1"/>
    </xf>
    <xf numFmtId="0" fontId="13" fillId="0" borderId="234" xfId="0" applyFont="1" applyBorder="1" applyAlignment="1" applyProtection="1">
      <alignment horizontal="center" vertical="center"/>
      <protection hidden="1"/>
    </xf>
    <xf numFmtId="0" fontId="13" fillId="0" borderId="42" xfId="0" applyFont="1" applyBorder="1" applyAlignment="1" applyProtection="1">
      <alignment horizontal="center" vertical="center"/>
      <protection hidden="1"/>
    </xf>
    <xf numFmtId="41" fontId="30" fillId="0" borderId="200" xfId="1" applyFont="1" applyBorder="1" applyAlignment="1" applyProtection="1">
      <alignment vertical="center"/>
      <protection hidden="1"/>
    </xf>
    <xf numFmtId="41" fontId="30" fillId="0" borderId="233" xfId="1" applyFont="1" applyBorder="1" applyAlignment="1" applyProtection="1">
      <alignment vertical="center"/>
      <protection hidden="1"/>
    </xf>
    <xf numFmtId="0" fontId="27" fillId="11" borderId="57" xfId="0" applyFont="1" applyFill="1" applyBorder="1" applyAlignment="1" applyProtection="1">
      <alignment horizontal="center" vertical="center"/>
      <protection hidden="1"/>
    </xf>
    <xf numFmtId="0" fontId="27" fillId="11" borderId="58" xfId="0" applyFont="1" applyFill="1" applyBorder="1" applyAlignment="1" applyProtection="1">
      <alignment horizontal="center" vertical="center"/>
      <protection hidden="1"/>
    </xf>
    <xf numFmtId="184" fontId="27" fillId="6" borderId="36" xfId="0" applyNumberFormat="1" applyFont="1" applyFill="1" applyBorder="1" applyAlignment="1">
      <alignment horizontal="center" vertical="center"/>
    </xf>
    <xf numFmtId="184" fontId="27" fillId="6" borderId="32" xfId="0" applyNumberFormat="1" applyFont="1" applyFill="1" applyBorder="1" applyAlignment="1">
      <alignment horizontal="center" vertical="center"/>
    </xf>
    <xf numFmtId="184" fontId="27" fillId="6" borderId="58" xfId="0" applyNumberFormat="1" applyFont="1" applyFill="1" applyBorder="1" applyAlignment="1">
      <alignment horizontal="center" vertical="center"/>
    </xf>
    <xf numFmtId="184" fontId="27" fillId="6" borderId="47" xfId="0" applyNumberFormat="1" applyFont="1" applyFill="1" applyBorder="1" applyAlignment="1">
      <alignment horizontal="center" vertical="center"/>
    </xf>
    <xf numFmtId="0" fontId="0" fillId="0" borderId="80" xfId="0" applyBorder="1" applyAlignment="1">
      <alignment horizontal="center" vertical="center"/>
    </xf>
    <xf numFmtId="0" fontId="0" fillId="0" borderId="77" xfId="0" applyBorder="1" applyAlignment="1">
      <alignment horizontal="center" vertical="center"/>
    </xf>
    <xf numFmtId="0" fontId="0" fillId="11" borderId="22" xfId="0" applyFill="1" applyBorder="1" applyAlignment="1">
      <alignment horizontal="center" vertical="center"/>
    </xf>
    <xf numFmtId="0" fontId="0" fillId="11" borderId="24" xfId="0" applyFill="1" applyBorder="1" applyAlignment="1">
      <alignment horizontal="center" vertical="center"/>
    </xf>
    <xf numFmtId="0" fontId="26" fillId="11" borderId="0" xfId="0" applyFont="1" applyFill="1" applyAlignment="1">
      <alignment horizontal="center" vertical="center" shrinkToFit="1"/>
    </xf>
    <xf numFmtId="0" fontId="26" fillId="11" borderId="67" xfId="0" applyFont="1" applyFill="1" applyBorder="1" applyAlignment="1">
      <alignment horizontal="center" vertical="center"/>
    </xf>
    <xf numFmtId="0" fontId="26" fillId="11" borderId="62" xfId="0" applyFont="1" applyFill="1" applyBorder="1" applyAlignment="1">
      <alignment horizontal="center" vertical="center"/>
    </xf>
    <xf numFmtId="0" fontId="35" fillId="8" borderId="67" xfId="0" applyFont="1" applyFill="1" applyBorder="1" applyAlignment="1">
      <alignment horizontal="left" vertical="center" wrapText="1"/>
    </xf>
    <xf numFmtId="0" fontId="35" fillId="8" borderId="68" xfId="0" applyFont="1" applyFill="1" applyBorder="1" applyAlignment="1">
      <alignment horizontal="left" vertical="center" wrapText="1"/>
    </xf>
    <xf numFmtId="0" fontId="35" fillId="8" borderId="62" xfId="0" applyFont="1" applyFill="1" applyBorder="1" applyAlignment="1">
      <alignment horizontal="left" vertical="center" wrapText="1"/>
    </xf>
    <xf numFmtId="0" fontId="35" fillId="8" borderId="83" xfId="0" applyFont="1" applyFill="1" applyBorder="1" applyAlignment="1">
      <alignment horizontal="left" vertical="center" wrapText="1"/>
    </xf>
    <xf numFmtId="0" fontId="35" fillId="8" borderId="0" xfId="0" applyFont="1" applyFill="1" applyAlignment="1">
      <alignment horizontal="left" vertical="center" wrapText="1"/>
    </xf>
    <xf numFmtId="0" fontId="35" fillId="8" borderId="90" xfId="0" applyFont="1" applyFill="1" applyBorder="1" applyAlignment="1">
      <alignment horizontal="left" vertical="center" wrapText="1"/>
    </xf>
    <xf numFmtId="0" fontId="35" fillId="8" borderId="87" xfId="0" applyFont="1" applyFill="1" applyBorder="1" applyAlignment="1">
      <alignment horizontal="left" vertical="center" wrapText="1"/>
    </xf>
    <xf numFmtId="0" fontId="35" fillId="8" borderId="88" xfId="0" applyFont="1" applyFill="1" applyBorder="1" applyAlignment="1">
      <alignment horizontal="left" vertical="center" wrapText="1"/>
    </xf>
    <xf numFmtId="0" fontId="35" fillId="8" borderId="64" xfId="0" applyFont="1" applyFill="1" applyBorder="1" applyAlignment="1">
      <alignment horizontal="left" vertical="center" wrapText="1"/>
    </xf>
    <xf numFmtId="0" fontId="25" fillId="11" borderId="87" xfId="0" quotePrefix="1" applyFont="1" applyFill="1" applyBorder="1" applyAlignment="1">
      <alignment horizontal="center" vertical="center"/>
    </xf>
    <xf numFmtId="0" fontId="0" fillId="11" borderId="64" xfId="0" applyFill="1" applyBorder="1" applyAlignment="1">
      <alignment horizontal="center" vertical="center"/>
    </xf>
    <xf numFmtId="0" fontId="29" fillId="11" borderId="0" xfId="0" applyFont="1" applyFill="1" applyAlignment="1">
      <alignment horizontal="center"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41" fillId="11" borderId="67" xfId="0" applyFont="1" applyFill="1" applyBorder="1" applyAlignment="1">
      <alignment horizontal="center" vertical="center"/>
    </xf>
    <xf numFmtId="0" fontId="41" fillId="11" borderId="62" xfId="0" applyFont="1" applyFill="1" applyBorder="1" applyAlignment="1">
      <alignment horizontal="center" vertical="center"/>
    </xf>
    <xf numFmtId="0" fontId="41" fillId="11" borderId="87" xfId="0" applyFont="1" applyFill="1" applyBorder="1" applyAlignment="1">
      <alignment horizontal="center" vertical="center"/>
    </xf>
    <xf numFmtId="0" fontId="41" fillId="11" borderId="64" xfId="0" applyFont="1" applyFill="1" applyBorder="1" applyAlignment="1">
      <alignment horizontal="center" vertical="center"/>
    </xf>
    <xf numFmtId="0" fontId="35" fillId="11" borderId="0" xfId="0" applyFont="1" applyFill="1" applyAlignment="1">
      <alignment horizontal="left" vertical="center"/>
    </xf>
    <xf numFmtId="0" fontId="26" fillId="11" borderId="0" xfId="0" applyFont="1" applyFill="1" applyAlignment="1">
      <alignment horizontal="left" shrinkToFit="1"/>
    </xf>
    <xf numFmtId="0" fontId="25" fillId="11" borderId="0" xfId="0" applyFont="1" applyFill="1" applyAlignment="1">
      <alignment horizontal="left" vertical="center" shrinkToFit="1"/>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0" fontId="58" fillId="0" borderId="4" xfId="8" applyFont="1" applyBorder="1" applyAlignment="1" applyProtection="1">
      <alignment horizontal="center" vertical="center" wrapText="1"/>
      <protection hidden="1"/>
    </xf>
    <xf numFmtId="0" fontId="58" fillId="0" borderId="131" xfId="8" applyFont="1" applyBorder="1" applyAlignment="1" applyProtection="1">
      <alignment horizontal="center" vertical="center" wrapText="1"/>
      <protection hidden="1"/>
    </xf>
    <xf numFmtId="0" fontId="58" fillId="0" borderId="135" xfId="8" applyFont="1" applyBorder="1" applyAlignment="1" applyProtection="1">
      <alignment horizontal="center" vertical="center" wrapText="1"/>
      <protection hidden="1"/>
    </xf>
    <xf numFmtId="0" fontId="58" fillId="0" borderId="136" xfId="8" applyFont="1" applyBorder="1" applyAlignment="1" applyProtection="1">
      <alignment horizontal="center" vertical="center" wrapText="1"/>
      <protection hidden="1"/>
    </xf>
    <xf numFmtId="0" fontId="66" fillId="0" borderId="164" xfId="8" applyFont="1" applyBorder="1" applyAlignment="1" applyProtection="1">
      <alignment horizontal="center" vertical="center" wrapText="1"/>
      <protection hidden="1"/>
    </xf>
    <xf numFmtId="0" fontId="66" fillId="0" borderId="0" xfId="8" applyFont="1" applyAlignment="1" applyProtection="1">
      <alignment horizontal="center" vertical="center" wrapText="1"/>
      <protection hidden="1"/>
    </xf>
    <xf numFmtId="0" fontId="66" fillId="0" borderId="99" xfId="8" applyFont="1" applyBorder="1" applyAlignment="1" applyProtection="1">
      <alignment horizontal="center" vertical="center" wrapText="1"/>
      <protection hidden="1"/>
    </xf>
    <xf numFmtId="0" fontId="56" fillId="0" borderId="6" xfId="8" applyFont="1" applyBorder="1" applyAlignment="1" applyProtection="1">
      <alignment horizontal="right" vertical="center" wrapText="1"/>
      <protection hidden="1"/>
    </xf>
    <xf numFmtId="0" fontId="56" fillId="0" borderId="123" xfId="8" applyFont="1" applyBorder="1" applyAlignment="1" applyProtection="1">
      <alignment horizontal="right" vertical="center" wrapText="1"/>
      <protection hidden="1"/>
    </xf>
    <xf numFmtId="0" fontId="56" fillId="0" borderId="7" xfId="8" applyFont="1" applyBorder="1" applyAlignment="1" applyProtection="1">
      <alignment horizontal="right" vertical="center" wrapText="1"/>
      <protection hidden="1"/>
    </xf>
    <xf numFmtId="0" fontId="57" fillId="17" borderId="124" xfId="8" applyFont="1" applyFill="1" applyBorder="1" applyAlignment="1" applyProtection="1">
      <alignment horizontal="justify" vertical="center" wrapText="1"/>
      <protection hidden="1"/>
    </xf>
    <xf numFmtId="0" fontId="57" fillId="17" borderId="125" xfId="8" applyFont="1" applyFill="1" applyBorder="1" applyAlignment="1" applyProtection="1">
      <alignment horizontal="justify" vertical="center" wrapText="1"/>
      <protection hidden="1"/>
    </xf>
    <xf numFmtId="0" fontId="56" fillId="17" borderId="126" xfId="8" applyFont="1" applyFill="1" applyBorder="1" applyAlignment="1" applyProtection="1">
      <alignment horizontal="justify" vertical="center" wrapText="1"/>
      <protection hidden="1"/>
    </xf>
    <xf numFmtId="0" fontId="56" fillId="17" borderId="127" xfId="8" applyFont="1" applyFill="1" applyBorder="1" applyAlignment="1" applyProtection="1">
      <alignment horizontal="justify" vertical="center" wrapText="1"/>
      <protection hidden="1"/>
    </xf>
    <xf numFmtId="0" fontId="59" fillId="0" borderId="128" xfId="8" applyFont="1" applyBorder="1" applyAlignment="1" applyProtection="1">
      <alignment horizontal="center" vertical="center" wrapText="1"/>
      <protection hidden="1"/>
    </xf>
    <xf numFmtId="0" fontId="59" fillId="0" borderId="129" xfId="8" applyFont="1" applyBorder="1" applyAlignment="1" applyProtection="1">
      <alignment horizontal="center" vertical="center" wrapText="1"/>
      <protection hidden="1"/>
    </xf>
    <xf numFmtId="0" fontId="59" fillId="0" borderId="130" xfId="8" applyFont="1" applyBorder="1" applyAlignment="1" applyProtection="1">
      <alignment horizontal="center" vertical="center" wrapText="1"/>
      <protection hidden="1"/>
    </xf>
    <xf numFmtId="0" fontId="56" fillId="0" borderId="164" xfId="8" applyFont="1" applyBorder="1" applyAlignment="1" applyProtection="1">
      <alignment horizontal="justify" vertical="center" wrapText="1"/>
      <protection hidden="1"/>
    </xf>
    <xf numFmtId="0" fontId="56" fillId="0" borderId="0" xfId="8" applyFont="1" applyAlignment="1" applyProtection="1">
      <alignment horizontal="justify" vertical="center" wrapText="1"/>
      <protection hidden="1"/>
    </xf>
    <xf numFmtId="0" fontId="56" fillId="0" borderId="99" xfId="8" applyFont="1" applyBorder="1" applyAlignment="1" applyProtection="1">
      <alignment horizontal="justify" vertical="center" wrapText="1"/>
      <protection hidden="1"/>
    </xf>
    <xf numFmtId="0" fontId="56" fillId="0" borderId="140" xfId="8" applyFont="1" applyBorder="1" applyAlignment="1" applyProtection="1">
      <alignment horizontal="center" vertical="center" wrapText="1"/>
      <protection hidden="1"/>
    </xf>
    <xf numFmtId="0" fontId="56" fillId="0" borderId="141" xfId="8" applyFont="1" applyBorder="1" applyAlignment="1" applyProtection="1">
      <alignment horizontal="center" vertical="center" wrapText="1"/>
      <protection hidden="1"/>
    </xf>
    <xf numFmtId="0" fontId="56" fillId="0" borderId="142" xfId="8" applyFont="1" applyBorder="1" applyAlignment="1" applyProtection="1">
      <alignment horizontal="center" vertical="center" wrapText="1"/>
      <protection hidden="1"/>
    </xf>
    <xf numFmtId="0" fontId="58" fillId="0" borderId="143" xfId="8" applyFont="1" applyBorder="1" applyAlignment="1" applyProtection="1">
      <alignment horizontal="center" vertical="center" wrapText="1"/>
      <protection hidden="1"/>
    </xf>
    <xf numFmtId="0" fontId="58" fillId="0" borderId="144" xfId="8" applyFont="1" applyBorder="1" applyAlignment="1" applyProtection="1">
      <alignment horizontal="center" vertical="center" wrapText="1"/>
      <protection hidden="1"/>
    </xf>
    <xf numFmtId="0" fontId="58" fillId="11" borderId="148" xfId="8" applyFont="1" applyFill="1" applyBorder="1" applyAlignment="1" applyProtection="1">
      <alignment horizontal="center" vertical="center" wrapText="1"/>
      <protection hidden="1"/>
    </xf>
    <xf numFmtId="0" fontId="58" fillId="11" borderId="149" xfId="8" applyFont="1" applyFill="1" applyBorder="1" applyAlignment="1" applyProtection="1">
      <alignment horizontal="center" vertical="center" wrapText="1"/>
      <protection hidden="1"/>
    </xf>
    <xf numFmtId="0" fontId="56" fillId="0" borderId="150" xfId="8" applyFont="1" applyBorder="1" applyAlignment="1" applyProtection="1">
      <alignment horizontal="justify" vertical="center" wrapText="1"/>
      <protection locked="0"/>
    </xf>
    <xf numFmtId="0" fontId="56" fillId="0" borderId="151" xfId="8" applyFont="1" applyBorder="1" applyAlignment="1" applyProtection="1">
      <alignment horizontal="justify" vertical="center" wrapText="1"/>
      <protection locked="0"/>
    </xf>
    <xf numFmtId="0" fontId="56" fillId="0" borderId="152" xfId="8" applyFont="1" applyBorder="1" applyAlignment="1" applyProtection="1">
      <alignment horizontal="justify" vertical="center" wrapText="1"/>
      <protection locked="0"/>
    </xf>
    <xf numFmtId="0" fontId="56" fillId="0" borderId="154" xfId="8" applyFont="1" applyBorder="1" applyAlignment="1" applyProtection="1">
      <alignment horizontal="justify" vertical="center" wrapText="1"/>
      <protection locked="0"/>
    </xf>
    <xf numFmtId="0" fontId="56" fillId="0" borderId="123" xfId="8" applyFont="1" applyBorder="1" applyAlignment="1" applyProtection="1">
      <alignment horizontal="justify" vertical="center" wrapText="1"/>
      <protection locked="0"/>
    </xf>
    <xf numFmtId="0" fontId="56" fillId="0" borderId="7" xfId="8" applyFont="1" applyBorder="1" applyAlignment="1" applyProtection="1">
      <alignment horizontal="justify" vertical="center" wrapText="1"/>
      <protection locked="0"/>
    </xf>
    <xf numFmtId="0" fontId="58" fillId="11" borderId="6" xfId="8" applyFont="1" applyFill="1" applyBorder="1" applyAlignment="1" applyProtection="1">
      <alignment horizontal="center" vertical="center" wrapText="1"/>
      <protection hidden="1"/>
    </xf>
    <xf numFmtId="0" fontId="58" fillId="11" borderId="153" xfId="8" applyFont="1" applyFill="1" applyBorder="1" applyAlignment="1" applyProtection="1">
      <alignment horizontal="center" vertical="center" wrapText="1"/>
      <protection hidden="1"/>
    </xf>
    <xf numFmtId="0" fontId="58" fillId="11" borderId="4" xfId="8" applyFont="1" applyFill="1" applyBorder="1" applyAlignment="1" applyProtection="1">
      <alignment horizontal="center" vertical="center" wrapText="1"/>
      <protection hidden="1"/>
    </xf>
    <xf numFmtId="0" fontId="58" fillId="11" borderId="155" xfId="8" applyFont="1" applyFill="1" applyBorder="1" applyAlignment="1" applyProtection="1">
      <alignment horizontal="center" vertical="center" wrapText="1"/>
      <protection hidden="1"/>
    </xf>
    <xf numFmtId="0" fontId="56" fillId="0" borderId="156" xfId="8" applyFont="1" applyBorder="1" applyAlignment="1" applyProtection="1">
      <alignment vertical="center" wrapText="1"/>
      <protection locked="0"/>
    </xf>
    <xf numFmtId="0" fontId="56" fillId="0" borderId="122" xfId="8" applyFont="1" applyBorder="1" applyAlignment="1" applyProtection="1">
      <alignment vertical="center" wrapText="1"/>
      <protection locked="0"/>
    </xf>
    <xf numFmtId="0" fontId="56" fillId="0" borderId="5" xfId="8" applyFont="1" applyBorder="1" applyAlignment="1" applyProtection="1">
      <alignment vertical="center" wrapText="1"/>
      <protection locked="0"/>
    </xf>
    <xf numFmtId="0" fontId="56" fillId="0" borderId="158" xfId="8" applyFont="1" applyBorder="1" applyAlignment="1" applyProtection="1">
      <alignment vertical="center" wrapText="1"/>
      <protection locked="0"/>
    </xf>
    <xf numFmtId="0" fontId="56" fillId="0" borderId="159" xfId="8" applyFont="1" applyBorder="1" applyAlignment="1" applyProtection="1">
      <alignment vertical="center" wrapText="1"/>
      <protection locked="0"/>
    </xf>
    <xf numFmtId="0" fontId="56" fillId="0" borderId="160" xfId="8" applyFont="1" applyBorder="1" applyAlignment="1" applyProtection="1">
      <alignment vertical="center" wrapText="1"/>
      <protection locked="0"/>
    </xf>
    <xf numFmtId="0" fontId="61" fillId="11" borderId="135" xfId="8" applyFont="1" applyFill="1" applyBorder="1" applyAlignment="1" applyProtection="1">
      <alignment horizontal="center" vertical="center" wrapText="1"/>
      <protection hidden="1"/>
    </xf>
    <xf numFmtId="0" fontId="61" fillId="11" borderId="157" xfId="8" applyFont="1" applyFill="1" applyBorder="1" applyAlignment="1" applyProtection="1">
      <alignment horizontal="center" vertical="center" wrapText="1"/>
      <protection hidden="1"/>
    </xf>
    <xf numFmtId="0" fontId="56" fillId="0" borderId="161" xfId="8" applyFont="1" applyBorder="1" applyAlignment="1" applyProtection="1">
      <alignment horizontal="justify" vertical="center" wrapText="1"/>
      <protection hidden="1"/>
    </xf>
    <xf numFmtId="0" fontId="56" fillId="0" borderId="162" xfId="8" applyFont="1" applyBorder="1" applyAlignment="1" applyProtection="1">
      <alignment horizontal="justify" vertical="center" wrapText="1"/>
      <protection hidden="1"/>
    </xf>
    <xf numFmtId="0" fontId="56" fillId="0" borderId="163" xfId="8" applyFont="1" applyBorder="1" applyAlignment="1" applyProtection="1">
      <alignment horizontal="justify" vertical="center" wrapText="1"/>
      <protection hidden="1"/>
    </xf>
    <xf numFmtId="177" fontId="60" fillId="11" borderId="145" xfId="8" applyNumberFormat="1" applyFont="1" applyFill="1" applyBorder="1" applyAlignment="1" applyProtection="1">
      <alignment horizontal="right" vertical="center" wrapText="1"/>
      <protection hidden="1"/>
    </xf>
    <xf numFmtId="177" fontId="60" fillId="11" borderId="146" xfId="8" applyNumberFormat="1" applyFont="1" applyFill="1" applyBorder="1" applyAlignment="1" applyProtection="1">
      <alignment horizontal="right" vertical="center" wrapText="1"/>
      <protection hidden="1"/>
    </xf>
    <xf numFmtId="0" fontId="56" fillId="0" borderId="93" xfId="8" applyFont="1" applyBorder="1" applyAlignment="1" applyProtection="1">
      <alignment horizontal="right" vertical="center" wrapText="1"/>
      <protection hidden="1"/>
    </xf>
    <xf numFmtId="0" fontId="56" fillId="0" borderId="3" xfId="8" applyFont="1" applyBorder="1" applyAlignment="1" applyProtection="1">
      <alignment horizontal="right" vertical="center" wrapText="1"/>
      <protection hidden="1"/>
    </xf>
    <xf numFmtId="0" fontId="56" fillId="0" borderId="94" xfId="8" applyFont="1" applyBorder="1" applyAlignment="1" applyProtection="1">
      <alignment horizontal="right" vertical="center" wrapText="1"/>
      <protection hidden="1"/>
    </xf>
    <xf numFmtId="14" fontId="56" fillId="0" borderId="164" xfId="8" applyNumberFormat="1" applyFont="1" applyBorder="1" applyAlignment="1" applyProtection="1">
      <alignment horizontal="center" vertical="center" wrapText="1"/>
      <protection hidden="1"/>
    </xf>
    <xf numFmtId="0" fontId="56" fillId="0" borderId="0" xfId="8" applyFont="1" applyAlignment="1" applyProtection="1">
      <alignment horizontal="center" vertical="center" wrapText="1"/>
      <protection hidden="1"/>
    </xf>
    <xf numFmtId="0" fontId="56" fillId="0" borderId="99" xfId="8" applyFont="1" applyBorder="1" applyAlignment="1" applyProtection="1">
      <alignment horizontal="center" vertical="center" wrapText="1"/>
      <protection hidden="1"/>
    </xf>
    <xf numFmtId="0" fontId="56" fillId="0" borderId="164" xfId="8" applyFont="1" applyBorder="1" applyAlignment="1" applyProtection="1">
      <alignment horizontal="right" vertical="center" wrapText="1"/>
      <protection hidden="1"/>
    </xf>
    <xf numFmtId="0" fontId="56" fillId="0" borderId="0" xfId="8" applyFont="1" applyAlignment="1" applyProtection="1">
      <alignment horizontal="right" vertical="center" wrapText="1"/>
      <protection hidden="1"/>
    </xf>
    <xf numFmtId="0" fontId="63" fillId="0" borderId="165" xfId="8" applyFont="1" applyBorder="1" applyAlignment="1" applyProtection="1">
      <alignment horizontal="left" vertical="center" wrapText="1"/>
      <protection hidden="1"/>
    </xf>
    <xf numFmtId="0" fontId="63" fillId="0" borderId="166" xfId="8" applyFont="1" applyBorder="1" applyAlignment="1" applyProtection="1">
      <alignment horizontal="left" vertical="center" wrapText="1"/>
      <protection hidden="1"/>
    </xf>
    <xf numFmtId="0" fontId="63" fillId="0" borderId="167" xfId="8" applyFont="1" applyBorder="1" applyAlignment="1" applyProtection="1">
      <alignment horizontal="left" vertical="center" wrapText="1"/>
      <protection hidden="1"/>
    </xf>
    <xf numFmtId="0" fontId="56" fillId="0" borderId="168" xfId="8" applyFont="1" applyBorder="1" applyAlignment="1" applyProtection="1">
      <alignment horizontal="center" vertical="center" wrapText="1"/>
      <protection hidden="1"/>
    </xf>
    <xf numFmtId="0" fontId="56" fillId="0" borderId="169" xfId="8" applyFont="1" applyBorder="1" applyAlignment="1" applyProtection="1">
      <alignment horizontal="center" vertical="center" wrapText="1"/>
      <protection hidden="1"/>
    </xf>
    <xf numFmtId="0" fontId="56" fillId="0" borderId="170" xfId="8" applyFont="1" applyBorder="1" applyAlignment="1" applyProtection="1">
      <alignment horizontal="center" vertical="center" wrapText="1"/>
      <protection hidden="1"/>
    </xf>
    <xf numFmtId="0" fontId="61" fillId="0" borderId="171" xfId="8" applyFont="1" applyBorder="1" applyAlignment="1" applyProtection="1">
      <alignment horizontal="center" vertical="center" wrapText="1"/>
      <protection hidden="1"/>
    </xf>
    <xf numFmtId="0" fontId="61" fillId="0" borderId="176" xfId="8" applyFont="1" applyBorder="1" applyAlignment="1" applyProtection="1">
      <alignment horizontal="center" vertical="center" wrapText="1"/>
      <protection hidden="1"/>
    </xf>
    <xf numFmtId="0" fontId="61" fillId="0" borderId="172" xfId="8" applyFont="1" applyBorder="1" applyAlignment="1" applyProtection="1">
      <alignment horizontal="justify" vertical="center" wrapText="1"/>
      <protection hidden="1"/>
    </xf>
    <xf numFmtId="0" fontId="61" fillId="0" borderId="173" xfId="8" applyFont="1" applyBorder="1" applyAlignment="1" applyProtection="1">
      <alignment horizontal="justify" vertical="center" wrapText="1"/>
      <protection hidden="1"/>
    </xf>
    <xf numFmtId="0" fontId="61" fillId="0" borderId="174" xfId="8" applyFont="1" applyBorder="1" applyAlignment="1" applyProtection="1">
      <alignment horizontal="justify" vertical="center" wrapText="1"/>
      <protection hidden="1"/>
    </xf>
    <xf numFmtId="0" fontId="61" fillId="0" borderId="154" xfId="8" applyFont="1" applyBorder="1" applyAlignment="1" applyProtection="1">
      <alignment horizontal="justify" vertical="center" wrapText="1"/>
      <protection hidden="1"/>
    </xf>
    <xf numFmtId="0" fontId="61" fillId="0" borderId="123" xfId="8" applyFont="1" applyBorder="1" applyAlignment="1" applyProtection="1">
      <alignment horizontal="justify" vertical="center" wrapText="1"/>
      <protection hidden="1"/>
    </xf>
    <xf numFmtId="0" fontId="61" fillId="0" borderId="153" xfId="8" applyFont="1" applyBorder="1" applyAlignment="1" applyProtection="1">
      <alignment horizontal="justify" vertical="center" wrapText="1"/>
      <protection hidden="1"/>
    </xf>
    <xf numFmtId="0" fontId="66" fillId="8" borderId="194" xfId="8" applyFont="1" applyFill="1" applyBorder="1" applyAlignment="1" applyProtection="1">
      <alignment horizontal="center" vertical="center" wrapText="1"/>
      <protection hidden="1"/>
    </xf>
    <xf numFmtId="0" fontId="66" fillId="8" borderId="0" xfId="8" applyFont="1" applyFill="1" applyAlignment="1" applyProtection="1">
      <alignment horizontal="center" vertical="center" wrapText="1"/>
      <protection hidden="1"/>
    </xf>
    <xf numFmtId="0" fontId="66" fillId="8" borderId="195" xfId="8" applyFont="1" applyFill="1" applyBorder="1" applyAlignment="1" applyProtection="1">
      <alignment horizontal="center" vertical="center" wrapText="1"/>
      <protection hidden="1"/>
    </xf>
    <xf numFmtId="0" fontId="56" fillId="8" borderId="183" xfId="8" applyFont="1" applyFill="1" applyBorder="1" applyAlignment="1" applyProtection="1">
      <alignment horizontal="right" vertical="center" wrapText="1"/>
      <protection hidden="1"/>
    </xf>
    <xf numFmtId="0" fontId="56" fillId="8" borderId="123" xfId="8" applyFont="1" applyFill="1" applyBorder="1" applyAlignment="1" applyProtection="1">
      <alignment horizontal="right" vertical="center" wrapText="1"/>
      <protection hidden="1"/>
    </xf>
    <xf numFmtId="0" fontId="56" fillId="8" borderId="184" xfId="8" applyFont="1" applyFill="1" applyBorder="1" applyAlignment="1" applyProtection="1">
      <alignment horizontal="right" vertical="center" wrapText="1"/>
      <protection hidden="1"/>
    </xf>
    <xf numFmtId="0" fontId="56" fillId="17" borderId="186" xfId="8" applyFont="1" applyFill="1" applyBorder="1" applyAlignment="1" applyProtection="1">
      <alignment horizontal="justify" vertical="center" wrapText="1"/>
      <protection hidden="1"/>
    </xf>
    <xf numFmtId="0" fontId="59" fillId="0" borderId="187" xfId="8" applyFont="1" applyBorder="1" applyAlignment="1" applyProtection="1">
      <alignment horizontal="center" vertical="center" wrapText="1"/>
      <protection hidden="1"/>
    </xf>
    <xf numFmtId="0" fontId="59" fillId="0" borderId="188" xfId="8" applyFont="1" applyBorder="1" applyAlignment="1" applyProtection="1">
      <alignment horizontal="center" vertical="center" wrapText="1"/>
      <protection hidden="1"/>
    </xf>
    <xf numFmtId="0" fontId="58" fillId="0" borderId="182" xfId="8" applyFont="1" applyBorder="1" applyAlignment="1" applyProtection="1">
      <alignment horizontal="center" vertical="center" wrapText="1"/>
      <protection hidden="1"/>
    </xf>
    <xf numFmtId="0" fontId="58" fillId="0" borderId="190" xfId="8" applyFont="1" applyBorder="1" applyAlignment="1" applyProtection="1">
      <alignment horizontal="center" vertical="center" wrapText="1"/>
      <protection hidden="1"/>
    </xf>
    <xf numFmtId="0" fontId="56" fillId="8" borderId="194" xfId="8" applyFont="1" applyFill="1" applyBorder="1" applyAlignment="1" applyProtection="1">
      <alignment horizontal="right" vertical="center" wrapText="1"/>
      <protection hidden="1"/>
    </xf>
    <xf numFmtId="0" fontId="56" fillId="8" borderId="0" xfId="8" applyFont="1" applyFill="1" applyAlignment="1" applyProtection="1">
      <alignment horizontal="right" vertical="center" wrapText="1"/>
      <protection hidden="1"/>
    </xf>
    <xf numFmtId="0" fontId="56" fillId="8" borderId="0" xfId="8" applyFont="1" applyFill="1" applyAlignment="1" applyProtection="1">
      <alignment horizontal="center" vertical="center" wrapText="1"/>
      <protection hidden="1"/>
    </xf>
    <xf numFmtId="0" fontId="60" fillId="8" borderId="196" xfId="8" applyFont="1" applyFill="1" applyBorder="1" applyAlignment="1" applyProtection="1">
      <alignment horizontal="center" wrapText="1"/>
      <protection hidden="1"/>
    </xf>
    <xf numFmtId="0" fontId="60" fillId="8" borderId="166" xfId="8" applyFont="1" applyFill="1" applyBorder="1" applyAlignment="1" applyProtection="1">
      <alignment horizontal="center" wrapText="1"/>
      <protection hidden="1"/>
    </xf>
    <xf numFmtId="0" fontId="60" fillId="8" borderId="197" xfId="8" applyFont="1" applyFill="1" applyBorder="1" applyAlignment="1" applyProtection="1">
      <alignment horizontal="center" wrapText="1"/>
      <protection hidden="1"/>
    </xf>
    <xf numFmtId="0" fontId="56" fillId="8" borderId="194" xfId="8" applyFont="1" applyFill="1" applyBorder="1" applyAlignment="1" applyProtection="1">
      <alignment horizontal="justify" vertical="center" wrapText="1"/>
      <protection hidden="1"/>
    </xf>
    <xf numFmtId="0" fontId="56" fillId="8" borderId="0" xfId="8" applyFont="1" applyFill="1" applyAlignment="1" applyProtection="1">
      <alignment horizontal="justify" vertical="center" wrapText="1"/>
      <protection hidden="1"/>
    </xf>
    <xf numFmtId="0" fontId="56" fillId="8" borderId="195" xfId="8" applyFont="1" applyFill="1" applyBorder="1" applyAlignment="1" applyProtection="1">
      <alignment horizontal="justify" vertical="center" wrapText="1"/>
      <protection hidden="1"/>
    </xf>
    <xf numFmtId="0" fontId="56" fillId="8" borderId="192" xfId="8" applyFont="1" applyFill="1" applyBorder="1" applyAlignment="1" applyProtection="1">
      <alignment horizontal="center" vertical="center" wrapText="1"/>
      <protection hidden="1"/>
    </xf>
    <xf numFmtId="0" fontId="56" fillId="8" borderId="162" xfId="8" applyFont="1" applyFill="1" applyBorder="1" applyAlignment="1" applyProtection="1">
      <alignment horizontal="center" vertical="center" wrapText="1"/>
      <protection hidden="1"/>
    </xf>
    <xf numFmtId="0" fontId="56" fillId="8" borderId="193" xfId="8" applyFont="1" applyFill="1" applyBorder="1" applyAlignment="1" applyProtection="1">
      <alignment horizontal="center" vertical="center" wrapText="1"/>
      <protection hidden="1"/>
    </xf>
    <xf numFmtId="177" fontId="60" fillId="8" borderId="0" xfId="8" applyNumberFormat="1" applyFont="1" applyFill="1" applyAlignment="1" applyProtection="1">
      <alignment horizontal="left" vertical="center" wrapText="1"/>
      <protection hidden="1"/>
    </xf>
    <xf numFmtId="177" fontId="60" fillId="8" borderId="195" xfId="8" applyNumberFormat="1" applyFont="1" applyFill="1" applyBorder="1" applyAlignment="1" applyProtection="1">
      <alignment horizontal="left" vertical="center" wrapText="1"/>
      <protection hidden="1"/>
    </xf>
    <xf numFmtId="0" fontId="60" fillId="8" borderId="194" xfId="8" applyFont="1" applyFill="1" applyBorder="1" applyAlignment="1" applyProtection="1">
      <alignment vertical="center" wrapText="1"/>
      <protection locked="0"/>
    </xf>
    <xf numFmtId="0" fontId="60" fillId="8" borderId="0" xfId="8" applyFont="1" applyFill="1" applyAlignment="1" applyProtection="1">
      <alignment vertical="center" wrapText="1"/>
      <protection locked="0"/>
    </xf>
    <xf numFmtId="0" fontId="60" fillId="8" borderId="195" xfId="8" applyFont="1" applyFill="1" applyBorder="1" applyAlignment="1" applyProtection="1">
      <alignment vertical="center" wrapText="1"/>
      <protection locked="0"/>
    </xf>
    <xf numFmtId="14" fontId="65" fillId="8" borderId="194" xfId="8" applyNumberFormat="1" applyFont="1" applyFill="1" applyBorder="1" applyAlignment="1" applyProtection="1">
      <alignment horizontal="center" vertical="center" wrapText="1"/>
      <protection hidden="1"/>
    </xf>
    <xf numFmtId="14" fontId="65" fillId="8" borderId="0" xfId="8" applyNumberFormat="1" applyFont="1" applyFill="1" applyAlignment="1" applyProtection="1">
      <alignment horizontal="center" vertical="center" wrapText="1"/>
      <protection hidden="1"/>
    </xf>
    <xf numFmtId="0" fontId="65" fillId="8" borderId="0" xfId="8" applyFont="1" applyFill="1" applyAlignment="1" applyProtection="1">
      <alignment horizontal="center" vertical="center" wrapText="1"/>
      <protection hidden="1"/>
    </xf>
    <xf numFmtId="0" fontId="65" fillId="8" borderId="195" xfId="8" applyFont="1" applyFill="1" applyBorder="1" applyAlignment="1" applyProtection="1">
      <alignment horizontal="center" vertical="center" wrapText="1"/>
      <protection hidden="1"/>
    </xf>
  </cellXfs>
  <cellStyles count="10">
    <cellStyle name="백분율" xfId="2" builtinId="5"/>
    <cellStyle name="쉼표 [0]" xfId="1" builtinId="6"/>
    <cellStyle name="쉼표 [0] 2" xfId="9" xr:uid="{8EE50EEC-E3B2-429A-B63B-D9969F4271FE}"/>
    <cellStyle name="쉼표 [0] 6" xfId="6" xr:uid="{0663C564-42F3-466C-966C-D1B889390FF0}"/>
    <cellStyle name="표준" xfId="0" builtinId="0"/>
    <cellStyle name="표준 2" xfId="3" xr:uid="{5AE707A6-02E2-4B16-80D3-17D9DEB6753A}"/>
    <cellStyle name="표준 3" xfId="8" xr:uid="{1886F56C-5753-4835-BB87-E78654687325}"/>
    <cellStyle name="표준_2007예산(요)" xfId="4" xr:uid="{3494D2D8-DB55-4203-BAE8-941649A7B93D}"/>
    <cellStyle name="표준_복사본 예산총괄-치매" xfId="7" xr:uid="{033E9A6E-49AF-469D-ADF4-AC5489421762}"/>
    <cellStyle name="표준_예산총칙양식" xfId="5" xr:uid="{6BBC40E2-90ED-4959-9620-E4268BAE1F12}"/>
  </cellStyles>
  <dxfs count="123">
    <dxf>
      <font>
        <b val="0"/>
        <i val="0"/>
      </font>
      <fill>
        <patternFill>
          <bgColor rgb="FF92D050"/>
        </patternFill>
      </fill>
    </dxf>
    <dxf>
      <font>
        <b val="0"/>
        <i val="0"/>
        <color theme="0"/>
      </font>
      <fill>
        <patternFill>
          <bgColor rgb="FFC00000"/>
        </patternFill>
      </fill>
    </dxf>
    <dxf>
      <font>
        <b/>
        <i val="0"/>
      </font>
      <fill>
        <patternFill>
          <bgColor rgb="FF92D050"/>
        </patternFill>
      </fill>
    </dxf>
    <dxf>
      <font>
        <b/>
        <i val="0"/>
        <color theme="0"/>
      </font>
      <fill>
        <patternFill>
          <bgColor rgb="FFC00000"/>
        </patternFill>
      </fill>
    </dxf>
    <dxf>
      <font>
        <b val="0"/>
        <i val="0"/>
        <strike val="0"/>
        <color theme="1"/>
      </font>
      <fill>
        <patternFill>
          <bgColor theme="9"/>
        </patternFill>
      </fill>
    </dxf>
    <dxf>
      <font>
        <b val="0"/>
        <i val="0"/>
        <strike val="0"/>
        <color theme="0"/>
      </font>
      <fill>
        <patternFill>
          <bgColor rgb="FFC00000"/>
        </patternFill>
      </fill>
    </dxf>
    <dxf>
      <font>
        <b val="0"/>
        <i val="0"/>
      </font>
      <fill>
        <patternFill>
          <bgColor rgb="FF92D050"/>
        </patternFill>
      </fill>
    </dxf>
    <dxf>
      <font>
        <b val="0"/>
        <i val="0"/>
        <color theme="0"/>
      </font>
      <fill>
        <patternFill>
          <bgColor rgb="FFC00000"/>
        </patternFill>
      </fill>
    </dxf>
    <dxf>
      <font>
        <b val="0"/>
        <i val="0"/>
      </font>
      <fill>
        <patternFill>
          <bgColor rgb="FF92D050"/>
        </patternFill>
      </fill>
    </dxf>
    <dxf>
      <font>
        <b val="0"/>
        <i val="0"/>
        <color theme="0"/>
      </font>
      <fill>
        <patternFill>
          <bgColor rgb="FFC0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C0000"/>
        </patternFill>
      </fill>
    </dxf>
    <dxf>
      <font>
        <b/>
        <i val="0"/>
        <color theme="0"/>
      </font>
      <fill>
        <patternFill>
          <bgColor theme="9"/>
        </patternFill>
      </fill>
    </dxf>
    <dxf>
      <font>
        <b/>
        <i val="0"/>
        <color theme="0"/>
      </font>
      <fill>
        <patternFill>
          <bgColor rgb="FFC0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1"/>
      </font>
      <fill>
        <patternFill>
          <bgColor theme="4" tint="0.59996337778862885"/>
        </patternFill>
      </fill>
    </dxf>
    <dxf>
      <font>
        <b/>
        <i val="0"/>
        <color theme="0"/>
      </font>
      <fill>
        <patternFill>
          <bgColor rgb="FFC00000"/>
        </patternFill>
      </fill>
    </dxf>
    <dxf>
      <font>
        <b/>
        <i val="0"/>
        <color theme="0"/>
      </font>
      <fill>
        <patternFill>
          <bgColor rgb="FFC00000"/>
        </patternFill>
      </fill>
    </dxf>
    <dxf>
      <font>
        <b/>
        <i val="0"/>
        <color theme="1"/>
      </font>
      <fill>
        <patternFill>
          <bgColor theme="4" tint="0.59996337778862885"/>
        </patternFill>
      </fill>
    </dxf>
    <dxf>
      <font>
        <color theme="5" tint="0.79998168889431442"/>
      </font>
      <fill>
        <patternFill>
          <bgColor rgb="FFFFC7CE"/>
        </patternFill>
      </fill>
    </dxf>
    <dxf>
      <font>
        <color theme="9" tint="0.79998168889431442"/>
      </font>
      <fill>
        <patternFill>
          <bgColor rgb="FFC6EFCE"/>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theme="9"/>
        </patternFill>
      </fill>
    </dxf>
    <dxf>
      <font>
        <b/>
        <i val="0"/>
        <color theme="0"/>
      </font>
      <fill>
        <patternFill>
          <bgColor rgb="FFC00000"/>
        </patternFill>
      </fill>
    </dxf>
    <dxf>
      <font>
        <b/>
        <i val="0"/>
        <color theme="0"/>
      </font>
      <fill>
        <patternFill>
          <bgColor rgb="FFC00000"/>
        </patternFill>
      </fill>
    </dxf>
    <dxf>
      <font>
        <b/>
        <i val="0"/>
        <color theme="0"/>
      </font>
      <fill>
        <patternFill>
          <bgColor theme="9"/>
        </patternFill>
      </fill>
    </dxf>
    <dxf>
      <font>
        <color rgb="FFC00000"/>
      </font>
      <fill>
        <patternFill>
          <bgColor rgb="FFC00000"/>
        </patternFill>
      </fill>
    </dxf>
    <dxf>
      <font>
        <color rgb="FFC00000"/>
      </font>
      <fill>
        <patternFill>
          <bgColor rgb="FFC0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font>
      <fill>
        <patternFill>
          <bgColor theme="8" tint="0.39994506668294322"/>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rgb="FFC00000"/>
      </font>
      <fill>
        <patternFill>
          <bgColor rgb="FFC00000"/>
        </patternFill>
      </fill>
    </dxf>
    <dxf>
      <font>
        <color rgb="FFC00000"/>
      </font>
      <fill>
        <patternFill>
          <bgColor rgb="FFC00000"/>
        </patternFill>
      </fill>
    </dxf>
    <dxf>
      <font>
        <b/>
        <i val="0"/>
      </font>
      <fill>
        <patternFill>
          <bgColor theme="8" tint="0.39994506668294322"/>
        </patternFill>
      </fill>
    </dxf>
    <dxf>
      <font>
        <b/>
        <i val="0"/>
        <color theme="0"/>
      </font>
      <fill>
        <patternFill>
          <bgColor rgb="FFCC0000"/>
        </patternFill>
      </fill>
    </dxf>
    <dxf>
      <font>
        <b/>
        <i val="0"/>
      </font>
      <fill>
        <patternFill>
          <bgColor theme="8" tint="0.39994506668294322"/>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color rgb="FFC00000"/>
      </font>
      <fill>
        <patternFill>
          <bgColor rgb="FFC00000"/>
        </patternFill>
      </fill>
    </dxf>
    <dxf>
      <font>
        <b/>
        <i val="0"/>
        <color theme="0"/>
      </font>
      <fill>
        <patternFill>
          <bgColor rgb="FFCC0000"/>
        </patternFill>
      </fill>
    </dxf>
    <dxf>
      <font>
        <b/>
        <i val="0"/>
      </font>
      <fill>
        <patternFill>
          <bgColor theme="8" tint="0.39994506668294322"/>
        </patternFill>
      </fill>
    </dxf>
    <dxf>
      <font>
        <color rgb="FFC00000"/>
      </font>
      <fill>
        <patternFill>
          <bgColor rgb="FFC0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color rgb="FFC00000"/>
      </font>
      <fill>
        <patternFill>
          <bgColor rgb="FFC00000"/>
        </patternFill>
      </fill>
    </dxf>
    <dxf>
      <font>
        <color rgb="FFC00000"/>
      </font>
      <fill>
        <patternFill>
          <bgColor rgb="FFC0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b/>
        <i val="0"/>
      </font>
      <fill>
        <patternFill>
          <bgColor theme="8" tint="0.39994506668294322"/>
        </patternFill>
      </fill>
    </dxf>
    <dxf>
      <font>
        <b/>
        <i val="0"/>
        <color theme="0"/>
      </font>
      <fill>
        <patternFill>
          <bgColor rgb="FFCC0000"/>
        </patternFill>
      </fill>
    </dxf>
    <dxf>
      <font>
        <b/>
        <i val="0"/>
      </font>
      <fill>
        <patternFill>
          <bgColor theme="8" tint="0.39994506668294322"/>
        </patternFill>
      </fill>
    </dxf>
    <dxf>
      <font>
        <b/>
        <i val="0"/>
        <color theme="0"/>
      </font>
      <fill>
        <patternFill>
          <bgColor rgb="FFCC0000"/>
        </patternFill>
      </fill>
    </dxf>
    <dxf>
      <font>
        <color rgb="FFC00000"/>
      </font>
      <fill>
        <patternFill>
          <bgColor rgb="FFC00000"/>
        </patternFill>
      </fill>
    </dxf>
    <dxf>
      <font>
        <color rgb="FFC00000"/>
      </font>
      <fill>
        <patternFill>
          <bgColor rgb="FFC00000"/>
        </patternFill>
      </fill>
    </dxf>
    <dxf>
      <font>
        <color rgb="FF006100"/>
      </font>
      <fill>
        <patternFill>
          <bgColor rgb="FFC6EFCE"/>
        </patternFill>
      </fill>
    </dxf>
    <dxf>
      <font>
        <color rgb="FF9C0006"/>
      </font>
      <fill>
        <patternFill>
          <bgColor rgb="FFFFC7CE"/>
        </patternFill>
      </fill>
    </dxf>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5" lockText="1" noThreeD="1"/>
</file>

<file path=xl/ctrlProps/ctrlProp10.xml><?xml version="1.0" encoding="utf-8"?>
<formControlPr xmlns="http://schemas.microsoft.com/office/spreadsheetml/2009/9/main" objectType="CheckBox" checked="Checked" fmlaLink="$AF$2" lockText="1" noThreeD="1"/>
</file>

<file path=xl/ctrlProps/ctrlProp11.xml><?xml version="1.0" encoding="utf-8"?>
<formControlPr xmlns="http://schemas.microsoft.com/office/spreadsheetml/2009/9/main" objectType="CheckBox" fmlaLink="$AM$2" lockText="1" noThreeD="1"/>
</file>

<file path=xl/ctrlProps/ctrlProp12.xml><?xml version="1.0" encoding="utf-8"?>
<formControlPr xmlns="http://schemas.microsoft.com/office/spreadsheetml/2009/9/main" objectType="CheckBox" checked="Checked" fmlaLink="$AM$1" lockText="1" noThreeD="1"/>
</file>

<file path=xl/ctrlProps/ctrlProp13.xml><?xml version="1.0" encoding="utf-8"?>
<formControlPr xmlns="http://schemas.microsoft.com/office/spreadsheetml/2009/9/main" objectType="CheckBox" fmlaLink="$I$2" lockText="1" noThreeD="1"/>
</file>

<file path=xl/ctrlProps/ctrlProp14.xml><?xml version="1.0" encoding="utf-8"?>
<formControlPr xmlns="http://schemas.microsoft.com/office/spreadsheetml/2009/9/main" objectType="CheckBox" checked="Checked" fmlaLink="$I$3" lockText="1" noThreeD="1"/>
</file>

<file path=xl/ctrlProps/ctrlProp15.xml><?xml version="1.0" encoding="utf-8"?>
<formControlPr xmlns="http://schemas.microsoft.com/office/spreadsheetml/2009/9/main" objectType="CheckBox" fmlaLink="$I$4" lockText="1" noThreeD="1"/>
</file>

<file path=xl/ctrlProps/ctrlProp2.xml><?xml version="1.0" encoding="utf-8"?>
<formControlPr xmlns="http://schemas.microsoft.com/office/spreadsheetml/2009/9/main" objectType="CheckBox" fmlaLink="$AC$5" lockText="1" noThreeD="1"/>
</file>

<file path=xl/ctrlProps/ctrlProp3.xml><?xml version="1.0" encoding="utf-8"?>
<formControlPr xmlns="http://schemas.microsoft.com/office/spreadsheetml/2009/9/main" objectType="CheckBox" fmlaLink="$AD$5" lockText="1" noThreeD="1"/>
</file>

<file path=xl/ctrlProps/ctrlProp4.xml><?xml version="1.0" encoding="utf-8"?>
<formControlPr xmlns="http://schemas.microsoft.com/office/spreadsheetml/2009/9/main" objectType="CheckBox" fmlaLink="$AE$5" lockText="1" noThreeD="1"/>
</file>

<file path=xl/ctrlProps/ctrlProp5.xml><?xml version="1.0" encoding="utf-8"?>
<formControlPr xmlns="http://schemas.microsoft.com/office/spreadsheetml/2009/9/main" objectType="CheckBox" fmlaLink="$Y$5" lockText="1" noThreeD="1"/>
</file>

<file path=xl/ctrlProps/ctrlProp6.xml><?xml version="1.0" encoding="utf-8"?>
<formControlPr xmlns="http://schemas.microsoft.com/office/spreadsheetml/2009/9/main" objectType="CheckBox" checked="Checked" fmlaLink="$Z$5" lockText="1" noThreeD="1"/>
</file>

<file path=xl/ctrlProps/ctrlProp7.xml><?xml version="1.0" encoding="utf-8"?>
<formControlPr xmlns="http://schemas.microsoft.com/office/spreadsheetml/2009/9/main" objectType="CheckBox" fmlaLink="$AA$5" lockText="1" noThreeD="1"/>
</file>

<file path=xl/ctrlProps/ctrlProp8.xml><?xml version="1.0" encoding="utf-8"?>
<formControlPr xmlns="http://schemas.microsoft.com/office/spreadsheetml/2009/9/main" objectType="CheckBox" fmlaLink="$X$5" lockText="1" noThreeD="1"/>
</file>

<file path=xl/ctrlProps/ctrlProp9.xml><?xml version="1.0" encoding="utf-8"?>
<formControlPr xmlns="http://schemas.microsoft.com/office/spreadsheetml/2009/9/main" objectType="CheckBox" fmlaLink="$AF$5"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400050</xdr:colOff>
          <xdr:row>4</xdr:row>
          <xdr:rowOff>9525</xdr:rowOff>
        </xdr:from>
        <xdr:to>
          <xdr:col>27</xdr:col>
          <xdr:colOff>990600</xdr:colOff>
          <xdr:row>4</xdr:row>
          <xdr:rowOff>200025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400050</xdr:colOff>
          <xdr:row>4</xdr:row>
          <xdr:rowOff>9525</xdr:rowOff>
        </xdr:from>
        <xdr:to>
          <xdr:col>28</xdr:col>
          <xdr:colOff>990600</xdr:colOff>
          <xdr:row>4</xdr:row>
          <xdr:rowOff>200025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400050</xdr:colOff>
          <xdr:row>4</xdr:row>
          <xdr:rowOff>9525</xdr:rowOff>
        </xdr:from>
        <xdr:to>
          <xdr:col>30</xdr:col>
          <xdr:colOff>19050</xdr:colOff>
          <xdr:row>4</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400050</xdr:colOff>
          <xdr:row>4</xdr:row>
          <xdr:rowOff>9525</xdr:rowOff>
        </xdr:from>
        <xdr:to>
          <xdr:col>31</xdr:col>
          <xdr:colOff>19050</xdr:colOff>
          <xdr:row>4</xdr:row>
          <xdr:rowOff>200025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400050</xdr:colOff>
          <xdr:row>4</xdr:row>
          <xdr:rowOff>9525</xdr:rowOff>
        </xdr:from>
        <xdr:to>
          <xdr:col>24</xdr:col>
          <xdr:colOff>990600</xdr:colOff>
          <xdr:row>4</xdr:row>
          <xdr:rowOff>209550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400050</xdr:colOff>
          <xdr:row>4</xdr:row>
          <xdr:rowOff>9525</xdr:rowOff>
        </xdr:from>
        <xdr:to>
          <xdr:col>25</xdr:col>
          <xdr:colOff>990600</xdr:colOff>
          <xdr:row>4</xdr:row>
          <xdr:rowOff>209550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xdr:row>
          <xdr:rowOff>9525</xdr:rowOff>
        </xdr:from>
        <xdr:to>
          <xdr:col>26</xdr:col>
          <xdr:colOff>990600</xdr:colOff>
          <xdr:row>4</xdr:row>
          <xdr:rowOff>209550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476250</xdr:colOff>
          <xdr:row>4</xdr:row>
          <xdr:rowOff>9525</xdr:rowOff>
        </xdr:from>
        <xdr:to>
          <xdr:col>23</xdr:col>
          <xdr:colOff>1066800</xdr:colOff>
          <xdr:row>4</xdr:row>
          <xdr:rowOff>209550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400050</xdr:colOff>
          <xdr:row>4</xdr:row>
          <xdr:rowOff>9525</xdr:rowOff>
        </xdr:from>
        <xdr:to>
          <xdr:col>32</xdr:col>
          <xdr:colOff>19050</xdr:colOff>
          <xdr:row>4</xdr:row>
          <xdr:rowOff>209550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390525</xdr:colOff>
          <xdr:row>0</xdr:row>
          <xdr:rowOff>209550</xdr:rowOff>
        </xdr:from>
        <xdr:to>
          <xdr:col>31</xdr:col>
          <xdr:colOff>695325</xdr:colOff>
          <xdr:row>1</xdr:row>
          <xdr:rowOff>209550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352425</xdr:colOff>
          <xdr:row>1</xdr:row>
          <xdr:rowOff>0</xdr:rowOff>
        </xdr:from>
        <xdr:to>
          <xdr:col>38</xdr:col>
          <xdr:colOff>657225</xdr:colOff>
          <xdr:row>2</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352425</xdr:colOff>
          <xdr:row>0</xdr:row>
          <xdr:rowOff>0</xdr:rowOff>
        </xdr:from>
        <xdr:to>
          <xdr:col>38</xdr:col>
          <xdr:colOff>657225</xdr:colOff>
          <xdr:row>1</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390525</xdr:colOff>
          <xdr:row>0</xdr:row>
          <xdr:rowOff>209550</xdr:rowOff>
        </xdr:from>
        <xdr:to>
          <xdr:col>8</xdr:col>
          <xdr:colOff>695325</xdr:colOff>
          <xdr:row>1</xdr:row>
          <xdr:rowOff>209550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5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238125</xdr:colOff>
          <xdr:row>1</xdr:row>
          <xdr:rowOff>209550</xdr:rowOff>
        </xdr:from>
        <xdr:to>
          <xdr:col>8</xdr:col>
          <xdr:colOff>542925</xdr:colOff>
          <xdr:row>3</xdr:row>
          <xdr:rowOff>19050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C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xdr:row>
          <xdr:rowOff>190500</xdr:rowOff>
        </xdr:from>
        <xdr:to>
          <xdr:col>8</xdr:col>
          <xdr:colOff>542925</xdr:colOff>
          <xdr:row>4</xdr:row>
          <xdr:rowOff>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C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5</xdr:col>
      <xdr:colOff>123825</xdr:colOff>
      <xdr:row>16</xdr:row>
      <xdr:rowOff>390525</xdr:rowOff>
    </xdr:from>
    <xdr:ext cx="600159" cy="600159"/>
    <xdr:pic>
      <xdr:nvPicPr>
        <xdr:cNvPr id="2" name="그림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5" y="7553325"/>
          <a:ext cx="600159" cy="60015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123825</xdr:colOff>
      <xdr:row>21</xdr:row>
      <xdr:rowOff>76761</xdr:rowOff>
    </xdr:from>
    <xdr:ext cx="600159" cy="600159"/>
    <xdr:pic>
      <xdr:nvPicPr>
        <xdr:cNvPr id="2" name="그림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7913" y="9915526"/>
          <a:ext cx="600159" cy="60015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123825</xdr:colOff>
      <xdr:row>21</xdr:row>
      <xdr:rowOff>76761</xdr:rowOff>
    </xdr:from>
    <xdr:ext cx="600159" cy="600159"/>
    <xdr:pic>
      <xdr:nvPicPr>
        <xdr:cNvPr id="2" name="그림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00800" y="9916086"/>
          <a:ext cx="600159" cy="600159"/>
        </a:xfrm>
        <a:prstGeom prst="rect">
          <a:avLst/>
        </a:prstGeom>
      </xdr:spPr>
    </xdr:pic>
    <xdr:clientData/>
  </xdr:one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2.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2D8D-2BCE-4E81-99C9-3D0FEA1532E6}">
  <sheetPr>
    <tabColor rgb="FFFFC000"/>
  </sheetPr>
  <dimension ref="A1:BG264"/>
  <sheetViews>
    <sheetView topLeftCell="O1" zoomScaleNormal="100" workbookViewId="0">
      <selection activeCell="V23" sqref="V23"/>
    </sheetView>
  </sheetViews>
  <sheetFormatPr defaultRowHeight="16.5"/>
  <cols>
    <col min="1" max="1" width="5.875" style="214" customWidth="1"/>
    <col min="2" max="2" width="28.25" style="524" customWidth="1"/>
    <col min="3" max="3" width="28.25" style="524" hidden="1" customWidth="1"/>
    <col min="4" max="4" width="8.75" style="214" customWidth="1"/>
    <col min="5" max="5" width="4.625" style="214" customWidth="1"/>
    <col min="6" max="6" width="9.375" style="214" customWidth="1"/>
    <col min="7" max="11" width="10" style="214" customWidth="1"/>
    <col min="12" max="12" width="13.375" style="214" customWidth="1"/>
    <col min="13" max="13" width="2.375" style="708" hidden="1" customWidth="1"/>
    <col min="14" max="14" width="1.875" style="214" hidden="1" customWidth="1"/>
    <col min="15" max="15" width="11.5" style="528" customWidth="1"/>
    <col min="16" max="16" width="12.375" style="159" hidden="1" customWidth="1"/>
    <col min="17" max="17" width="6" style="159" customWidth="1"/>
    <col min="18" max="18" width="28.5" style="159" customWidth="1"/>
    <col min="19" max="19" width="8.625" style="529" customWidth="1"/>
    <col min="20" max="20" width="11.375" style="159" customWidth="1"/>
    <col min="21" max="21" width="7.25" style="159" customWidth="1"/>
    <col min="22" max="22" width="20" style="530" customWidth="1"/>
    <col min="23" max="23" width="1.875" style="214" customWidth="1"/>
    <col min="24" max="24" width="15.875" style="214" customWidth="1"/>
    <col min="25" max="29" width="13.125" style="214" customWidth="1"/>
    <col min="30" max="32" width="12.75" style="214" customWidth="1"/>
    <col min="33" max="33" width="1.875" style="214" customWidth="1"/>
    <col min="34" max="34" width="11.75" style="214" customWidth="1"/>
    <col min="35" max="35" width="14.625" style="214" customWidth="1"/>
    <col min="36" max="36" width="9" style="214"/>
    <col min="37" max="37" width="1.875" style="214" customWidth="1"/>
    <col min="38" max="38" width="11" style="161" customWidth="1"/>
    <col min="39" max="40" width="11.875" style="214" customWidth="1"/>
    <col min="41" max="41" width="1.5" style="214" customWidth="1"/>
    <col min="42" max="42" width="9" style="98"/>
    <col min="43" max="43" width="12.125" style="98" customWidth="1"/>
    <col min="44" max="44" width="11.625" style="98" customWidth="1"/>
    <col min="45" max="45" width="10.5" style="98" customWidth="1"/>
    <col min="46" max="46" width="12.625" style="98" customWidth="1"/>
    <col min="47" max="47" width="9.625" style="98" customWidth="1"/>
    <col min="48" max="49" width="10.75" style="98" customWidth="1"/>
    <col min="50" max="50" width="12.625" style="98" customWidth="1"/>
    <col min="51" max="52" width="12.625" style="98" hidden="1" customWidth="1"/>
    <col min="53" max="53" width="10.5" style="98" bestFit="1" customWidth="1"/>
    <col min="54" max="54" width="9.375" style="98" bestFit="1" customWidth="1"/>
    <col min="55" max="55" width="12.125" style="98" customWidth="1"/>
    <col min="56" max="56" width="14.75" style="98" customWidth="1"/>
    <col min="57" max="57" width="9" style="214"/>
    <col min="58" max="59" width="10.25" style="214" bestFit="1" customWidth="1"/>
    <col min="60" max="16384" width="9" style="214"/>
  </cols>
  <sheetData>
    <row r="1" spans="1:58" ht="17.25" thickBot="1">
      <c r="A1" s="1473" t="s">
        <v>0</v>
      </c>
      <c r="B1" s="1475" t="s">
        <v>135</v>
      </c>
      <c r="C1" s="1475"/>
      <c r="D1" s="1475"/>
      <c r="E1" s="1476" t="s">
        <v>134</v>
      </c>
      <c r="F1" s="1477"/>
      <c r="G1" s="1469" t="str">
        <f>IF($AE$2="추경","본예산액","전년도예산")</f>
        <v>본예산액</v>
      </c>
      <c r="H1" s="1469" t="s">
        <v>75</v>
      </c>
      <c r="I1" s="1469" t="s">
        <v>76</v>
      </c>
      <c r="J1" s="1469" t="s">
        <v>77</v>
      </c>
      <c r="K1" s="1469" t="s">
        <v>78</v>
      </c>
      <c r="L1" s="1471" t="s">
        <v>79</v>
      </c>
      <c r="O1" s="1455" t="s">
        <v>89</v>
      </c>
      <c r="P1" s="1457" t="s">
        <v>90</v>
      </c>
      <c r="Q1" s="1449" t="s">
        <v>91</v>
      </c>
      <c r="R1" s="1451" t="s">
        <v>92</v>
      </c>
      <c r="S1" s="1453" t="s">
        <v>93</v>
      </c>
      <c r="T1" s="1453" t="s">
        <v>94</v>
      </c>
      <c r="U1" s="1453" t="s">
        <v>95</v>
      </c>
      <c r="V1" s="1444" t="s">
        <v>96</v>
      </c>
      <c r="X1" s="358" t="s">
        <v>147</v>
      </c>
      <c r="Y1" s="1487">
        <v>2023</v>
      </c>
      <c r="Z1" s="1487"/>
      <c r="AA1" s="359" t="s">
        <v>148</v>
      </c>
      <c r="AB1" s="1459" t="s">
        <v>841</v>
      </c>
      <c r="AC1" s="1459"/>
      <c r="AD1" s="1262" t="s">
        <v>149</v>
      </c>
      <c r="AE1" s="1459" t="str">
        <f>IF(예산실적비교표!$H$1=0,"",예산실적비교표!$H$1)</f>
        <v>윤의영</v>
      </c>
      <c r="AF1" s="1460"/>
      <c r="AH1" s="360" t="s">
        <v>218</v>
      </c>
      <c r="AI1" s="1501" t="str">
        <f>IF(예산실적비교표!$E$3=0,"",예산실적비교표!$E$3)</f>
        <v/>
      </c>
      <c r="AJ1" s="1502"/>
      <c r="AL1" s="498" t="s">
        <v>719</v>
      </c>
      <c r="AM1" s="1043" t="b">
        <v>1</v>
      </c>
      <c r="AP1" s="1572" t="s">
        <v>451</v>
      </c>
      <c r="AQ1" s="1573"/>
      <c r="AR1" s="1085">
        <v>1</v>
      </c>
      <c r="AS1" s="1086"/>
      <c r="AT1" s="1086"/>
      <c r="AU1" s="1086"/>
      <c r="AV1" s="1086"/>
      <c r="AW1" s="1086"/>
      <c r="AX1" s="1086"/>
      <c r="AY1" s="1086"/>
      <c r="AZ1" s="1086"/>
      <c r="BA1" s="214"/>
      <c r="BB1" s="214"/>
      <c r="BC1" s="214"/>
      <c r="BD1" s="214"/>
    </row>
    <row r="2" spans="1:58" ht="17.25" thickBot="1">
      <c r="A2" s="1474"/>
      <c r="B2" s="361" t="s">
        <v>1</v>
      </c>
      <c r="C2" s="361"/>
      <c r="D2" s="361" t="s">
        <v>2</v>
      </c>
      <c r="E2" s="1478"/>
      <c r="F2" s="1479"/>
      <c r="G2" s="1470"/>
      <c r="H2" s="1470"/>
      <c r="I2" s="1470"/>
      <c r="J2" s="1470"/>
      <c r="K2" s="1470"/>
      <c r="L2" s="1472"/>
      <c r="O2" s="1456"/>
      <c r="P2" s="1458"/>
      <c r="Q2" s="1450"/>
      <c r="R2" s="1452"/>
      <c r="S2" s="1454"/>
      <c r="T2" s="1454"/>
      <c r="U2" s="1454"/>
      <c r="V2" s="1445"/>
      <c r="X2" s="362" t="s">
        <v>150</v>
      </c>
      <c r="Y2" s="1488">
        <v>45267</v>
      </c>
      <c r="Z2" s="1488"/>
      <c r="AA2" s="363" t="s">
        <v>151</v>
      </c>
      <c r="AB2" s="1491" t="s">
        <v>108</v>
      </c>
      <c r="AC2" s="1492"/>
      <c r="AD2" s="655" t="s">
        <v>152</v>
      </c>
      <c r="AE2" s="905" t="str">
        <f>IF(OR($AF$2=TRUE,예산실적비교표!$I$2=TRUE),"추경","")</f>
        <v>추경</v>
      </c>
      <c r="AF2" s="707" t="b">
        <v>1</v>
      </c>
      <c r="AH2" s="360" t="s">
        <v>716</v>
      </c>
      <c r="AI2" s="1501">
        <v>2</v>
      </c>
      <c r="AJ2" s="1502"/>
      <c r="AL2" s="1044" t="s">
        <v>720</v>
      </c>
      <c r="AM2" s="1045" t="b">
        <v>0</v>
      </c>
      <c r="AP2" s="1087" t="s">
        <v>156</v>
      </c>
      <c r="AQ2" s="1574" t="str">
        <f>데이터입력!$AB$8</f>
        <v>00</v>
      </c>
      <c r="AR2" s="1575"/>
      <c r="AS2" s="1576"/>
      <c r="AT2" s="1577" t="s">
        <v>453</v>
      </c>
      <c r="AU2" s="1578"/>
      <c r="AV2" s="1578"/>
      <c r="AW2" s="1578"/>
      <c r="AX2" s="1579"/>
      <c r="AY2" s="1086"/>
      <c r="AZ2" s="1086"/>
      <c r="BA2" s="214"/>
      <c r="BB2" s="214"/>
      <c r="BC2" s="214"/>
      <c r="BD2" s="214"/>
    </row>
    <row r="3" spans="1:58" ht="17.25" thickBot="1">
      <c r="A3" s="1046">
        <f>IF($AM$1=TRUE,IF(K3="","",SUBTOTAL(2,$K$3:K3)),IF(AND(M3="",N3=""),"",IF(N3="",COUNT($M$3:M3),COUNT($N$3:N3)+200)))</f>
        <v>1</v>
      </c>
      <c r="B3" s="365" t="s">
        <v>5</v>
      </c>
      <c r="C3" s="365" t="s">
        <v>517</v>
      </c>
      <c r="D3" s="364">
        <v>401010201</v>
      </c>
      <c r="E3" s="364" t="s">
        <v>83</v>
      </c>
      <c r="F3" s="364" t="s">
        <v>6</v>
      </c>
      <c r="G3" s="366">
        <f>IFERROR(IF($E3="06",VLOOKUP($B3,예산실적비교표!$O$7:$R$200,2,FALSE),0),0)</f>
        <v>34057584</v>
      </c>
      <c r="H3" s="366">
        <f>IFERROR(IF($E3="06",VLOOKUP($C3,세입예산서!$K$3:$X$205,12,FALSE),0),0)</f>
        <v>33735444</v>
      </c>
      <c r="I3" s="366">
        <f>IFERROR(IF($E3="07",VLOOKUP($C3,세입예산서!$K$3:$X$205,13,FALSE),0),0)</f>
        <v>0</v>
      </c>
      <c r="J3" s="366">
        <f>IFERROR(IF($E3="05",VLOOKUP($C3,세입예산서!$K$3:$X$205,14,FALSE),0),0)</f>
        <v>0</v>
      </c>
      <c r="K3" s="366">
        <f>IF($AE$2="",IF(SUM(H3:J3)=0,"",SUM(H3:J3)-G3),IF(AND(G3=0,SUM(H3:J3)=0),"",SUM(H3:J3)-G3))</f>
        <v>-322140</v>
      </c>
      <c r="L3" s="367">
        <f>IFERROR(IF($AB$2="",0,ROUNDUP(VLOOKUP($B3,예산실적비교표!$O$7:$R$200,3,FALSE)/$Y$9,-3)*$Y$8),0)</f>
        <v>17880000</v>
      </c>
      <c r="M3" s="708">
        <f>IF($AM$1=TRUE,IF(K3="","",IF(IF($AE$2="",IF(K3="","",SUBTOTAL(2,$K$3:K3)),IF(AND(G3&gt;=0,K3=""),"",IF(AND(G3&gt;0,OR(K3&gt;0,K3&lt;0)),SUBTOTAL(2,$K$3:K3),IF(AND(G3=0,OR(K3&gt;0,K3&lt;0)),SUBTOTAL(2,$K$3:K3)+200,""))))&gt;200,"",1)),IF(K3="","",IF(IF($AE$2="",IF(K3="","",SUBTOTAL(2,$K$3:K3)),IF(AND(G3&gt;=0,K3=""),"",IF(AND(G3&gt;0,OR(K3&gt;0,K3&lt;0)),SUBTOTAL(2,$K$3:K3),IF(AND(G3=0,OR(K3&gt;0,K3&lt;0)),SUBTOTAL(2,$K$3:K3)+200,""))))&gt;200,"",1)))</f>
        <v>1</v>
      </c>
      <c r="N3" s="214" t="str">
        <f>IF($AM$1=TRUE,IF(K3="","",IF(IF($AE$2="",IF(K3="","",SUBTOTAL(2,$K$3:K3)),IF(AND(G3&gt;=0,K3=""),"",IF(AND(G3&gt;0,OR(K3&gt;0,K3&lt;0)),SUBTOTAL(2,$K$3:K3),IF(AND(G3=0,OR(K3&gt;0,K3&lt;0)),SUBTOTAL(2,$K$3:K3)+200,""))))&lt;=200,"",2)),IF(K3="","",IF(IF($AE$2="",IF(K3="","",SUBTOTAL(2,$K$3:K3)),IF(AND(G3&gt;=0,K3=""),"",IF(AND(G3&gt;0,OR(K3&gt;0,K3&lt;0)),SUBTOTAL(2,$K$3:K3),IF(AND(G3=0,OR(K3&gt;0,K3&lt;0)),SUBTOTAL(2,$K$3:K3)+200,""))))&lt;=200,"",2)))</f>
        <v/>
      </c>
      <c r="O3" s="1440" t="s">
        <v>97</v>
      </c>
      <c r="P3" s="1441"/>
      <c r="Q3" s="1441"/>
      <c r="R3" s="1441"/>
      <c r="S3" s="1441"/>
      <c r="T3" s="1441"/>
      <c r="U3" s="1441"/>
      <c r="V3" s="1442"/>
      <c r="X3" s="1547" t="s">
        <v>652</v>
      </c>
      <c r="Y3" s="1548"/>
      <c r="Z3" s="1548"/>
      <c r="AA3" s="1548"/>
      <c r="AB3" s="1548"/>
      <c r="AC3" s="1548"/>
      <c r="AD3" s="1548"/>
      <c r="AE3" s="1548"/>
      <c r="AF3" s="1549"/>
      <c r="AP3" s="1088" t="s">
        <v>159</v>
      </c>
      <c r="AQ3" s="1580" t="str">
        <f>데이터입력!$AC$9</f>
        <v>일반사업[일반]</v>
      </c>
      <c r="AR3" s="1580"/>
      <c r="AS3" s="1581"/>
      <c r="AT3" s="1089" t="s">
        <v>161</v>
      </c>
      <c r="AU3" s="1090" t="s">
        <v>163</v>
      </c>
      <c r="AV3" s="1090" t="s">
        <v>165</v>
      </c>
      <c r="AW3" s="1090" t="s">
        <v>457</v>
      </c>
      <c r="AX3" s="1091" t="s">
        <v>166</v>
      </c>
      <c r="AY3" s="1086"/>
      <c r="AZ3" s="1086"/>
      <c r="BA3" s="214"/>
      <c r="BB3" s="214"/>
      <c r="BC3" s="214"/>
      <c r="BD3" s="214"/>
    </row>
    <row r="4" spans="1:58" ht="17.25" thickBot="1">
      <c r="A4" s="1046">
        <f>IF($AM$1=TRUE,IF(K4="","",SUBTOTAL(2,$K$3:K4)),IF(AND(M4="",N4=""),"",IF(N4="",COUNT($M$3:M4),COUNT($N$3:N4)+200)))</f>
        <v>2</v>
      </c>
      <c r="B4" s="365" t="s">
        <v>7</v>
      </c>
      <c r="C4" s="365" t="s">
        <v>518</v>
      </c>
      <c r="D4" s="364">
        <v>401010301</v>
      </c>
      <c r="E4" s="364" t="s">
        <v>83</v>
      </c>
      <c r="F4" s="364" t="s">
        <v>6</v>
      </c>
      <c r="G4" s="366">
        <f>IFERROR(IF($E4="06",VLOOKUP($B4,예산실적비교표!$O$7:$R$200,2,FALSE),0),0)</f>
        <v>36720000</v>
      </c>
      <c r="H4" s="366">
        <f>IFERROR(IF($E4="06",VLOOKUP($C4,세입예산서!$K$3:$X$205,12,FALSE),0),0)</f>
        <v>36414000</v>
      </c>
      <c r="I4" s="366">
        <f>IFERROR(IF($E4="07",VLOOKUP($C4,세입예산서!$K$3:$X$205,13,FALSE),0),0)</f>
        <v>0</v>
      </c>
      <c r="J4" s="366">
        <f>IFERROR(IF($E4="05",VLOOKUP($C4,세입예산서!$K$3:$X$205,14,FALSE),0),0)</f>
        <v>0</v>
      </c>
      <c r="K4" s="366">
        <f t="shared" ref="K4:K40" si="0">IF($AE$2="",IF(SUM(H4:J4)=0,"",SUM(H4:J4)-G4),IF(AND(G4=0,SUM(H4:J4)=0),"",SUM(H4:J4)-G4))</f>
        <v>-306000</v>
      </c>
      <c r="L4" s="367">
        <f>IFERROR(IF($AB$2="",0,ROUNDUP(VLOOKUP($B4,예산실적비교표!$O$7:$R$200,3,FALSE)/$Y$9,-3)*$Y$8),0)</f>
        <v>23220000</v>
      </c>
      <c r="M4" s="708">
        <f>IF($AM$1=TRUE,IF(K4="","",IF(IF($AE$2="",IF(K4="","",SUBTOTAL(2,$K$3:K4)),IF(AND(G4&gt;=0,K4=""),"",IF(AND(G4&gt;0,OR(K4&gt;0,K4&lt;0)),SUBTOTAL(2,$K$3:K4),IF(AND(G4=0,OR(K4&gt;0,K4&lt;0)),SUBTOTAL(2,$K$3:K4)+200,""))))&gt;200,"",1)),IF(K4="","",IF(IF($AE$2="",IF(K4="","",SUBTOTAL(2,$K$3:K4)),IF(AND(G4&gt;=0,K4=""),"",IF(AND(G4&gt;0,OR(K4&gt;0,K4&lt;0)),SUBTOTAL(2,$K$3:K4),IF(AND(G4=0,OR(K4&gt;0,K4&lt;0)),SUBTOTAL(2,$K$3:K4)+200,""))))&gt;200,"",1)))</f>
        <v>1</v>
      </c>
      <c r="N4" s="214" t="str">
        <f>IF($AM$1=TRUE,IF(K4="","",IF(IF($AE$2="",IF(K4="","",SUBTOTAL(2,$K$3:K4)),IF(AND(G4&gt;=0,K4=""),"",IF(AND(G4&gt;0,OR(K4&gt;0,K4&lt;0)),SUBTOTAL(2,$K$3:K4),IF(AND(G4=0,OR(K4&gt;0,K4&lt;0)),SUBTOTAL(2,$K$3:K4)+200,""))))&lt;=200,"",2)),IF(K4="","",IF(IF($AE$2="",IF(K4="","",SUBTOTAL(2,$K$3:K4)),IF(AND(G4&gt;=0,K4=""),"",IF(AND(G4&gt;0,OR(K4&gt;0,K4&lt;0)),SUBTOTAL(2,$K$3:K4),IF(AND(G4=0,OR(K4&gt;0,K4&lt;0)),SUBTOTAL(2,$K$3:K4)+200,""))))&lt;=200,"",2)))</f>
        <v/>
      </c>
      <c r="O4" s="531"/>
      <c r="P4" s="368">
        <f>IF(L31&gt;0,ROUNDUP(($L$31/$Y$8*$Y$6)/T4,0),IF($AC$6&gt;0,$AC$6,0))</f>
        <v>0</v>
      </c>
      <c r="Q4" s="544">
        <v>0</v>
      </c>
      <c r="R4" s="369" t="s">
        <v>98</v>
      </c>
      <c r="S4" s="370" t="s">
        <v>99</v>
      </c>
      <c r="T4" s="553">
        <f>IF($AE$2="",IF($Y$1=2023,예산평균!AE22,예산평균!AF22),예산평균!AE22)</f>
        <v>303266</v>
      </c>
      <c r="U4" s="371">
        <f>IF(COUNTIF(X5:Y5,TRUE)&gt;=1,IF(OR(Q4="",Q4=0),P4,Q4),IF(OR(Q4="",Q4=0),0,Q4))</f>
        <v>0</v>
      </c>
      <c r="V4" s="555"/>
      <c r="X4" s="372" t="s">
        <v>492</v>
      </c>
      <c r="Y4" s="373" t="s">
        <v>493</v>
      </c>
      <c r="Z4" s="373" t="s">
        <v>494</v>
      </c>
      <c r="AA4" s="373" t="s">
        <v>649</v>
      </c>
      <c r="AB4" s="373" t="s">
        <v>495</v>
      </c>
      <c r="AC4" s="373" t="s">
        <v>648</v>
      </c>
      <c r="AD4" s="373" t="s">
        <v>496</v>
      </c>
      <c r="AE4" s="373" t="s">
        <v>497</v>
      </c>
      <c r="AF4" s="374" t="s">
        <v>650</v>
      </c>
      <c r="AP4" s="1092" t="s">
        <v>157</v>
      </c>
      <c r="AQ4" s="1582" t="str">
        <f>데이터입력!$AC$10</f>
        <v>재가노인복지시설 주야간보호</v>
      </c>
      <c r="AR4" s="1582"/>
      <c r="AS4" s="1583"/>
      <c r="AT4" s="1093">
        <f>AT7</f>
        <v>4.4999999999999998E-2</v>
      </c>
      <c r="AU4" s="1094">
        <f>AU7</f>
        <v>3.5450000000000002E-2</v>
      </c>
      <c r="AV4" s="1095">
        <f>AV7</f>
        <v>0.12809999999999999</v>
      </c>
      <c r="AW4" s="1095">
        <f>데이터입력!$AD$12</f>
        <v>8.9999999999999993E-3</v>
      </c>
      <c r="AX4" s="1096"/>
      <c r="AY4" s="1086"/>
      <c r="AZ4" s="1086"/>
      <c r="BA4" s="214"/>
      <c r="BB4" s="214"/>
      <c r="BC4" s="214"/>
      <c r="BD4" s="214"/>
    </row>
    <row r="5" spans="1:58" ht="17.25" thickBot="1">
      <c r="A5" s="1046" t="str">
        <f>IF($AM$1=TRUE,IF(K5="","",SUBTOTAL(2,$K$3:K5)),IF(AND(M5="",N5=""),"",IF(N5="",COUNT($M$3:M5),COUNT($N$3:N5)+200)))</f>
        <v/>
      </c>
      <c r="B5" s="365" t="s">
        <v>8</v>
      </c>
      <c r="C5" s="365" t="s">
        <v>519</v>
      </c>
      <c r="D5" s="364">
        <v>401010401</v>
      </c>
      <c r="E5" s="364" t="s">
        <v>83</v>
      </c>
      <c r="F5" s="364" t="s">
        <v>6</v>
      </c>
      <c r="G5" s="366">
        <f>IFERROR(IF($E5="06",VLOOKUP($B5,예산실적비교표!$O$7:$R$200,2,FALSE),0),0)</f>
        <v>0</v>
      </c>
      <c r="H5" s="366">
        <f>IFERROR(IF($E5="06",VLOOKUP($C5,세입예산서!$K$3:$X$205,12,FALSE),0),0)</f>
        <v>0</v>
      </c>
      <c r="I5" s="366">
        <f>IFERROR(IF($E5="07",VLOOKUP($C5,세입예산서!$K$3:$X$205,13,FALSE),0),0)</f>
        <v>0</v>
      </c>
      <c r="J5" s="366">
        <f>IFERROR(IF($E5="05",VLOOKUP($C5,세입예산서!$K$3:$X$205,14,FALSE),0),0)</f>
        <v>0</v>
      </c>
      <c r="K5" s="366" t="str">
        <f t="shared" si="0"/>
        <v/>
      </c>
      <c r="L5" s="367">
        <f>IFERROR(IF($AB$2="",0,ROUNDUP(VLOOKUP($B5,예산실적비교표!$O$7:$R$200,3,FALSE)*$Y$6/$Y$9,-3)*$Y$8),0)</f>
        <v>0</v>
      </c>
      <c r="M5" s="708" t="str">
        <f>IF($AM$1=TRUE,IF(K5="","",IF(IF($AE$2="",IF(K5="","",SUBTOTAL(2,$K$3:K5)),IF(AND(G5&gt;=0,K5=""),"",IF(AND(G5&gt;0,OR(K5&gt;0,K5&lt;0)),SUBTOTAL(2,$K$3:K5),IF(AND(G5=0,OR(K5&gt;0,K5&lt;0)),SUBTOTAL(2,$K$3:K5)+200,""))))&gt;200,"",1)),IF(K5="","",IF(IF($AE$2="",IF(K5="","",SUBTOTAL(2,$K$3:K5)),IF(AND(G5&gt;=0,K5=""),"",IF(AND(G5&gt;0,OR(K5&gt;0,K5&lt;0)),SUBTOTAL(2,$K$3:K5),IF(AND(G5=0,OR(K5&gt;0,K5&lt;0)),SUBTOTAL(2,$K$3:K5)+200,""))))&gt;200,"",1)))</f>
        <v/>
      </c>
      <c r="N5" s="214" t="str">
        <f>IF($AM$1=TRUE,IF(K5="","",IF(IF($AE$2="",IF(K5="","",SUBTOTAL(2,$K$3:K5)),IF(AND(G5&gt;=0,K5=""),"",IF(AND(G5&gt;0,OR(K5&gt;0,K5&lt;0)),SUBTOTAL(2,$K$3:K5),IF(AND(G5=0,OR(K5&gt;0,K5&lt;0)),SUBTOTAL(2,$K$3:K5)+200,""))))&lt;=200,"",2)),IF(K5="","",IF(IF($AE$2="",IF(K5="","",SUBTOTAL(2,$K$3:K5)),IF(AND(G5&gt;=0,K5=""),"",IF(AND(G5&gt;0,OR(K5&gt;0,K5&lt;0)),SUBTOTAL(2,$K$3:K5),IF(AND(G5=0,OR(K5&gt;0,K5&lt;0)),SUBTOTAL(2,$K$3:K5)+200,""))))&lt;=200,"",2)))</f>
        <v/>
      </c>
      <c r="O5" s="532"/>
      <c r="P5" s="375"/>
      <c r="Q5" s="545"/>
      <c r="R5" s="376" t="s">
        <v>100</v>
      </c>
      <c r="S5" s="377" t="s">
        <v>99</v>
      </c>
      <c r="T5" s="1370">
        <f>IF($AE$2="",IF($Y$1=2023,예산평균!AE23,예산평균!AF23),예산평균!AE23)</f>
        <v>40000</v>
      </c>
      <c r="U5" s="378"/>
      <c r="V5" s="556">
        <v>1</v>
      </c>
      <c r="X5" s="659" t="b">
        <v>0</v>
      </c>
      <c r="Y5" s="660" t="b">
        <v>0</v>
      </c>
      <c r="Z5" s="660" t="b">
        <v>1</v>
      </c>
      <c r="AA5" s="660" t="b">
        <v>0</v>
      </c>
      <c r="AB5" s="660" t="b">
        <v>0</v>
      </c>
      <c r="AC5" s="660" t="b">
        <v>0</v>
      </c>
      <c r="AD5" s="660" t="b">
        <v>0</v>
      </c>
      <c r="AE5" s="660" t="b">
        <v>0</v>
      </c>
      <c r="AF5" s="661" t="b">
        <v>0</v>
      </c>
      <c r="AP5" s="1584" t="s">
        <v>160</v>
      </c>
      <c r="AQ5" s="1585"/>
      <c r="AR5" s="1586">
        <f>데이터입력!$Y$12</f>
        <v>0.50700000000000001</v>
      </c>
      <c r="AS5" s="1587"/>
      <c r="AT5" s="1577" t="str">
        <f>데이터입력!$AA$11</f>
        <v>4대보험요율(합산)</v>
      </c>
      <c r="AU5" s="1578"/>
      <c r="AV5" s="1578"/>
      <c r="AW5" s="1578"/>
      <c r="AX5" s="1579"/>
      <c r="AY5" s="1086"/>
      <c r="AZ5" s="1086"/>
      <c r="BA5" s="214"/>
      <c r="BB5" s="214"/>
      <c r="BC5" s="214"/>
      <c r="BD5" s="214"/>
    </row>
    <row r="6" spans="1:58" ht="16.5" customHeight="1" thickBot="1">
      <c r="A6" s="1046" t="str">
        <f>IF($AM$1=TRUE,IF(K6="","",SUBTOTAL(2,$K$3:K6)),IF(AND(M6="",N6=""),"",IF(N6="",COUNT($M$3:M6),COUNT($N$3:N6)+200)))</f>
        <v/>
      </c>
      <c r="B6" s="365" t="s">
        <v>9</v>
      </c>
      <c r="C6" s="365" t="s">
        <v>520</v>
      </c>
      <c r="D6" s="364">
        <v>401010501</v>
      </c>
      <c r="E6" s="364" t="s">
        <v>83</v>
      </c>
      <c r="F6" s="364" t="s">
        <v>6</v>
      </c>
      <c r="G6" s="366">
        <f>IFERROR(IF($E6="06",VLOOKUP($B6,예산실적비교표!$O$7:$R$200,2,FALSE),0),0)</f>
        <v>0</v>
      </c>
      <c r="H6" s="366">
        <f>IFERROR(IF($E6="06",VLOOKUP($C6,세입예산서!$K$3:$X$205,12,FALSE),0),0)</f>
        <v>0</v>
      </c>
      <c r="I6" s="366">
        <f>IFERROR(IF($E6="07",VLOOKUP($C6,세입예산서!$K$3:$X$205,13,FALSE),0),0)</f>
        <v>0</v>
      </c>
      <c r="J6" s="366">
        <f>IFERROR(IF($E6="05",VLOOKUP($C6,세입예산서!$K$3:$X$205,14,FALSE),0),0)</f>
        <v>0</v>
      </c>
      <c r="K6" s="366" t="str">
        <f t="shared" si="0"/>
        <v/>
      </c>
      <c r="L6" s="367">
        <f>IFERROR(IF($AB$2="",0,ROUNDUP(VLOOKUP($B6,예산실적비교표!$O$7:$R$200,3,FALSE)*$Y$6/$Y$9,-3)*$Y$8),0)</f>
        <v>0</v>
      </c>
      <c r="M6" s="708" t="str">
        <f>IF($AM$1=TRUE,IF(K6="","",IF(IF($AE$2="",IF(K6="","",SUBTOTAL(2,$K$3:K6)),IF(AND(G6&gt;=0,K6=""),"",IF(AND(G6&gt;0,OR(K6&gt;0,K6&lt;0)),SUBTOTAL(2,$K$3:K6),IF(AND(G6=0,OR(K6&gt;0,K6&lt;0)),SUBTOTAL(2,$K$3:K6)+200,""))))&gt;200,"",1)),IF(K6="","",IF(IF($AE$2="",IF(K6="","",SUBTOTAL(2,$K$3:K6)),IF(AND(G6&gt;=0,K6=""),"",IF(AND(G6&gt;0,OR(K6&gt;0,K6&lt;0)),SUBTOTAL(2,$K$3:K6),IF(AND(G6=0,OR(K6&gt;0,K6&lt;0)),SUBTOTAL(2,$K$3:K6)+200,""))))&gt;200,"",1)))</f>
        <v/>
      </c>
      <c r="N6" s="214" t="str">
        <f>IF($AM$1=TRUE,IF(K6="","",IF(IF($AE$2="",IF(K6="","",SUBTOTAL(2,$K$3:K6)),IF(AND(G6&gt;=0,K6=""),"",IF(AND(G6&gt;0,OR(K6&gt;0,K6&lt;0)),SUBTOTAL(2,$K$3:K6),IF(AND(G6=0,OR(K6&gt;0,K6&lt;0)),SUBTOTAL(2,$K$3:K6)+200,""))))&lt;=200,"",2)),IF(K6="","",IF(IF($AE$2="",IF(K6="","",SUBTOTAL(2,$K$3:K6)),IF(AND(G6&gt;=0,K6=""),"",IF(AND(G6&gt;0,OR(K6&gt;0,K6&lt;0)),SUBTOTAL(2,$K$3:K6),IF(AND(G6=0,OR(K6&gt;0,K6&lt;0)),SUBTOTAL(2,$K$3:K6)+200,""))))&lt;=200,"",2)))</f>
        <v/>
      </c>
      <c r="O6" s="532"/>
      <c r="P6" s="375"/>
      <c r="Q6" s="546"/>
      <c r="R6" s="376" t="s">
        <v>101</v>
      </c>
      <c r="S6" s="377" t="s">
        <v>99</v>
      </c>
      <c r="T6" s="1370">
        <f>IF($AE$2="",IF($Y$1=2023,예산평균!AE24,예산평균!AF24),예산평균!AE24)</f>
        <v>50000</v>
      </c>
      <c r="U6" s="379"/>
      <c r="V6" s="556">
        <f>IF($Y$8&lt;4,1,2)</f>
        <v>2</v>
      </c>
      <c r="X6" s="380" t="s">
        <v>153</v>
      </c>
      <c r="Y6" s="1506">
        <v>1</v>
      </c>
      <c r="Z6" s="1507"/>
      <c r="AA6" s="1508" t="str">
        <f>$Y$1-1&amp;"년도 수급자수(보조금)"</f>
        <v>2022년도 수급자수(보조금)</v>
      </c>
      <c r="AB6" s="1509"/>
      <c r="AC6" s="664">
        <f>IF(예산실적비교표!$F$4=0,0,예산실적비교표!$F$4)</f>
        <v>0</v>
      </c>
      <c r="AD6" s="1489" t="str">
        <f>Y1-1&amp;"년도 수급자수(전체)"</f>
        <v>2022년도 수급자수(전체)</v>
      </c>
      <c r="AE6" s="1490"/>
      <c r="AF6" s="664">
        <f>IF(예산실적비교표!$C$4=0,0,예산실적비교표!$C$4)</f>
        <v>17</v>
      </c>
      <c r="AH6" s="1498" t="s">
        <v>219</v>
      </c>
      <c r="AI6" s="1499"/>
      <c r="AJ6" s="1500"/>
      <c r="AL6" s="1498" t="s">
        <v>236</v>
      </c>
      <c r="AM6" s="1499"/>
      <c r="AN6" s="1500"/>
      <c r="AP6" s="1588" t="s">
        <v>162</v>
      </c>
      <c r="AQ6" s="1589"/>
      <c r="AR6" s="1590">
        <f>데이터입력!$Y$13</f>
        <v>296902596</v>
      </c>
      <c r="AS6" s="1591"/>
      <c r="AT6" s="1089" t="s">
        <v>161</v>
      </c>
      <c r="AU6" s="1090" t="s">
        <v>163</v>
      </c>
      <c r="AV6" s="1090" t="s">
        <v>165</v>
      </c>
      <c r="AW6" s="1090" t="s">
        <v>457</v>
      </c>
      <c r="AX6" s="1091" t="s">
        <v>166</v>
      </c>
      <c r="AY6" s="1086"/>
      <c r="AZ6" s="1086"/>
      <c r="BA6" s="214"/>
      <c r="BB6" s="214"/>
      <c r="BC6" s="214"/>
      <c r="BD6" s="214"/>
    </row>
    <row r="7" spans="1:58" ht="17.25" customHeight="1" thickBot="1">
      <c r="A7" s="1046">
        <f>IF($AM$1=TRUE,IF(K7="","",SUBTOTAL(2,$K$3:K7)),IF(AND(M7="",N7=""),"",IF(N7="",COUNT($M$3:M7),COUNT($N$3:N7)+200)))</f>
        <v>3</v>
      </c>
      <c r="B7" s="365" t="s">
        <v>10</v>
      </c>
      <c r="C7" s="365" t="s">
        <v>521</v>
      </c>
      <c r="D7" s="364">
        <v>401010601</v>
      </c>
      <c r="E7" s="364" t="s">
        <v>83</v>
      </c>
      <c r="F7" s="364" t="s">
        <v>6</v>
      </c>
      <c r="G7" s="366">
        <f>IFERROR(IF($E7="06",VLOOKUP($B7,예산실적비교표!$O$7:$R$200,2,FALSE),0),0)</f>
        <v>1800000</v>
      </c>
      <c r="H7" s="366">
        <f>IFERROR(IF($E7="06",VLOOKUP($C7,세입예산서!$K$3:$X$205,12,FALSE),0),0)</f>
        <v>1800000</v>
      </c>
      <c r="I7" s="366">
        <f>IFERROR(IF($E7="07",VLOOKUP($C7,세입예산서!$K$3:$X$205,13,FALSE),0),0)</f>
        <v>0</v>
      </c>
      <c r="J7" s="366">
        <f>IFERROR(IF($E7="05",VLOOKUP($C7,세입예산서!$K$3:$X$205,14,FALSE),0),0)</f>
        <v>0</v>
      </c>
      <c r="K7" s="366">
        <f t="shared" si="0"/>
        <v>0</v>
      </c>
      <c r="L7" s="367">
        <f>IFERROR(IF($AB$2="",0,ROUNDUP(VLOOKUP($B7,예산실적비교표!$O$7:$R$200,3,FALSE)*$Y$6/$Y$9,-3)*$Y$8),0)</f>
        <v>0</v>
      </c>
      <c r="M7" s="708" t="str">
        <f>IF($AM$1=TRUE,IF(K7="","",IF(IF($AE$2="",IF(K7="","",SUBTOTAL(2,$K$3:K7)),IF(AND(G7&gt;=0,K7=""),"",IF(AND(G7&gt;0,OR(K7&gt;0,K7&lt;0)),SUBTOTAL(2,$K$3:K7),IF(AND(G7=0,OR(K7&gt;0,K7&lt;0)),SUBTOTAL(2,$K$3:K7)+200,""))))&gt;200,"",1)),IF(K7="","",IF(IF($AE$2="",IF(K7="","",SUBTOTAL(2,$K$3:K7)),IF(AND(G7&gt;=0,K7=""),"",IF(AND(G7&gt;0,OR(K7&gt;0,K7&lt;0)),SUBTOTAL(2,$K$3:K7),IF(AND(G7=0,OR(K7&gt;0,K7&lt;0)),SUBTOTAL(2,$K$3:K7)+200,""))))&gt;200,"",1)))</f>
        <v/>
      </c>
      <c r="N7" s="214">
        <f>IF($AM$1=TRUE,IF(K7="","",IF(IF($AE$2="",IF(K7="","",SUBTOTAL(2,$K$3:K7)),IF(AND(G7&gt;=0,K7=""),"",IF(AND(G7&gt;0,OR(K7&gt;0,K7&lt;0)),SUBTOTAL(2,$K$3:K7),IF(AND(G7=0,OR(K7&gt;0,K7&lt;0)),SUBTOTAL(2,$K$3:K7)+200,""))))&lt;=200,"",2)),IF(K7="","",IF(IF($AE$2="",IF(K7="","",SUBTOTAL(2,$K$3:K7)),IF(AND(G7&gt;=0,K7=""),"",IF(AND(G7&gt;0,OR(K7&gt;0,K7&lt;0)),SUBTOTAL(2,$K$3:K7),IF(AND(G7=0,OR(K7&gt;0,K7&lt;0)),SUBTOTAL(2,$K$3:K7)+200,""))))&lt;=200,"",2)))</f>
        <v>2</v>
      </c>
      <c r="O7" s="533">
        <f>IF(Q7="",0%,10%)</f>
        <v>0.1</v>
      </c>
      <c r="P7" s="375">
        <f>IF(AND($AB$2=R7,($L$3+$L$14)=0),ROUND(($AF$7-$Y$26)*O7,0),IF($AB$2=R7,ROUND((($L$3+$L$14)/$Y$8*100%*O7)/(T7*V7),0),0))</f>
        <v>0</v>
      </c>
      <c r="Q7" s="547">
        <v>0</v>
      </c>
      <c r="R7" s="376" t="s">
        <v>102</v>
      </c>
      <c r="S7" s="377" t="s">
        <v>103</v>
      </c>
      <c r="T7" s="732">
        <f>IF($AE$2="",IF($Y$1=2023,예산평균!AE25,예산평균!AF25),예산평균!AE25)</f>
        <v>81750</v>
      </c>
      <c r="U7" s="371">
        <f>IF(OR(Q7="",Q7=0),P7,Q7)</f>
        <v>0</v>
      </c>
      <c r="V7" s="557">
        <v>30.4</v>
      </c>
      <c r="X7" s="389" t="s">
        <v>155</v>
      </c>
      <c r="Y7" s="1485">
        <v>1</v>
      </c>
      <c r="Z7" s="1486"/>
      <c r="AA7" s="1503" t="s">
        <v>154</v>
      </c>
      <c r="AB7" s="1504"/>
      <c r="AC7" s="1505"/>
      <c r="AD7" s="1514" t="str">
        <f>Y1&amp;"년도 수급자수(전체)"</f>
        <v>2023년도 수급자수(전체)</v>
      </c>
      <c r="AE7" s="1515"/>
      <c r="AF7" s="663">
        <f>AF6</f>
        <v>17</v>
      </c>
      <c r="AH7" s="384" t="s">
        <v>102</v>
      </c>
      <c r="AI7" s="1516" t="s">
        <v>220</v>
      </c>
      <c r="AJ7" s="1517"/>
      <c r="AL7" s="1042" t="s">
        <v>102</v>
      </c>
      <c r="AM7" s="1483" t="s">
        <v>220</v>
      </c>
      <c r="AN7" s="1484"/>
      <c r="AP7" s="1592" t="s">
        <v>164</v>
      </c>
      <c r="AQ7" s="1593"/>
      <c r="AR7" s="1594">
        <f>데이터입력!$Y$14</f>
        <v>150790382</v>
      </c>
      <c r="AS7" s="1595"/>
      <c r="AT7" s="1103">
        <f>데이터입력!$AB$12</f>
        <v>4.4999999999999998E-2</v>
      </c>
      <c r="AU7" s="1104">
        <f>데이터입력!$AB$13</f>
        <v>3.5450000000000002E-2</v>
      </c>
      <c r="AV7" s="1104">
        <f>데이터입력!$AB$14</f>
        <v>0.12809999999999999</v>
      </c>
      <c r="AW7" s="1104">
        <f>데이터입력!$AD$13</f>
        <v>1.15E-2</v>
      </c>
      <c r="AX7" s="1105">
        <f>데이터입력!$AD$14</f>
        <v>8.0999999999999996E-3</v>
      </c>
      <c r="AY7" s="1086"/>
      <c r="AZ7" s="1086"/>
      <c r="BA7" s="214"/>
      <c r="BB7" s="214"/>
      <c r="BC7" s="214"/>
      <c r="BD7" s="214"/>
    </row>
    <row r="8" spans="1:58" ht="17.25" customHeight="1" thickBot="1">
      <c r="A8" s="1046" t="str">
        <f>IF($AM$1=TRUE,IF(K8="","",SUBTOTAL(2,$K$3:K8)),IF(AND(M8="",N8=""),"",IF(N8="",COUNT($M$3:M8),COUNT($N$3:N8)+200)))</f>
        <v/>
      </c>
      <c r="B8" s="365" t="s">
        <v>11</v>
      </c>
      <c r="C8" s="365" t="s">
        <v>522</v>
      </c>
      <c r="D8" s="364">
        <v>402010101</v>
      </c>
      <c r="E8" s="364" t="s">
        <v>83</v>
      </c>
      <c r="F8" s="364" t="s">
        <v>6</v>
      </c>
      <c r="G8" s="366">
        <f>IFERROR(IF($E8="06",VLOOKUP($B8,예산실적비교표!$O$7:$R$200,2,FALSE),0),0)</f>
        <v>0</v>
      </c>
      <c r="H8" s="366">
        <f>IFERROR(IF($E8="06",VLOOKUP($C8,세입예산서!$K$3:$X$205,12,FALSE),0),0)</f>
        <v>0</v>
      </c>
      <c r="I8" s="366">
        <f>IFERROR(IF($E8="07",VLOOKUP($C8,세입예산서!$K$3:$X$205,13,FALSE),0),0)</f>
        <v>0</v>
      </c>
      <c r="J8" s="366">
        <f>IFERROR(IF($E8="05",VLOOKUP($C8,세입예산서!$K$3:$X$205,14,FALSE),0),0)</f>
        <v>0</v>
      </c>
      <c r="K8" s="366" t="str">
        <f t="shared" si="0"/>
        <v/>
      </c>
      <c r="L8" s="367">
        <f>IFERROR(IF($AB$2="",0,ROUNDUP(VLOOKUP($B8,예산실적비교표!$O$7:$R$200,3,FALSE)*$Y$6/$Y$9,-3)*$Y$8),0)</f>
        <v>0</v>
      </c>
      <c r="M8" s="708" t="str">
        <f>IF($AM$1=TRUE,IF(K8="","",IF(IF($AE$2="",IF(K8="","",SUBTOTAL(2,$K$3:K8)),IF(AND(G8&gt;=0,K8=""),"",IF(AND(G8&gt;0,OR(K8&gt;0,K8&lt;0)),SUBTOTAL(2,$K$3:K8),IF(AND(G8=0,OR(K8&gt;0,K8&lt;0)),SUBTOTAL(2,$K$3:K8)+200,""))))&gt;200,"",1)),IF(K8="","",IF(IF($AE$2="",IF(K8="","",SUBTOTAL(2,$K$3:K8)),IF(AND(G8&gt;=0,K8=""),"",IF(AND(G8&gt;0,OR(K8&gt;0,K8&lt;0)),SUBTOTAL(2,$K$3:K8),IF(AND(G8=0,OR(K8&gt;0,K8&lt;0)),SUBTOTAL(2,$K$3:K8)+200,""))))&gt;200,"",1)))</f>
        <v/>
      </c>
      <c r="N8" s="214" t="str">
        <f>IF($AM$1=TRUE,IF(K8="","",IF(IF($AE$2="",IF(K8="","",SUBTOTAL(2,$K$3:K8)),IF(AND(G8&gt;=0,K8=""),"",IF(AND(G8&gt;0,OR(K8&gt;0,K8&lt;0)),SUBTOTAL(2,$K$3:K8),IF(AND(G8=0,OR(K8&gt;0,K8&lt;0)),SUBTOTAL(2,$K$3:K8)+200,""))))&lt;=200,"",2)),IF(K8="","",IF(IF($AE$2="",IF(K8="","",SUBTOTAL(2,$K$3:K8)),IF(AND(G8&gt;=0,K8=""),"",IF(AND(G8&gt;0,OR(K8&gt;0,K8&lt;0)),SUBTOTAL(2,$K$3:K8),IF(AND(G8=0,OR(K8&gt;0,K8&lt;0)),SUBTOTAL(2,$K$3:K8)+200,""))))&lt;=200,"",2)))</f>
        <v/>
      </c>
      <c r="O8" s="533">
        <f>IF(Q8="",0%,20%)</f>
        <v>0.2</v>
      </c>
      <c r="P8" s="375">
        <f>IF(AND($AB$2=R8,($L$3+$L$14)=0),ROUND(($AF$7-$Y$26)*O8,0),IF($AB$2=R8,ROUND((($L$3+$L$14)/$Y$8*100%*O8)/(T8*V8),0),0))</f>
        <v>0</v>
      </c>
      <c r="Q8" s="547">
        <v>0</v>
      </c>
      <c r="R8" s="376" t="s">
        <v>102</v>
      </c>
      <c r="S8" s="377" t="s">
        <v>104</v>
      </c>
      <c r="T8" s="732">
        <f>IF($AE$2="",IF($Y$1=2023,예산평균!AE26,예산평균!AF26),예산평균!AE26)</f>
        <v>75840</v>
      </c>
      <c r="U8" s="371">
        <f t="shared" ref="U8:U27" si="1">IF(OR(Q8="",Q8=0),P8,Q8)</f>
        <v>0</v>
      </c>
      <c r="V8" s="557">
        <f>V7</f>
        <v>30.4</v>
      </c>
      <c r="X8" s="380" t="s">
        <v>158</v>
      </c>
      <c r="Y8" s="894">
        <f>IF(예산실적비교표!$B$3=0,12,예산실적비교표!$B$3)</f>
        <v>12</v>
      </c>
      <c r="Z8" s="943">
        <f>DATE($Y$1,IF(Y8=12,1,12-Y8+1),1)</f>
        <v>44927</v>
      </c>
      <c r="AA8" s="355" t="s">
        <v>658</v>
      </c>
      <c r="AB8" s="1373" t="str">
        <f>IF(예산실적비교표!$E$6="","00",예산실적비교표!$E$6)</f>
        <v>00</v>
      </c>
      <c r="AC8" s="382" t="s">
        <v>659</v>
      </c>
      <c r="AD8" s="1371" t="str">
        <f>IF(예산실적비교표!$G$6="","00",예산실적비교표!$G$6)</f>
        <v>01</v>
      </c>
      <c r="AE8" s="383" t="s">
        <v>660</v>
      </c>
      <c r="AF8" s="1372" t="str">
        <f>IF(예산실적비교표!$I$6="","00",예산실적비교표!$I$6)</f>
        <v>02</v>
      </c>
      <c r="AH8" s="384" t="s">
        <v>106</v>
      </c>
      <c r="AI8" s="1516" t="s">
        <v>221</v>
      </c>
      <c r="AJ8" s="1517"/>
      <c r="AL8" s="1042" t="s">
        <v>106</v>
      </c>
      <c r="AM8" s="1483" t="s">
        <v>221</v>
      </c>
      <c r="AN8" s="1484"/>
      <c r="AP8" s="1596" t="str">
        <f>"월별 보수일람표 ("&amp;표지!$B$2&amp;")"</f>
        <v>월별 보수일람표 (2023년도 예산서(추경2차))</v>
      </c>
      <c r="AQ8" s="1597"/>
      <c r="AR8" s="1597"/>
      <c r="AS8" s="1597"/>
      <c r="AT8" s="1597"/>
      <c r="AU8" s="1597"/>
      <c r="AV8" s="1597"/>
      <c r="AW8" s="1597"/>
      <c r="AX8" s="1597"/>
      <c r="AY8" s="1086"/>
      <c r="AZ8" s="1086"/>
      <c r="BA8" s="214"/>
      <c r="BB8" s="214"/>
      <c r="BC8" s="214"/>
      <c r="BD8" s="214"/>
    </row>
    <row r="9" spans="1:58" ht="17.25" customHeight="1" thickBot="1">
      <c r="A9" s="1046" t="str">
        <f>IF($AM$1=TRUE,IF(K9="","",SUBTOTAL(2,$K$3:K9)),IF(AND(M9="",N9=""),"",IF(N9="",COUNT($M$3:M9),COUNT($N$3:N9)+200)))</f>
        <v/>
      </c>
      <c r="B9" s="365" t="s">
        <v>12</v>
      </c>
      <c r="C9" s="365" t="s">
        <v>523</v>
      </c>
      <c r="D9" s="364">
        <v>403010101</v>
      </c>
      <c r="E9" s="364" t="s">
        <v>83</v>
      </c>
      <c r="F9" s="364" t="s">
        <v>6</v>
      </c>
      <c r="G9" s="366">
        <f>IFERROR(IF($E9="06",VLOOKUP($B9,예산실적비교표!$O$7:$R$200,2,FALSE),0),0)</f>
        <v>0</v>
      </c>
      <c r="H9" s="366">
        <f>IFERROR(IF($E9="06",VLOOKUP($C9,세입예산서!$K$3:$X$205,12,FALSE),0),0)</f>
        <v>0</v>
      </c>
      <c r="I9" s="366">
        <f>IFERROR(IF($E9="07",VLOOKUP($C9,세입예산서!$K$3:$X$205,13,FALSE),0),0)</f>
        <v>0</v>
      </c>
      <c r="J9" s="366">
        <f>IFERROR(IF($E9="05",VLOOKUP($C9,세입예산서!$K$3:$X$205,14,FALSE),0),0)</f>
        <v>0</v>
      </c>
      <c r="K9" s="366" t="str">
        <f t="shared" si="0"/>
        <v/>
      </c>
      <c r="L9" s="367">
        <f>IFERROR(IF($AB$2="",0,ROUNDUP(VLOOKUP($B9,예산실적비교표!$O$7:$R$200,3,FALSE)*$Y$6/$Y$9,-3)*$Y$8),0)</f>
        <v>0</v>
      </c>
      <c r="M9" s="708" t="str">
        <f>IF($AM$1=TRUE,IF(K9="","",IF(IF($AE$2="",IF(K9="","",SUBTOTAL(2,$K$3:K9)),IF(AND(G9&gt;=0,K9=""),"",IF(AND(G9&gt;0,OR(K9&gt;0,K9&lt;0)),SUBTOTAL(2,$K$3:K9),IF(AND(G9=0,OR(K9&gt;0,K9&lt;0)),SUBTOTAL(2,$K$3:K9)+200,""))))&gt;200,"",1)),IF(K9="","",IF(IF($AE$2="",IF(K9="","",SUBTOTAL(2,$K$3:K9)),IF(AND(G9&gt;=0,K9=""),"",IF(AND(G9&gt;0,OR(K9&gt;0,K9&lt;0)),SUBTOTAL(2,$K$3:K9),IF(AND(G9=0,OR(K9&gt;0,K9&lt;0)),SUBTOTAL(2,$K$3:K9)+200,""))))&gt;200,"",1)))</f>
        <v/>
      </c>
      <c r="N9" s="214" t="str">
        <f>IF($AM$1=TRUE,IF(K9="","",IF(IF($AE$2="",IF(K9="","",SUBTOTAL(2,$K$3:K9)),IF(AND(G9&gt;=0,K9=""),"",IF(AND(G9&gt;0,OR(K9&gt;0,K9&lt;0)),SUBTOTAL(2,$K$3:K9),IF(AND(G9=0,OR(K9&gt;0,K9&lt;0)),SUBTOTAL(2,$K$3:K9)+200,""))))&lt;=200,"",2)),IF(K9="","",IF(IF($AE$2="",IF(K9="","",SUBTOTAL(2,$K$3:K9)),IF(AND(G9&gt;=0,K9=""),"",IF(AND(G9&gt;0,OR(K9&gt;0,K9&lt;0)),SUBTOTAL(2,$K$3:K9),IF(AND(G9=0,OR(K9&gt;0,K9&lt;0)),SUBTOTAL(2,$K$3:K9)+200,""))))&lt;=200,"",2)))</f>
        <v/>
      </c>
      <c r="O9" s="533">
        <f>IF(Q9="",0%,70%)</f>
        <v>0.7</v>
      </c>
      <c r="P9" s="375">
        <f>IF($AB$2=R9,IF(OR($AF$7=0,$AF$7=""),ROUND((($L$3+$L$14)/$Y$8*100%*O9)/(T9*V9),0),$AF$7-Y26-데이터입력!P7-데이터입력!P8),0)</f>
        <v>0</v>
      </c>
      <c r="Q9" s="547">
        <v>0</v>
      </c>
      <c r="R9" s="376" t="s">
        <v>102</v>
      </c>
      <c r="S9" s="377" t="s">
        <v>105</v>
      </c>
      <c r="T9" s="732">
        <f>IF($AE$2="",IF($Y$1=2023,예산평균!AE27,예산평균!AF27),예산평균!AE27)</f>
        <v>71620</v>
      </c>
      <c r="U9" s="371">
        <f t="shared" si="1"/>
        <v>0</v>
      </c>
      <c r="V9" s="557">
        <f>V7</f>
        <v>30.4</v>
      </c>
      <c r="X9" s="381" t="s">
        <v>717</v>
      </c>
      <c r="Y9" s="944">
        <f>IF(예산실적비교표!I3=0,$Y$8,예산실적비교표!I3)</f>
        <v>9</v>
      </c>
      <c r="Z9" s="945">
        <f>DATE($Y$1,12,31)</f>
        <v>45291</v>
      </c>
      <c r="AA9" s="1493" t="s">
        <v>159</v>
      </c>
      <c r="AB9" s="1494"/>
      <c r="AC9" s="1495" t="str">
        <f>IF(예산실적비교표!$F$7="","일반사업[일반]",예산실적비교표!$F$7)</f>
        <v>일반사업[일반]</v>
      </c>
      <c r="AD9" s="1496"/>
      <c r="AE9" s="1497"/>
      <c r="AF9" s="385" t="s">
        <v>157</v>
      </c>
      <c r="AH9" s="384" t="s">
        <v>108</v>
      </c>
      <c r="AI9" s="1516" t="s">
        <v>222</v>
      </c>
      <c r="AJ9" s="1517"/>
      <c r="AL9" s="1042" t="s">
        <v>108</v>
      </c>
      <c r="AM9" s="1483" t="s">
        <v>237</v>
      </c>
      <c r="AN9" s="1484"/>
      <c r="AP9" s="1598"/>
      <c r="AQ9" s="1599"/>
      <c r="AR9" s="1599"/>
      <c r="AS9" s="1599"/>
      <c r="AT9" s="1599"/>
      <c r="AU9" s="1599"/>
      <c r="AV9" s="1599"/>
      <c r="AW9" s="1599"/>
      <c r="AX9" s="1599"/>
      <c r="AY9" s="1086"/>
      <c r="AZ9" s="1086"/>
      <c r="BA9" s="214"/>
      <c r="BB9" s="214"/>
      <c r="BC9" s="214"/>
      <c r="BD9" s="214"/>
    </row>
    <row r="10" spans="1:58" ht="24.75" thickBot="1">
      <c r="A10" s="1046" t="str">
        <f>IF($AM$1=TRUE,IF(K10="","",SUBTOTAL(2,$K$3:K10)),IF(AND(M10="",N10=""),"",IF(N10="",COUNT($M$3:M10),COUNT($N$3:N10)+200)))</f>
        <v/>
      </c>
      <c r="B10" s="365" t="s">
        <v>13</v>
      </c>
      <c r="C10" s="365" t="s">
        <v>548</v>
      </c>
      <c r="D10" s="364">
        <v>404010101</v>
      </c>
      <c r="E10" s="364" t="s">
        <v>83</v>
      </c>
      <c r="F10" s="364" t="s">
        <v>6</v>
      </c>
      <c r="G10" s="366">
        <f>IFERROR(IF($E10="06",VLOOKUP($B10,예산실적비교표!$O$7:$R$200,2,FALSE),0),0)</f>
        <v>0</v>
      </c>
      <c r="H10" s="366">
        <f>IFERROR(IF($E10="06",VLOOKUP($C10,세입예산서!$K$3:$X$205,12,FALSE),0),0)</f>
        <v>0</v>
      </c>
      <c r="I10" s="366">
        <f>IFERROR(IF($E10="07",VLOOKUP($C10,세입예산서!$K$3:$X$205,13,FALSE),0),0)</f>
        <v>0</v>
      </c>
      <c r="J10" s="366">
        <f>IFERROR(IF($E10="05",VLOOKUP($C10,세입예산서!$K$3:$X$205,14,FALSE),0),0)</f>
        <v>0</v>
      </c>
      <c r="K10" s="366" t="str">
        <f t="shared" si="0"/>
        <v/>
      </c>
      <c r="L10" s="367">
        <f>IFERROR(IF($AB$2="",0,ROUNDUP(VLOOKUP($B10,예산실적비교표!$O$7:$R$200,3,FALSE)*$Y$6/$Y$9,-3)*$Y$8),0)</f>
        <v>0</v>
      </c>
      <c r="M10" s="708" t="str">
        <f>IF($AM$1=TRUE,IF(K10="","",IF(IF($AE$2="",IF(K10="","",SUBTOTAL(2,$K$3:K10)),IF(AND(G10&gt;=0,K10=""),"",IF(AND(G10&gt;0,OR(K10&gt;0,K10&lt;0)),SUBTOTAL(2,$K$3:K10),IF(AND(G10=0,OR(K10&gt;0,K10&lt;0)),SUBTOTAL(2,$K$3:K10)+200,""))))&gt;200,"",1)),IF(K10="","",IF(IF($AE$2="",IF(K10="","",SUBTOTAL(2,$K$3:K10)),IF(AND(G10&gt;=0,K10=""),"",IF(AND(G10&gt;0,OR(K10&gt;0,K10&lt;0)),SUBTOTAL(2,$K$3:K10),IF(AND(G10=0,OR(K10&gt;0,K10&lt;0)),SUBTOTAL(2,$K$3:K10)+200,""))))&gt;200,"",1)))</f>
        <v/>
      </c>
      <c r="N10" s="214" t="str">
        <f>IF($AM$1=TRUE,IF(K10="","",IF(IF($AE$2="",IF(K10="","",SUBTOTAL(2,$K$3:K10)),IF(AND(G10&gt;=0,K10=""),"",IF(AND(G10&gt;0,OR(K10&gt;0,K10&lt;0)),SUBTOTAL(2,$K$3:K10),IF(AND(G10=0,OR(K10&gt;0,K10&lt;0)),SUBTOTAL(2,$K$3:K10)+200,""))))&lt;=200,"",2)),IF(K10="","",IF(IF($AE$2="",IF(K10="","",SUBTOTAL(2,$K$3:K10)),IF(AND(G10&gt;=0,K10=""),"",IF(AND(G10&gt;0,OR(K10&gt;0,K10&lt;0)),SUBTOTAL(2,$K$3:K10),IF(AND(G10=0,OR(K10&gt;0,K10&lt;0)),SUBTOTAL(2,$K$3:K10)+200,""))))&lt;=200,"",2)))</f>
        <v/>
      </c>
      <c r="O10" s="533">
        <f>IF(Q10="",0%,10%)</f>
        <v>0.1</v>
      </c>
      <c r="P10" s="375">
        <f>IF(AND($AB$2=R10,($L$3+$L$14)=0),ROUND(($AF$7-$Y$26)*O10,0),IF($AB$2=R10,ROUND((($L$3+$L$14)/$Y$8*100%*O10)/(T10*V10),0),0))</f>
        <v>0</v>
      </c>
      <c r="Q10" s="547">
        <v>0</v>
      </c>
      <c r="R10" s="376" t="s">
        <v>106</v>
      </c>
      <c r="S10" s="377" t="s">
        <v>107</v>
      </c>
      <c r="T10" s="732">
        <f>IF($AE$2="",IF($Y$1=2023,예산평균!AE28,예산평균!AF28),예산평균!AE28)</f>
        <v>68780</v>
      </c>
      <c r="U10" s="371">
        <f t="shared" si="1"/>
        <v>0</v>
      </c>
      <c r="V10" s="557">
        <v>30.4</v>
      </c>
      <c r="X10" s="386" t="s">
        <v>718</v>
      </c>
      <c r="Y10" s="1374">
        <f>IF(예산실적비교표!I4=0,Y9,예산실적비교표!I4)</f>
        <v>9</v>
      </c>
      <c r="Z10" s="945">
        <f>DATE($Y$1,12,31)</f>
        <v>45291</v>
      </c>
      <c r="AA10" s="1510" t="s">
        <v>157</v>
      </c>
      <c r="AB10" s="1511"/>
      <c r="AC10" s="1512" t="str">
        <f>IFERROR(IF($AF$10=1,VLOOKUP($AB$2,$AH$7:$AJ$15,2,FALSE),VLOOKUP($AB$2,$AL$7:$AN$15,2,FALSE)),"")</f>
        <v>재가노인복지시설 주야간보호</v>
      </c>
      <c r="AD10" s="1512"/>
      <c r="AE10" s="1513"/>
      <c r="AF10" s="579">
        <f>IF(예산실적비교표!$I$8="",1,예산실적비교표!$I$8)</f>
        <v>1</v>
      </c>
      <c r="AH10" s="384" t="s">
        <v>112</v>
      </c>
      <c r="AI10" s="1516" t="s">
        <v>223</v>
      </c>
      <c r="AJ10" s="1517"/>
      <c r="AL10" s="1042" t="s">
        <v>112</v>
      </c>
      <c r="AM10" s="1483" t="s">
        <v>238</v>
      </c>
      <c r="AN10" s="1484"/>
      <c r="AP10" s="1106" t="s">
        <v>472</v>
      </c>
      <c r="AQ10" s="1107" t="s">
        <v>743</v>
      </c>
      <c r="AR10" s="1107" t="s">
        <v>251</v>
      </c>
      <c r="AS10" s="1108" t="s">
        <v>435</v>
      </c>
      <c r="AT10" s="1109" t="s">
        <v>477</v>
      </c>
      <c r="AU10" s="1110" t="s">
        <v>436</v>
      </c>
      <c r="AV10" s="1107" t="s">
        <v>475</v>
      </c>
      <c r="AW10" s="1108" t="s">
        <v>476</v>
      </c>
      <c r="AX10" s="1109" t="s">
        <v>478</v>
      </c>
      <c r="AY10" s="1109" t="s">
        <v>714</v>
      </c>
      <c r="AZ10" s="1109" t="s">
        <v>715</v>
      </c>
      <c r="BA10" s="1111" t="s">
        <v>479</v>
      </c>
      <c r="BB10" s="1112" t="s">
        <v>480</v>
      </c>
      <c r="BC10" s="1113" t="s">
        <v>481</v>
      </c>
      <c r="BD10" s="1113" t="s">
        <v>482</v>
      </c>
    </row>
    <row r="11" spans="1:58" ht="18" thickTop="1" thickBot="1">
      <c r="A11" s="1046" t="str">
        <f>IF($AM$1=TRUE,IF(K11="","",SUBTOTAL(2,$K$3:K11)),IF(AND(M11="",N11=""),"",IF(N11="",COUNT($M$3:M11),COUNT($N$3:N11)+200)))</f>
        <v/>
      </c>
      <c r="B11" s="365" t="s">
        <v>15</v>
      </c>
      <c r="C11" s="365" t="s">
        <v>549</v>
      </c>
      <c r="D11" s="364">
        <v>404010201</v>
      </c>
      <c r="E11" s="364" t="s">
        <v>83</v>
      </c>
      <c r="F11" s="364" t="s">
        <v>6</v>
      </c>
      <c r="G11" s="366">
        <f>IFERROR(IF($E11="06",VLOOKUP($B11,예산실적비교표!$O$7:$R$200,2,FALSE),0),0)</f>
        <v>0</v>
      </c>
      <c r="H11" s="366">
        <f>IFERROR(IF($E11="06",VLOOKUP($C11,세입예산서!$K$3:$X$205,12,FALSE),0),0)</f>
        <v>0</v>
      </c>
      <c r="I11" s="366">
        <f>IFERROR(IF($E11="07",VLOOKUP($C11,세입예산서!$K$3:$X$205,13,FALSE),0),0)</f>
        <v>0</v>
      </c>
      <c r="J11" s="366">
        <f>IFERROR(IF($E11="05",VLOOKUP($C11,세입예산서!$K$3:$X$205,14,FALSE),0),0)</f>
        <v>0</v>
      </c>
      <c r="K11" s="366" t="str">
        <f t="shared" si="0"/>
        <v/>
      </c>
      <c r="L11" s="367">
        <f>IFERROR(IF($AB$2="",0,ROUNDUP(VLOOKUP($B11,예산실적비교표!$O$7:$R$200,3,FALSE)*$Y$6/$Y$9,-3)*$Y$8),0)</f>
        <v>0</v>
      </c>
      <c r="M11" s="708" t="str">
        <f>IF($AM$1=TRUE,IF(K11="","",IF(IF($AE$2="",IF(K11="","",SUBTOTAL(2,$K$3:K11)),IF(AND(G11&gt;=0,K11=""),"",IF(AND(G11&gt;0,OR(K11&gt;0,K11&lt;0)),SUBTOTAL(2,$K$3:K11),IF(AND(G11=0,OR(K11&gt;0,K11&lt;0)),SUBTOTAL(2,$K$3:K11)+200,""))))&gt;200,"",1)),IF(K11="","",IF(IF($AE$2="",IF(K11="","",SUBTOTAL(2,$K$3:K11)),IF(AND(G11&gt;=0,K11=""),"",IF(AND(G11&gt;0,OR(K11&gt;0,K11&lt;0)),SUBTOTAL(2,$K$3:K11),IF(AND(G11=0,OR(K11&gt;0,K11&lt;0)),SUBTOTAL(2,$K$3:K11)+200,""))))&gt;200,"",1)))</f>
        <v/>
      </c>
      <c r="N11" s="214" t="str">
        <f>IF($AM$1=TRUE,IF(K11="","",IF(IF($AE$2="",IF(K11="","",SUBTOTAL(2,$K$3:K11)),IF(AND(G11&gt;=0,K11=""),"",IF(AND(G11&gt;0,OR(K11&gt;0,K11&lt;0)),SUBTOTAL(2,$K$3:K11),IF(AND(G11=0,OR(K11&gt;0,K11&lt;0)),SUBTOTAL(2,$K$3:K11)+200,""))))&lt;=200,"",2)),IF(K11="","",IF(IF($AE$2="",IF(K11="","",SUBTOTAL(2,$K$3:K11)),IF(AND(G11&gt;=0,K11=""),"",IF(AND(G11&gt;0,OR(K11&gt;0,K11&lt;0)),SUBTOTAL(2,$K$3:K11),IF(AND(G11=0,OR(K11&gt;0,K11&lt;0)),SUBTOTAL(2,$K$3:K11)+200,""))))&lt;=200,"",2)))</f>
        <v/>
      </c>
      <c r="O11" s="533">
        <f>IF(Q11="",0%,20%)</f>
        <v>0.2</v>
      </c>
      <c r="P11" s="375">
        <f>IF(AND($AB$2=R11,($L$3+$L$14)=0),ROUND(($AF$7-$Y$26)*O11,0),IF($AB$2=R11,ROUND((($L$3+$L$14)/$Y$8*100%*O11)/(T11*V11),0),0))</f>
        <v>0</v>
      </c>
      <c r="Q11" s="547">
        <v>0</v>
      </c>
      <c r="R11" s="376" t="s">
        <v>106</v>
      </c>
      <c r="S11" s="377" t="s">
        <v>104</v>
      </c>
      <c r="T11" s="732">
        <f>IF($AE$2="",IF($Y$1=2023,예산평균!AE29,예산평균!AF29),예산평균!AE29)</f>
        <v>63820</v>
      </c>
      <c r="U11" s="371">
        <f t="shared" si="1"/>
        <v>0</v>
      </c>
      <c r="V11" s="557">
        <f>V10</f>
        <v>30.4</v>
      </c>
      <c r="X11" s="1534" t="s">
        <v>245</v>
      </c>
      <c r="Y11" s="1535"/>
      <c r="Z11" s="1536"/>
      <c r="AA11" s="1531" t="s">
        <v>210</v>
      </c>
      <c r="AB11" s="1532"/>
      <c r="AC11" s="1532"/>
      <c r="AD11" s="1533"/>
      <c r="AE11" s="939" t="str">
        <f>IFERROR("간접퇴직금비율("&amp;ROUND(L49/H49*100,0)&amp;"%)","간접퇴직금비율")</f>
        <v>간접퇴직금비율(39%)</v>
      </c>
      <c r="AF11" s="940" t="str">
        <f>IFERROR("직접퇴직금비율("&amp;ROUND(L48/H48*100,0)&amp;"%)","직접퇴직금비율")</f>
        <v>직접퇴직금비율(80%)</v>
      </c>
      <c r="AH11" s="384" t="s">
        <v>224</v>
      </c>
      <c r="AI11" s="1516" t="s">
        <v>225</v>
      </c>
      <c r="AJ11" s="1517"/>
      <c r="AL11" s="1042" t="s">
        <v>224</v>
      </c>
      <c r="AM11" s="1483" t="s">
        <v>651</v>
      </c>
      <c r="AN11" s="1484" t="s">
        <v>239</v>
      </c>
      <c r="AP11" s="1128" t="s">
        <v>829</v>
      </c>
      <c r="AQ11" s="1129" t="s">
        <v>830</v>
      </c>
      <c r="AR11" s="1130">
        <v>2100000</v>
      </c>
      <c r="AS11" s="1131">
        <f>IF(예산실적비교표!AO11&lt;&gt;"",예산실적비교표!AO11,0)</f>
        <v>0</v>
      </c>
      <c r="AT11" s="1118">
        <f>IFERROR(ROUND((AR11+AS11)*$AR$1,-3),0)</f>
        <v>2100000</v>
      </c>
      <c r="AU11" s="1132">
        <f>IF(예산실적비교표!AQ11&lt;&gt;"",예산실적비교표!AQ11,0)</f>
        <v>0</v>
      </c>
      <c r="AV11" s="1120">
        <f t="shared" ref="AV11" si="2">IF(BB11="",0,BB11)</f>
        <v>175000</v>
      </c>
      <c r="AW11" s="1121">
        <f>IF(AR11="","",ROUND((AT11*$AT$7)*데이터입력!$AE$14+(AT11*$AU$7)*데이터입력!$AE$14+(AT11*$AU$7*$AV$7)*데이터입력!$AE$14+(AT11*$AW$7)*데이터입력!$AE$14+(AT11*$AX$7)*데이터입력!$AE$14,-1))</f>
        <v>307500</v>
      </c>
      <c r="AX11" s="1122">
        <f t="shared" ref="AX11" si="3">IF(SUM(AT11:AW11)=0,0,SUM(AT11:AW11))</f>
        <v>2582500</v>
      </c>
      <c r="AY11" s="1123">
        <f>IFERROR(IF(AR11+AS11=0,0,ROUND(IF(데이터입력!$AE$14=100%,ROUND(AR11*$AR$1,-3),ROUND(AR11*$AR$1,-3)-ROUND(((AR11*$AR$1)*$AT$4)*(데이터입력!$AE$14-100%)+((AR11*$AR$1)*$AU$4)*(데이터입력!$AE$14-100%)+((AR11*$AR$1)*$AU$4*$AV$4)*(데이터입력!$AE$14-100%)+((AR11*$AR$1)*$AW$4)*(데이터입력!$AE$14-100%),-1)),0)),0)</f>
        <v>2021050</v>
      </c>
      <c r="AZ11" s="1124">
        <f>IFERROR(IF(AR11+AS11=0,0,IF(데이터입력!$AE$12=100%,(AT11),(AT11)+ROUND(AT11*(데이터입력!$AE$12-100%),-1))),0)</f>
        <v>2100000</v>
      </c>
      <c r="BA11" s="1263">
        <f t="shared" ref="BA11" si="4">IFERROR(IF(AZ11=0,"",ROUND(AZ11/12,0)),0)</f>
        <v>175000</v>
      </c>
      <c r="BB11" s="1264">
        <f>IF(BA11="","",IF(데이터입력!$O$68="",ROUND(AZ11/12,0),ROUND(데이터입력!$O$68/데이터입력!$Y$8/$BC$11,0)))</f>
        <v>175000</v>
      </c>
      <c r="BC11" s="1127">
        <f>COUNT($BA$11:$BA$60)</f>
        <v>3</v>
      </c>
      <c r="BD11" s="1127">
        <f>IF((COUNTA(AP11:AP60)-COUNTIF(AP11:AP60,""))&lt;0,COUNTA(AP11:AP60),COUNTA(AP11:AP60)-COUNTIF(AP11:AP60,""))</f>
        <v>3</v>
      </c>
    </row>
    <row r="12" spans="1:58" ht="17.25" thickBot="1">
      <c r="A12" s="1046" t="str">
        <f>IF($AM$1=TRUE,IF(K12="","",SUBTOTAL(2,$K$3:K12)),IF(AND(M12="",N12=""),"",IF(N12="",COUNT($M$3:M12),COUNT($N$3:N12)+200)))</f>
        <v/>
      </c>
      <c r="B12" s="365" t="s">
        <v>16</v>
      </c>
      <c r="C12" s="365" t="s">
        <v>550</v>
      </c>
      <c r="D12" s="364">
        <v>404010301</v>
      </c>
      <c r="E12" s="364" t="s">
        <v>83</v>
      </c>
      <c r="F12" s="364" t="s">
        <v>6</v>
      </c>
      <c r="G12" s="366">
        <f>IFERROR(IF($E12="06",VLOOKUP($B12,예산실적비교표!$O$7:$R$200,2,FALSE),0),0)</f>
        <v>0</v>
      </c>
      <c r="H12" s="366">
        <f>IFERROR(IF($E12="06",VLOOKUP($C12,세입예산서!$K$3:$X$205,12,FALSE),0),0)</f>
        <v>0</v>
      </c>
      <c r="I12" s="366">
        <f>IFERROR(IF($E12="07",VLOOKUP($C12,세입예산서!$K$3:$X$205,13,FALSE),0),0)</f>
        <v>0</v>
      </c>
      <c r="J12" s="366">
        <f>IFERROR(IF($E12="05",VLOOKUP($C12,세입예산서!$K$3:$X$205,14,FALSE),0),0)</f>
        <v>0</v>
      </c>
      <c r="K12" s="366" t="str">
        <f t="shared" si="0"/>
        <v/>
      </c>
      <c r="L12" s="367">
        <f>IFERROR(IF($AB$2="",0,ROUNDUP(VLOOKUP($B12,예산실적비교표!$O$7:$R$200,3,FALSE)*$Y$6/$Y$9,-3)*$Y$8),0)</f>
        <v>0</v>
      </c>
      <c r="M12" s="708" t="str">
        <f>IF($AM$1=TRUE,IF(K12="","",IF(IF($AE$2="",IF(K12="","",SUBTOTAL(2,$K$3:K12)),IF(AND(G12&gt;=0,K12=""),"",IF(AND(G12&gt;0,OR(K12&gt;0,K12&lt;0)),SUBTOTAL(2,$K$3:K12),IF(AND(G12=0,OR(K12&gt;0,K12&lt;0)),SUBTOTAL(2,$K$3:K12)+200,""))))&gt;200,"",1)),IF(K12="","",IF(IF($AE$2="",IF(K12="","",SUBTOTAL(2,$K$3:K12)),IF(AND(G12&gt;=0,K12=""),"",IF(AND(G12&gt;0,OR(K12&gt;0,K12&lt;0)),SUBTOTAL(2,$K$3:K12),IF(AND(G12=0,OR(K12&gt;0,K12&lt;0)),SUBTOTAL(2,$K$3:K12)+200,""))))&gt;200,"",1)))</f>
        <v/>
      </c>
      <c r="N12" s="214" t="str">
        <f>IF($AM$1=TRUE,IF(K12="","",IF(IF($AE$2="",IF(K12="","",SUBTOTAL(2,$K$3:K12)),IF(AND(G12&gt;=0,K12=""),"",IF(AND(G12&gt;0,OR(K12&gt;0,K12&lt;0)),SUBTOTAL(2,$K$3:K12),IF(AND(G12=0,OR(K12&gt;0,K12&lt;0)),SUBTOTAL(2,$K$3:K12)+200,""))))&lt;=200,"",2)),IF(K12="","",IF(IF($AE$2="",IF(K12="","",SUBTOTAL(2,$K$3:K12)),IF(AND(G12&gt;=0,K12=""),"",IF(AND(G12&gt;0,OR(K12&gt;0,K12&lt;0)),SUBTOTAL(2,$K$3:K12),IF(AND(G12=0,OR(K12&gt;0,K12&lt;0)),SUBTOTAL(2,$K$3:K12)+200,""))))&lt;=200,"",2)))</f>
        <v/>
      </c>
      <c r="O12" s="533">
        <f>IF(Q12="",0%,70%)</f>
        <v>0.7</v>
      </c>
      <c r="P12" s="375">
        <f>IF($AB$2=R12,IF(OR($AF$7=0,$AF$7=""),ROUND((($L$3+$L$14)/$Y$8*100%*O12)/(T12*V12),0),$AF$7-Y26-데이터입력!P10-데이터입력!P11),0)</f>
        <v>0</v>
      </c>
      <c r="Q12" s="547">
        <v>0</v>
      </c>
      <c r="R12" s="376" t="s">
        <v>106</v>
      </c>
      <c r="S12" s="377" t="s">
        <v>105</v>
      </c>
      <c r="T12" s="732">
        <f>IF($AE$2="",IF($Y$1=2023,예산평균!AE30,예산평균!AF30),예산평균!AE30)</f>
        <v>58830</v>
      </c>
      <c r="U12" s="371">
        <f t="shared" si="1"/>
        <v>0</v>
      </c>
      <c r="V12" s="557">
        <f>V10</f>
        <v>30.4</v>
      </c>
      <c r="X12" s="387" t="s">
        <v>160</v>
      </c>
      <c r="Y12" s="1529">
        <f>IFERROR(ROUNDDOWN(Y14/Y13,3),)</f>
        <v>0.50700000000000001</v>
      </c>
      <c r="Z12" s="1530"/>
      <c r="AA12" s="653" t="s">
        <v>161</v>
      </c>
      <c r="AB12" s="1345">
        <f>IF($AE$2="",IF($Y$1=2023,예산평균!AD3,예산평균!AE3),예산평균!AD3)</f>
        <v>4.4999999999999998E-2</v>
      </c>
      <c r="AC12" s="359" t="s">
        <v>712</v>
      </c>
      <c r="AD12" s="928">
        <f>IF($AE$2="",IF($Y$1=2023,예산평균!AD6,예산평균!AE6),예산평균!AD6)</f>
        <v>8.9999999999999993E-3</v>
      </c>
      <c r="AE12" s="941">
        <v>1</v>
      </c>
      <c r="AF12" s="942">
        <v>1</v>
      </c>
      <c r="AH12" s="384" t="s">
        <v>226</v>
      </c>
      <c r="AI12" s="1516" t="s">
        <v>227</v>
      </c>
      <c r="AJ12" s="1517"/>
      <c r="AL12" s="1042" t="s">
        <v>226</v>
      </c>
      <c r="AM12" s="1483" t="s">
        <v>240</v>
      </c>
      <c r="AN12" s="1484" t="s">
        <v>240</v>
      </c>
      <c r="AP12" s="1128" t="s">
        <v>831</v>
      </c>
      <c r="AQ12" s="1129" t="s">
        <v>832</v>
      </c>
      <c r="AR12" s="1130">
        <v>2100000</v>
      </c>
      <c r="AS12" s="1131">
        <f>IF(예산실적비교표!AO12&lt;&gt;"",예산실적비교표!AO12,0)</f>
        <v>0</v>
      </c>
      <c r="AT12" s="1118">
        <f t="shared" ref="AT12:AT60" si="5">IFERROR(ROUND((AR12+AS12)*$AR$1,-3),0)</f>
        <v>2100000</v>
      </c>
      <c r="AU12" s="1132">
        <f>IF(예산실적비교표!AQ12&lt;&gt;"",예산실적비교표!AQ12,0)</f>
        <v>0</v>
      </c>
      <c r="AV12" s="1120">
        <f t="shared" ref="AV12:AV60" si="6">IF(BB12="",0,BB12)</f>
        <v>175000</v>
      </c>
      <c r="AW12" s="1121">
        <f>IF(AR12="","",ROUND((AT12*$AT$7)*데이터입력!$AE$14+(AT12*$AU$7)*데이터입력!$AE$14+(AT12*$AU$7*$AV$7)*데이터입력!$AE$14+(AT12*$AW$7)*데이터입력!$AE$14+(AT12*$AX$7)*데이터입력!$AE$14,-1))</f>
        <v>307500</v>
      </c>
      <c r="AX12" s="1122">
        <f t="shared" ref="AX12:AX60" si="7">IF(SUM(AT12:AW12)=0,0,SUM(AT12:AW12))</f>
        <v>2582500</v>
      </c>
      <c r="AY12" s="1123">
        <f>IFERROR(IF(AR12+AS12=0,0,ROUND(IF(데이터입력!$AE$14=100%,ROUND(AR12*$AR$1,-3),ROUND(AR12*$AR$1,-3)-ROUND(((AR12*$AR$1)*$AT$4)*(데이터입력!$AE$14-100%)+((AR12*$AR$1)*$AU$4)*(데이터입력!$AE$14-100%)+((AR12*$AR$1)*$AU$4*$AV$4)*(데이터입력!$AE$14-100%)+((AR12*$AR$1)*$AW$4)*(데이터입력!$AE$14-100%),-1)),0)),0)</f>
        <v>2021050</v>
      </c>
      <c r="AZ12" s="1124">
        <f>IFERROR(IF(AR12+AS12=0,0,IF(데이터입력!$AE$12=100%,(AT12),(AT12)+ROUND(AT12*(데이터입력!$AE$12-100%),-1))),0)</f>
        <v>2100000</v>
      </c>
      <c r="BA12" s="1263">
        <f t="shared" ref="BA12:BA60" si="8">IFERROR(IF(AZ12=0,"",ROUND(AZ12/12,0)),0)</f>
        <v>175000</v>
      </c>
      <c r="BB12" s="1264">
        <f>IF(BA12="","",IF(데이터입력!$O$68="",ROUND(AZ12/12,0),ROUND(데이터입력!$O$68/데이터입력!$Y$8/$BC$11,0)))</f>
        <v>175000</v>
      </c>
      <c r="BC12" s="1135" t="s">
        <v>664</v>
      </c>
      <c r="BD12" s="1136" t="s">
        <v>129</v>
      </c>
      <c r="BE12" s="1136" t="s">
        <v>662</v>
      </c>
      <c r="BF12" s="1137" t="s">
        <v>663</v>
      </c>
    </row>
    <row r="13" spans="1:58">
      <c r="A13" s="1046" t="str">
        <f>IF($AM$1=TRUE,IF(K13="","",SUBTOTAL(2,$K$3:K13)),IF(AND(M13="",N13=""),"",IF(N13="",COUNT($M$3:M13),COUNT($N$3:N13)+200)))</f>
        <v/>
      </c>
      <c r="B13" s="365" t="s">
        <v>17</v>
      </c>
      <c r="C13" s="365" t="s">
        <v>551</v>
      </c>
      <c r="D13" s="364">
        <v>404010401</v>
      </c>
      <c r="E13" s="364" t="s">
        <v>83</v>
      </c>
      <c r="F13" s="364" t="s">
        <v>6</v>
      </c>
      <c r="G13" s="366">
        <f>IFERROR(IF($E13="06",VLOOKUP($B13,예산실적비교표!$O$7:$R$200,2,FALSE),0),0)</f>
        <v>0</v>
      </c>
      <c r="H13" s="366">
        <f>IFERROR(IF($E13="06",VLOOKUP($C13,세입예산서!$K$3:$X$205,12,FALSE),0),0)</f>
        <v>0</v>
      </c>
      <c r="I13" s="366">
        <f>IFERROR(IF($E13="07",VLOOKUP($C13,세입예산서!$K$3:$X$205,13,FALSE),0),0)</f>
        <v>0</v>
      </c>
      <c r="J13" s="366">
        <f>IFERROR(IF($E13="05",VLOOKUP($C13,세입예산서!$K$3:$X$205,14,FALSE),0),0)</f>
        <v>0</v>
      </c>
      <c r="K13" s="366" t="str">
        <f t="shared" si="0"/>
        <v/>
      </c>
      <c r="L13" s="367">
        <f>IFERROR(IF($AB$2="",0,ROUNDUP(VLOOKUP($B13,예산실적비교표!$O$7:$R$200,3,FALSE)*$Y$6/$Y$9,-3)*$Y$8),0)</f>
        <v>0</v>
      </c>
      <c r="M13" s="708" t="str">
        <f>IF($AM$1=TRUE,IF(K13="","",IF(IF($AE$2="",IF(K13="","",SUBTOTAL(2,$K$3:K13)),IF(AND(G13&gt;=0,K13=""),"",IF(AND(G13&gt;0,OR(K13&gt;0,K13&lt;0)),SUBTOTAL(2,$K$3:K13),IF(AND(G13=0,OR(K13&gt;0,K13&lt;0)),SUBTOTAL(2,$K$3:K13)+200,""))))&gt;200,"",1)),IF(K13="","",IF(IF($AE$2="",IF(K13="","",SUBTOTAL(2,$K$3:K13)),IF(AND(G13&gt;=0,K13=""),"",IF(AND(G13&gt;0,OR(K13&gt;0,K13&lt;0)),SUBTOTAL(2,$K$3:K13),IF(AND(G13=0,OR(K13&gt;0,K13&lt;0)),SUBTOTAL(2,$K$3:K13)+200,""))))&gt;200,"",1)))</f>
        <v/>
      </c>
      <c r="N13" s="214" t="str">
        <f>IF($AM$1=TRUE,IF(K13="","",IF(IF($AE$2="",IF(K13="","",SUBTOTAL(2,$K$3:K13)),IF(AND(G13&gt;=0,K13=""),"",IF(AND(G13&gt;0,OR(K13&gt;0,K13&lt;0)),SUBTOTAL(2,$K$3:K13),IF(AND(G13=0,OR(K13&gt;0,K13&lt;0)),SUBTOTAL(2,$K$3:K13)+200,""))))&lt;=200,"",2)),IF(K13="","",IF(IF($AE$2="",IF(K13="","",SUBTOTAL(2,$K$3:K13)),IF(AND(G13&gt;=0,K13=""),"",IF(AND(G13&gt;0,OR(K13&gt;0,K13&lt;0)),SUBTOTAL(2,$K$3:K13),IF(AND(G13=0,OR(K13&gt;0,K13&lt;0)),SUBTOTAL(2,$K$3:K13)+200,""))))&lt;=200,"",2)))</f>
        <v/>
      </c>
      <c r="O13" s="533">
        <v>0</v>
      </c>
      <c r="P13" s="375">
        <f>IF(AND($AB$2=R13,($L$3+$L$14)=0),ROUND(($AF$7-$Y$26)*O13,0),IF($AB$2=R13,ROUND((($L$3+$L$14)/$Y$8*100%*O13)/(T13*V13),0),0))</f>
        <v>0</v>
      </c>
      <c r="Q13" s="547">
        <v>0</v>
      </c>
      <c r="R13" s="376" t="s">
        <v>108</v>
      </c>
      <c r="S13" s="377" t="s">
        <v>107</v>
      </c>
      <c r="T13" s="732">
        <f>IF($AE$2="",IF($Y$1=2023,예산평균!AE31,예산평균!AF31),예산평균!AE31)</f>
        <v>64400</v>
      </c>
      <c r="U13" s="371">
        <f t="shared" si="1"/>
        <v>0</v>
      </c>
      <c r="V13" s="557">
        <v>21</v>
      </c>
      <c r="X13" s="381" t="s">
        <v>162</v>
      </c>
      <c r="Y13" s="1518">
        <f>세입예산서!$V$5+세입예산서!$V$92+세입예산서!$V$117</f>
        <v>296902596</v>
      </c>
      <c r="Z13" s="1519"/>
      <c r="AA13" s="654" t="s">
        <v>163</v>
      </c>
      <c r="AB13" s="1379">
        <f>IF($AE$2="",IF($Y$1=2023,예산평균!AD4,예산평균!AE4),예산평균!AD4)</f>
        <v>3.5450000000000002E-2</v>
      </c>
      <c r="AC13" s="388" t="s">
        <v>713</v>
      </c>
      <c r="AD13" s="929">
        <f>IF($AE$2="",IF($Y$1=2023,예산평균!AD7,예산평균!AE7),예산평균!AD7)</f>
        <v>1.15E-2</v>
      </c>
      <c r="AE13" s="939" t="str">
        <f>IFERROR("간접4대비율("&amp;ROUND(L51/H51*100,0)&amp;"%)","간접4대비율")</f>
        <v>간접4대비율(52%)</v>
      </c>
      <c r="AF13" s="940" t="str">
        <f>IFERROR("직접4대비율("&amp;ROUND(L50/H50*100,0)&amp;"%)","직접4대비율")</f>
        <v>직접4대비율(85%)</v>
      </c>
      <c r="AH13" s="384" t="s">
        <v>228</v>
      </c>
      <c r="AI13" s="1516" t="s">
        <v>229</v>
      </c>
      <c r="AJ13" s="1517"/>
      <c r="AL13" s="1042" t="s">
        <v>228</v>
      </c>
      <c r="AM13" s="1483" t="s">
        <v>241</v>
      </c>
      <c r="AN13" s="1484" t="s">
        <v>241</v>
      </c>
      <c r="AP13" s="1128" t="s">
        <v>833</v>
      </c>
      <c r="AQ13" s="1129" t="s">
        <v>834</v>
      </c>
      <c r="AR13" s="1130">
        <v>600000</v>
      </c>
      <c r="AS13" s="1131">
        <f>IF(예산실적비교표!AO13&lt;&gt;"",예산실적비교표!AO13,0)</f>
        <v>0</v>
      </c>
      <c r="AT13" s="1118">
        <f t="shared" si="5"/>
        <v>600000</v>
      </c>
      <c r="AU13" s="1132">
        <f>IF(예산실적비교표!AQ13&lt;&gt;"",예산실적비교표!AQ13,0)</f>
        <v>0</v>
      </c>
      <c r="AV13" s="1120">
        <f t="shared" si="6"/>
        <v>50000</v>
      </c>
      <c r="AW13" s="1121">
        <f>IF(AR13="","",ROUND((AT13*$AT$7)*데이터입력!$AE$14+(AT13*$AU$7)*데이터입력!$AE$14+(AT13*$AU$7*$AV$7)*데이터입력!$AE$14+(AT13*$AW$7)*데이터입력!$AE$14+(AT13*$AX$7)*데이터입력!$AE$14,-1))</f>
        <v>87860</v>
      </c>
      <c r="AX13" s="1122">
        <f t="shared" si="7"/>
        <v>737860</v>
      </c>
      <c r="AY13" s="1123">
        <f>IFERROR(IF(AR13+AS13=0,0,ROUND(IF(데이터입력!$AE$14=100%,ROUND(AR13*$AR$1,-3),ROUND(AR13*$AR$1,-3)-ROUND(((AR13*$AR$1)*$AT$4)*(데이터입력!$AE$14-100%)+((AR13*$AR$1)*$AU$4)*(데이터입력!$AE$14-100%)+((AR13*$AR$1)*$AU$4*$AV$4)*(데이터입력!$AE$14-100%)+((AR13*$AR$1)*$AW$4)*(데이터입력!$AE$14-100%),-1)),0)),0)</f>
        <v>577440</v>
      </c>
      <c r="AZ13" s="1124">
        <f>IFERROR(IF(AR13+AS13=0,0,IF(데이터입력!$AE$12=100%,(AT13),(AT13)+ROUND(AT13*(데이터입력!$AE$12-100%),-1))),0)</f>
        <v>600000</v>
      </c>
      <c r="BA13" s="1263">
        <f t="shared" si="8"/>
        <v>50000</v>
      </c>
      <c r="BB13" s="1264">
        <f>IF(BA13="","",IF(데이터입력!$O$68="",ROUND(AZ13/12,0),ROUND(데이터입력!$O$68/데이터입력!$Y$8/$BC$11,0)))</f>
        <v>50000</v>
      </c>
      <c r="BC13" s="1138" t="str">
        <f>데이터입력!$B$42</f>
        <v>급여(직접비)</v>
      </c>
      <c r="BD13" s="1139">
        <f>보수일람표!$I$262</f>
        <v>126936000</v>
      </c>
      <c r="BE13" s="1139">
        <f>IFERROR(IF(데이터입력!$L$42=0,ROUNDUP($AR$6*VLOOKUP(데이터입력!$AB$2,데이터입력!$AH$17:$AI$23,2,FALSE),0)-SUM(보수일람표!$J$262:$M$262),데이터입력!$L$42),0)</f>
        <v>69360000</v>
      </c>
      <c r="BF13" s="1140">
        <f>IF((BE13-BD13)&lt;=0,0,BE13-BD13)</f>
        <v>0</v>
      </c>
    </row>
    <row r="14" spans="1:58" ht="23.25" thickBot="1">
      <c r="A14" s="1046">
        <f>IF($AM$1=TRUE,IF(K14="","",SUBTOTAL(2,$K$3:K14)),IF(AND(M14="",N14=""),"",IF(N14="",COUNT($M$3:M14),COUNT($N$3:N14)+200)))</f>
        <v>4</v>
      </c>
      <c r="B14" s="365" t="s">
        <v>21</v>
      </c>
      <c r="C14" s="365" t="s">
        <v>524</v>
      </c>
      <c r="D14" s="364">
        <v>406010101</v>
      </c>
      <c r="E14" s="364" t="s">
        <v>83</v>
      </c>
      <c r="F14" s="364" t="s">
        <v>6</v>
      </c>
      <c r="G14" s="366">
        <f>IFERROR(IF($E14="06",VLOOKUP($B14,예산실적비교표!$O$7:$R$200,2,FALSE),0),0)</f>
        <v>192992976</v>
      </c>
      <c r="H14" s="366">
        <f>IFERROR(IF($E14="06",VLOOKUP($C14,세입예산서!$K$3:$X$205,12,FALSE),0),0)</f>
        <v>191167152</v>
      </c>
      <c r="I14" s="366">
        <f>IFERROR(IF($E14="07",VLOOKUP($C14,세입예산서!$K$3:$X$205,13,FALSE),0),0)</f>
        <v>0</v>
      </c>
      <c r="J14" s="366">
        <f>IFERROR(IF($E14="05",VLOOKUP($C14,세입예산서!$K$3:$X$205,14,FALSE),0),0)</f>
        <v>0</v>
      </c>
      <c r="K14" s="366">
        <f t="shared" si="0"/>
        <v>-1825824</v>
      </c>
      <c r="L14" s="367">
        <f>IFERROR(IF($AB$2="",0,ROUNDUP(VLOOKUP($B14,예산실적비교표!$O$7:$R$200,3,FALSE)/$Y$9,-3)*$Y$8),0)</f>
        <v>150936000</v>
      </c>
      <c r="M14" s="708">
        <f>IF($AM$1=TRUE,IF(K14="","",IF(IF($AE$2="",IF(K14="","",SUBTOTAL(2,$K$3:K14)),IF(AND(G14&gt;=0,K14=""),"",IF(AND(G14&gt;0,OR(K14&gt;0,K14&lt;0)),SUBTOTAL(2,$K$3:K14),IF(AND(G14=0,OR(K14&gt;0,K14&lt;0)),SUBTOTAL(2,$K$3:K14)+200,""))))&gt;200,"",1)),IF(K14="","",IF(IF($AE$2="",IF(K14="","",SUBTOTAL(2,$K$3:K14)),IF(AND(G14&gt;=0,K14=""),"",IF(AND(G14&gt;0,OR(K14&gt;0,K14&lt;0)),SUBTOTAL(2,$K$3:K14),IF(AND(G14=0,OR(K14&gt;0,K14&lt;0)),SUBTOTAL(2,$K$3:K14)+200,""))))&gt;200,"",1)))</f>
        <v>1</v>
      </c>
      <c r="N14" s="214" t="str">
        <f>IF($AM$1=TRUE,IF(K14="","",IF(IF($AE$2="",IF(K14="","",SUBTOTAL(2,$K$3:K14)),IF(AND(G14&gt;=0,K14=""),"",IF(AND(G14&gt;0,OR(K14&gt;0,K14&lt;0)),SUBTOTAL(2,$K$3:K14),IF(AND(G14=0,OR(K14&gt;0,K14&lt;0)),SUBTOTAL(2,$K$3:K14)+200,""))))&lt;=200,"",2)),IF(K14="","",IF(IF($AE$2="",IF(K14="","",SUBTOTAL(2,$K$3:K14)),IF(AND(G14&gt;=0,K14=""),"",IF(AND(G14&gt;0,OR(K14&gt;0,K14&lt;0)),SUBTOTAL(2,$K$3:K14),IF(AND(G14=0,OR(K14&gt;0,K14&lt;0)),SUBTOTAL(2,$K$3:K14)+200,""))))&lt;=200,"",2)))</f>
        <v/>
      </c>
      <c r="O14" s="533">
        <v>0</v>
      </c>
      <c r="P14" s="375">
        <f>IF(AND($AB$2=R14,($L$3+$L$14)=0),ROUND(($AF$7-$Y$26)*O14,0),IF($AB$2=R14,ROUND((($L$3+$L$14)/$Y$8*100%*O14)/(T14*V14),0),0))</f>
        <v>0</v>
      </c>
      <c r="Q14" s="547">
        <v>0</v>
      </c>
      <c r="R14" s="376" t="s">
        <v>108</v>
      </c>
      <c r="S14" s="377" t="s">
        <v>104</v>
      </c>
      <c r="T14" s="732">
        <f>IF($AE$2="",IF($Y$1=2023,예산평균!AE32,예산평균!AF32),예산평균!AE32)</f>
        <v>59660</v>
      </c>
      <c r="U14" s="371">
        <f t="shared" si="1"/>
        <v>0</v>
      </c>
      <c r="V14" s="557">
        <f>V13</f>
        <v>21</v>
      </c>
      <c r="X14" s="389" t="s">
        <v>164</v>
      </c>
      <c r="Y14" s="1545">
        <f>세출예산서!V6+세출예산서!W6+세출예산서!X6</f>
        <v>150790382</v>
      </c>
      <c r="Z14" s="1546"/>
      <c r="AA14" s="655" t="s">
        <v>165</v>
      </c>
      <c r="AB14" s="1346">
        <f>IF($AE$2="",IF($Y$1=2023,예산평균!AD5,예산평균!AE5),예산평균!AD5)</f>
        <v>0.12809999999999999</v>
      </c>
      <c r="AC14" s="927" t="s">
        <v>166</v>
      </c>
      <c r="AD14" s="930">
        <f>IF($AE$2="",IF($Y$1=2023,예산평균!AD8,예산평균!AE8),예산평균!AD8)</f>
        <v>8.0999999999999996E-3</v>
      </c>
      <c r="AE14" s="941">
        <v>1.4</v>
      </c>
      <c r="AF14" s="942">
        <v>1</v>
      </c>
      <c r="AH14" s="384" t="s">
        <v>123</v>
      </c>
      <c r="AI14" s="1516" t="s">
        <v>230</v>
      </c>
      <c r="AJ14" s="1517"/>
      <c r="AL14" s="1042" t="s">
        <v>123</v>
      </c>
      <c r="AM14" s="1483" t="s">
        <v>242</v>
      </c>
      <c r="AN14" s="1484" t="s">
        <v>242</v>
      </c>
      <c r="AP14" s="1128" t="str">
        <f>IF(예산실적비교표!AL14&lt;&gt;"",예산실적비교표!AL14,"")</f>
        <v/>
      </c>
      <c r="AQ14" s="1129" t="str">
        <f>IF(예산실적비교표!AM14&lt;&gt;"",예산실적비교표!AM14,"")</f>
        <v/>
      </c>
      <c r="AR14" s="1130">
        <f>IF(예산실적비교표!AN14&lt;&gt;"",예산실적비교표!AN14,0)</f>
        <v>0</v>
      </c>
      <c r="AS14" s="1131">
        <f>IF(예산실적비교표!AO14&lt;&gt;"",예산실적비교표!AO14,0)</f>
        <v>0</v>
      </c>
      <c r="AT14" s="1118">
        <f t="shared" si="5"/>
        <v>0</v>
      </c>
      <c r="AU14" s="1132">
        <f>IF(예산실적비교표!AQ14&lt;&gt;"",예산실적비교표!AQ14,0)</f>
        <v>0</v>
      </c>
      <c r="AV14" s="1120">
        <f t="shared" si="6"/>
        <v>0</v>
      </c>
      <c r="AW14" s="1121">
        <f>IF(AR14="","",ROUND((AT14*$AT$7)*데이터입력!$AE$14+(AT14*$AU$7)*데이터입력!$AE$14+(AT14*$AU$7*$AV$7)*데이터입력!$AE$14+(AT14*$AW$7)*데이터입력!$AE$14+(AT14*$AX$7)*데이터입력!$AE$14,-1))</f>
        <v>0</v>
      </c>
      <c r="AX14" s="1122">
        <f t="shared" si="7"/>
        <v>0</v>
      </c>
      <c r="AY14" s="1123">
        <f>IFERROR(IF(AR14+AS14=0,0,ROUND(IF(데이터입력!$AE$14=100%,ROUND(AR14*$AR$1,-3),ROUND(AR14*$AR$1,-3)-ROUND(((AR14*$AR$1)*$AT$4)*(데이터입력!$AE$14-100%)+((AR14*$AR$1)*$AU$4)*(데이터입력!$AE$14-100%)+((AR14*$AR$1)*$AU$4*$AV$4)*(데이터입력!$AE$14-100%)+((AR14*$AR$1)*$AW$4)*(데이터입력!$AE$14-100%),-1)),0)),0)</f>
        <v>0</v>
      </c>
      <c r="AZ14" s="1124">
        <f>IFERROR(IF(AR14+AS14=0,0,IF(데이터입력!$AE$12=100%,(AT14),(AT14)+ROUND(AT14*(데이터입력!$AE$12-100%),-1))),0)</f>
        <v>0</v>
      </c>
      <c r="BA14" s="1263" t="str">
        <f t="shared" si="8"/>
        <v/>
      </c>
      <c r="BB14" s="1264" t="str">
        <f>IF(BA14="","",IF(데이터입력!$O$68="",ROUND(AZ14/12,0),ROUND(데이터입력!$O$68/데이터입력!$Y$8/$BC$11,0)))</f>
        <v/>
      </c>
      <c r="BC14" s="1138" t="str">
        <f>데이터입력!$B$43</f>
        <v>급여(간접비)</v>
      </c>
      <c r="BD14" s="1139">
        <f>보수일람표!$I$261</f>
        <v>55434480</v>
      </c>
      <c r="BE14" s="1139">
        <f>데이터입력!$L$43</f>
        <v>45648000</v>
      </c>
      <c r="BF14" s="1140">
        <f t="shared" ref="BF14:BF20" si="9">IF((BE14-BD14)&lt;=0,0,BE14-BD14)</f>
        <v>0</v>
      </c>
    </row>
    <row r="15" spans="1:58" ht="23.25" thickBot="1">
      <c r="A15" s="1046" t="str">
        <f>IF($AM$1=TRUE,IF(K15="","",SUBTOTAL(2,$K$3:K15)),IF(AND(M15="",N15=""),"",IF(N15="",COUNT($M$3:M15),COUNT($N$3:N15)+200)))</f>
        <v/>
      </c>
      <c r="B15" s="365" t="s">
        <v>22</v>
      </c>
      <c r="C15" s="365" t="s">
        <v>525</v>
      </c>
      <c r="D15" s="364">
        <v>406010102</v>
      </c>
      <c r="E15" s="364" t="s">
        <v>83</v>
      </c>
      <c r="F15" s="364" t="s">
        <v>6</v>
      </c>
      <c r="G15" s="366">
        <f>IFERROR(IF($E15="06",VLOOKUP($B15,예산실적비교표!$O$7:$R$200,2,FALSE),0),0)</f>
        <v>0</v>
      </c>
      <c r="H15" s="366">
        <f>IFERROR(IF($E15="06",VLOOKUP($C15,세입예산서!$K$3:$X$205,12,FALSE),0),0)</f>
        <v>0</v>
      </c>
      <c r="I15" s="366">
        <f>IFERROR(IF($E15="07",VLOOKUP($C15,세입예산서!$K$3:$X$205,13,FALSE),0),0)</f>
        <v>0</v>
      </c>
      <c r="J15" s="366">
        <f>IFERROR(IF($E15="05",VLOOKUP($C15,세입예산서!$K$3:$X$205,14,FALSE),0),0)</f>
        <v>0</v>
      </c>
      <c r="K15" s="366" t="str">
        <f t="shared" si="0"/>
        <v/>
      </c>
      <c r="L15" s="367">
        <f>IFERROR(IF($AB$2="",0,ROUNDUP(VLOOKUP($B15,예산실적비교표!$O$7:$R$200,3,FALSE)/$Y$9,-3)*$Y$8),0)</f>
        <v>0</v>
      </c>
      <c r="M15" s="708" t="str">
        <f>IF($AM$1=TRUE,IF(K15="","",IF(IF($AE$2="",IF(K15="","",SUBTOTAL(2,$K$3:K15)),IF(AND(G15&gt;=0,K15=""),"",IF(AND(G15&gt;0,OR(K15&gt;0,K15&lt;0)),SUBTOTAL(2,$K$3:K15),IF(AND(G15=0,OR(K15&gt;0,K15&lt;0)),SUBTOTAL(2,$K$3:K15)+200,""))))&gt;200,"",1)),IF(K15="","",IF(IF($AE$2="",IF(K15="","",SUBTOTAL(2,$K$3:K15)),IF(AND(G15&gt;=0,K15=""),"",IF(AND(G15&gt;0,OR(K15&gt;0,K15&lt;0)),SUBTOTAL(2,$K$3:K15),IF(AND(G15=0,OR(K15&gt;0,K15&lt;0)),SUBTOTAL(2,$K$3:K15)+200,""))))&gt;200,"",1)))</f>
        <v/>
      </c>
      <c r="N15" s="214" t="str">
        <f>IF($AM$1=TRUE,IF(K15="","",IF(IF($AE$2="",IF(K15="","",SUBTOTAL(2,$K$3:K15)),IF(AND(G15&gt;=0,K15=""),"",IF(AND(G15&gt;0,OR(K15&gt;0,K15&lt;0)),SUBTOTAL(2,$K$3:K15),IF(AND(G15=0,OR(K15&gt;0,K15&lt;0)),SUBTOTAL(2,$K$3:K15)+200,""))))&lt;=200,"",2)),IF(K15="","",IF(IF($AE$2="",IF(K15="","",SUBTOTAL(2,$K$3:K15)),IF(AND(G15&gt;=0,K15=""),"",IF(AND(G15&gt;0,OR(K15&gt;0,K15&lt;0)),SUBTOTAL(2,$K$3:K15),IF(AND(G15=0,OR(K15&gt;0,K15&lt;0)),SUBTOTAL(2,$K$3:K15)+200,""))))&lt;=200,"",2)))</f>
        <v/>
      </c>
      <c r="O15" s="533">
        <f>IF(Q15="",0%,10%)</f>
        <v>0.1</v>
      </c>
      <c r="P15" s="375">
        <f>IF(AND($AB$2=R15,($L$3+$L$14)=0),ROUND(($AF$7-$Y$26)*O15,0),IF($AB$2=R15,ROUND((($L$3+$L$14)/$Y$8*100%*O15)/(T15*V15),0),0))</f>
        <v>1</v>
      </c>
      <c r="Q15" s="547">
        <v>0</v>
      </c>
      <c r="R15" s="376" t="s">
        <v>108</v>
      </c>
      <c r="S15" s="377" t="s">
        <v>109</v>
      </c>
      <c r="T15" s="732">
        <f>IF($AE$2="",IF($Y$1=2023,예산평균!AE33,예산평균!AF33),예산평균!AE33)</f>
        <v>55080</v>
      </c>
      <c r="U15" s="371">
        <f t="shared" si="1"/>
        <v>1</v>
      </c>
      <c r="V15" s="557">
        <f>V13</f>
        <v>21</v>
      </c>
      <c r="X15" s="1520" t="s">
        <v>80</v>
      </c>
      <c r="Y15" s="1521"/>
      <c r="Z15" s="1522"/>
      <c r="AA15" s="1523" t="s">
        <v>99</v>
      </c>
      <c r="AB15" s="1524"/>
      <c r="AC15" s="1525"/>
      <c r="AD15" s="1526" t="s">
        <v>126</v>
      </c>
      <c r="AE15" s="1527"/>
      <c r="AF15" s="1528"/>
      <c r="AH15" s="162"/>
      <c r="AI15" s="1516"/>
      <c r="AJ15" s="1517"/>
      <c r="AL15" s="4"/>
      <c r="AM15" s="1516"/>
      <c r="AN15" s="1517"/>
      <c r="AP15" s="1128" t="str">
        <f>IF(예산실적비교표!AL15&lt;&gt;"",예산실적비교표!AL15,"")</f>
        <v/>
      </c>
      <c r="AQ15" s="1129" t="str">
        <f>IF(예산실적비교표!AM15&lt;&gt;"",예산실적비교표!AM15,"")</f>
        <v/>
      </c>
      <c r="AR15" s="1130">
        <f>IF(예산실적비교표!AN15&lt;&gt;"",예산실적비교표!AN15,0)</f>
        <v>0</v>
      </c>
      <c r="AS15" s="1131">
        <f>IF(예산실적비교표!AO15&lt;&gt;"",예산실적비교표!AO15,0)</f>
        <v>0</v>
      </c>
      <c r="AT15" s="1118">
        <f t="shared" si="5"/>
        <v>0</v>
      </c>
      <c r="AU15" s="1132">
        <f>IF(예산실적비교표!AQ15&lt;&gt;"",예산실적비교표!AQ15,0)</f>
        <v>0</v>
      </c>
      <c r="AV15" s="1120">
        <f t="shared" si="6"/>
        <v>0</v>
      </c>
      <c r="AW15" s="1121">
        <f>IF(AR15="","",ROUND((AT15*$AT$7)*데이터입력!$AE$14+(AT15*$AU$7)*데이터입력!$AE$14+(AT15*$AU$7*$AV$7)*데이터입력!$AE$14+(AT15*$AW$7)*데이터입력!$AE$14+(AT15*$AX$7)*데이터입력!$AE$14,-1))</f>
        <v>0</v>
      </c>
      <c r="AX15" s="1122">
        <f t="shared" si="7"/>
        <v>0</v>
      </c>
      <c r="AY15" s="1123">
        <f>IFERROR(IF(AR15+AS15=0,0,ROUND(IF(데이터입력!$AE$14=100%,ROUND(AR15*$AR$1,-3),ROUND(AR15*$AR$1,-3)-ROUND(((AR15*$AR$1)*$AT$4)*(데이터입력!$AE$14-100%)+((AR15*$AR$1)*$AU$4)*(데이터입력!$AE$14-100%)+((AR15*$AR$1)*$AU$4*$AV$4)*(데이터입력!$AE$14-100%)+((AR15*$AR$1)*$AW$4)*(데이터입력!$AE$14-100%),-1)),0)),0)</f>
        <v>0</v>
      </c>
      <c r="AZ15" s="1124">
        <f>IFERROR(IF(AR15+AS15=0,0,IF(데이터입력!$AE$12=100%,(AT15),(AT15)+ROUND(AT15*(데이터입력!$AE$12-100%),-1))),0)</f>
        <v>0</v>
      </c>
      <c r="BA15" s="1263" t="str">
        <f t="shared" si="8"/>
        <v/>
      </c>
      <c r="BB15" s="1264" t="str">
        <f>IF(BA15="","",IF(데이터입력!$O$68="",ROUND(AZ15/12,0),ROUND(데이터입력!$O$68/데이터입력!$Y$8/$BC$11,0)))</f>
        <v/>
      </c>
      <c r="BC15" s="1138" t="str">
        <f>데이터입력!$B$44</f>
        <v>각종수당(직접비)</v>
      </c>
      <c r="BD15" s="1139">
        <f>보수일람표!$J$262</f>
        <v>0</v>
      </c>
      <c r="BE15" s="1139">
        <f>데이터입력!$L$44</f>
        <v>0</v>
      </c>
      <c r="BF15" s="1140">
        <f t="shared" si="9"/>
        <v>0</v>
      </c>
    </row>
    <row r="16" spans="1:58" ht="22.5">
      <c r="A16" s="1046">
        <f>IF($AM$1=TRUE,IF(K16="","",SUBTOTAL(2,$K$3:K16)),IF(AND(M16="",N16=""),"",IF(N16="",COUNT($M$3:M16),COUNT($N$3:N16)+200)))</f>
        <v>5</v>
      </c>
      <c r="B16" s="365" t="s">
        <v>23</v>
      </c>
      <c r="C16" s="365" t="s">
        <v>526</v>
      </c>
      <c r="D16" s="364">
        <v>406010201</v>
      </c>
      <c r="E16" s="364" t="s">
        <v>83</v>
      </c>
      <c r="F16" s="364" t="s">
        <v>6</v>
      </c>
      <c r="G16" s="366">
        <f>IFERROR(IF($E16="06",VLOOKUP($B16,예산실적비교표!$O$7:$R$200,2,FALSE),0),0)</f>
        <v>54000000</v>
      </c>
      <c r="H16" s="366">
        <f>IFERROR(IF($E16="06",VLOOKUP($C16,세입예산서!$K$3:$X$205,12,FALSE),0),0)</f>
        <v>72000000</v>
      </c>
      <c r="I16" s="366">
        <f>IFERROR(IF($E16="07",VLOOKUP($C16,세입예산서!$K$3:$X$205,13,FALSE),0),0)</f>
        <v>0</v>
      </c>
      <c r="J16" s="366">
        <f>IFERROR(IF($E16="05",VLOOKUP($C16,세입예산서!$K$3:$X$205,14,FALSE),0),0)</f>
        <v>0</v>
      </c>
      <c r="K16" s="366">
        <f t="shared" si="0"/>
        <v>18000000</v>
      </c>
      <c r="L16" s="367">
        <f>IFERROR(IF($AB$2="",0,ROUNDUP(VLOOKUP($B16,예산실적비교표!$O$7:$R$200,3,FALSE)/$Y$9,-3)*$Y$8),0)</f>
        <v>67200000</v>
      </c>
      <c r="M16" s="708">
        <f>IF($AM$1=TRUE,IF(K16="","",IF(IF($AE$2="",IF(K16="","",SUBTOTAL(2,$K$3:K16)),IF(AND(G16&gt;=0,K16=""),"",IF(AND(G16&gt;0,OR(K16&gt;0,K16&lt;0)),SUBTOTAL(2,$K$3:K16),IF(AND(G16=0,OR(K16&gt;0,K16&lt;0)),SUBTOTAL(2,$K$3:K16)+200,""))))&gt;200,"",1)),IF(K16="","",IF(IF($AE$2="",IF(K16="","",SUBTOTAL(2,$K$3:K16)),IF(AND(G16&gt;=0,K16=""),"",IF(AND(G16&gt;0,OR(K16&gt;0,K16&lt;0)),SUBTOTAL(2,$K$3:K16),IF(AND(G16=0,OR(K16&gt;0,K16&lt;0)),SUBTOTAL(2,$K$3:K16)+200,""))))&gt;200,"",1)))</f>
        <v>1</v>
      </c>
      <c r="N16" s="214" t="str">
        <f>IF($AM$1=TRUE,IF(K16="","",IF(IF($AE$2="",IF(K16="","",SUBTOTAL(2,$K$3:K16)),IF(AND(G16&gt;=0,K16=""),"",IF(AND(G16&gt;0,OR(K16&gt;0,K16&lt;0)),SUBTOTAL(2,$K$3:K16),IF(AND(G16=0,OR(K16&gt;0,K16&lt;0)),SUBTOTAL(2,$K$3:K16)+200,""))))&lt;=200,"",2)),IF(K16="","",IF(IF($AE$2="",IF(K16="","",SUBTOTAL(2,$K$3:K16)),IF(AND(G16&gt;=0,K16=""),"",IF(AND(G16&gt;0,OR(K16&gt;0,K16&lt;0)),SUBTOTAL(2,$K$3:K16),IF(AND(G16=0,OR(K16&gt;0,K16&lt;0)),SUBTOTAL(2,$K$3:K16)+200,""))))&lt;=200,"",2)))</f>
        <v/>
      </c>
      <c r="O16" s="533">
        <f>IF(Q16="",0%,20%)</f>
        <v>0.2</v>
      </c>
      <c r="P16" s="375">
        <f>IF(AND($AB$2=R16,($L$3+$L$14)=0),ROUND(($AF$7-$Y$26)*O16,0),IF($AB$2=R16,ROUND((($L$3+$L$14)/$Y$8*100%*O16)/(T16*V16),0),0))</f>
        <v>3</v>
      </c>
      <c r="Q16" s="547">
        <v>0</v>
      </c>
      <c r="R16" s="376" t="s">
        <v>108</v>
      </c>
      <c r="S16" s="377" t="s">
        <v>110</v>
      </c>
      <c r="T16" s="732">
        <f>IF($AE$2="",IF($Y$1=2023,예산평균!AE34,예산평균!AF34),예산평균!AE34)</f>
        <v>53580</v>
      </c>
      <c r="U16" s="371">
        <f t="shared" si="1"/>
        <v>3</v>
      </c>
      <c r="V16" s="557">
        <f>V13</f>
        <v>21</v>
      </c>
      <c r="X16" s="387" t="s">
        <v>167</v>
      </c>
      <c r="Y16" s="1443">
        <f>세입예산서!V183</f>
        <v>369514076</v>
      </c>
      <c r="Z16" s="1425"/>
      <c r="AA16" s="390" t="s">
        <v>167</v>
      </c>
      <c r="AB16" s="1443">
        <f>세입예산서!W183</f>
        <v>0</v>
      </c>
      <c r="AC16" s="1425"/>
      <c r="AD16" s="387" t="s">
        <v>167</v>
      </c>
      <c r="AE16" s="1443">
        <f>세입예산서!X183</f>
        <v>0</v>
      </c>
      <c r="AF16" s="1425"/>
      <c r="AH16" s="1559" t="str">
        <f>"업체유형별 인건비비율("&amp;$Y$1&amp;")"</f>
        <v>업체유형별 인건비비율(2023)</v>
      </c>
      <c r="AI16" s="1560"/>
      <c r="AJ16" s="1561"/>
      <c r="AP16" s="1128" t="str">
        <f>IF(예산실적비교표!AL16&lt;&gt;"",예산실적비교표!AL16,"")</f>
        <v/>
      </c>
      <c r="AQ16" s="1129" t="str">
        <f>IF(예산실적비교표!AM16&lt;&gt;"",예산실적비교표!AM16,"")</f>
        <v/>
      </c>
      <c r="AR16" s="1130">
        <f>IF(예산실적비교표!AN16&lt;&gt;"",예산실적비교표!AN16,0)</f>
        <v>0</v>
      </c>
      <c r="AS16" s="1131">
        <f>IF(예산실적비교표!AO16&lt;&gt;"",예산실적비교표!AO16,0)</f>
        <v>0</v>
      </c>
      <c r="AT16" s="1118">
        <f t="shared" si="5"/>
        <v>0</v>
      </c>
      <c r="AU16" s="1132">
        <f>IF(예산실적비교표!AQ16&lt;&gt;"",예산실적비교표!AQ16,0)</f>
        <v>0</v>
      </c>
      <c r="AV16" s="1120">
        <f t="shared" si="6"/>
        <v>0</v>
      </c>
      <c r="AW16" s="1121">
        <f>IF(AR16="","",ROUND((AT16*$AT$7)*데이터입력!$AE$14+(AT16*$AU$7)*데이터입력!$AE$14+(AT16*$AU$7*$AV$7)*데이터입력!$AE$14+(AT16*$AW$7)*데이터입력!$AE$14+(AT16*$AX$7)*데이터입력!$AE$14,-1))</f>
        <v>0</v>
      </c>
      <c r="AX16" s="1122">
        <f t="shared" si="7"/>
        <v>0</v>
      </c>
      <c r="AY16" s="1123">
        <f>IFERROR(IF(AR16+AS16=0,0,ROUND(IF(데이터입력!$AE$14=100%,ROUND(AR16*$AR$1,-3),ROUND(AR16*$AR$1,-3)-ROUND(((AR16*$AR$1)*$AT$4)*(데이터입력!$AE$14-100%)+((AR16*$AR$1)*$AU$4)*(데이터입력!$AE$14-100%)+((AR16*$AR$1)*$AU$4*$AV$4)*(데이터입력!$AE$14-100%)+((AR16*$AR$1)*$AW$4)*(데이터입력!$AE$14-100%),-1)),0)),0)</f>
        <v>0</v>
      </c>
      <c r="AZ16" s="1124">
        <f>IFERROR(IF(AR16+AS16=0,0,IF(데이터입력!$AE$12=100%,(AT16),(AT16)+ROUND(AT16*(데이터입력!$AE$12-100%),-1))),0)</f>
        <v>0</v>
      </c>
      <c r="BA16" s="1263" t="str">
        <f t="shared" si="8"/>
        <v/>
      </c>
      <c r="BB16" s="1264" t="str">
        <f>IF(BA16="","",IF(데이터입력!$O$68="",ROUND(AZ16/12,0),ROUND(데이터입력!$O$68/데이터입력!$Y$8/$BC$11,0)))</f>
        <v/>
      </c>
      <c r="BC16" s="1138" t="str">
        <f>데이터입력!$B$45</f>
        <v>각종수당(간접비)</v>
      </c>
      <c r="BD16" s="1139">
        <f>보수일람표!$J$261</f>
        <v>0</v>
      </c>
      <c r="BE16" s="1139">
        <f>데이터입력!$L$45</f>
        <v>0</v>
      </c>
      <c r="BF16" s="1140">
        <f t="shared" si="9"/>
        <v>0</v>
      </c>
    </row>
    <row r="17" spans="1:58" ht="22.5">
      <c r="A17" s="1046" t="str">
        <f>IF($AM$1=TRUE,IF(K17="","",SUBTOTAL(2,$K$3:K17)),IF(AND(M17="",N17=""),"",IF(N17="",COUNT($M$3:M17),COUNT($N$3:N17)+200)))</f>
        <v/>
      </c>
      <c r="B17" s="365" t="s">
        <v>24</v>
      </c>
      <c r="C17" s="365" t="s">
        <v>527</v>
      </c>
      <c r="D17" s="364">
        <v>406010202</v>
      </c>
      <c r="E17" s="364" t="s">
        <v>83</v>
      </c>
      <c r="F17" s="364" t="s">
        <v>6</v>
      </c>
      <c r="G17" s="366">
        <f>IFERROR(IF($E17="06",VLOOKUP($B17,예산실적비교표!$O$7:$R$200,2,FALSE),0),0)</f>
        <v>0</v>
      </c>
      <c r="H17" s="366">
        <f>IFERROR(IF($E17="06",VLOOKUP($C17,세입예산서!$K$3:$X$205,12,FALSE),0),0)</f>
        <v>0</v>
      </c>
      <c r="I17" s="366">
        <f>IFERROR(IF($E17="07",VLOOKUP($C17,세입예산서!$K$3:$X$205,13,FALSE),0),0)</f>
        <v>0</v>
      </c>
      <c r="J17" s="366">
        <f>IFERROR(IF($E17="05",VLOOKUP($C17,세입예산서!$K$3:$X$205,14,FALSE),0),0)</f>
        <v>0</v>
      </c>
      <c r="K17" s="366" t="str">
        <f t="shared" si="0"/>
        <v/>
      </c>
      <c r="L17" s="367">
        <f>IFERROR(IF($AB$2="",0,ROUNDUP(VLOOKUP($B17,예산실적비교표!$O$7:$R$200,3,FALSE)/$Y$9,-3)*$Y$8),0)</f>
        <v>0</v>
      </c>
      <c r="M17" s="708" t="str">
        <f>IF($AM$1=TRUE,IF(K17="","",IF(IF($AE$2="",IF(K17="","",SUBTOTAL(2,$K$3:K17)),IF(AND(G17&gt;=0,K17=""),"",IF(AND(G17&gt;0,OR(K17&gt;0,K17&lt;0)),SUBTOTAL(2,$K$3:K17),IF(AND(G17=0,OR(K17&gt;0,K17&lt;0)),SUBTOTAL(2,$K$3:K17)+200,""))))&gt;200,"",1)),IF(K17="","",IF(IF($AE$2="",IF(K17="","",SUBTOTAL(2,$K$3:K17)),IF(AND(G17&gt;=0,K17=""),"",IF(AND(G17&gt;0,OR(K17&gt;0,K17&lt;0)),SUBTOTAL(2,$K$3:K17),IF(AND(G17=0,OR(K17&gt;0,K17&lt;0)),SUBTOTAL(2,$K$3:K17)+200,""))))&gt;200,"",1)))</f>
        <v/>
      </c>
      <c r="N17" s="214" t="str">
        <f>IF($AM$1=TRUE,IF(K17="","",IF(IF($AE$2="",IF(K17="","",SUBTOTAL(2,$K$3:K17)),IF(AND(G17&gt;=0,K17=""),"",IF(AND(G17&gt;0,OR(K17&gt;0,K17&lt;0)),SUBTOTAL(2,$K$3:K17),IF(AND(G17=0,OR(K17&gt;0,K17&lt;0)),SUBTOTAL(2,$K$3:K17)+200,""))))&lt;=200,"",2)),IF(K17="","",IF(IF($AE$2="",IF(K17="","",SUBTOTAL(2,$K$3:K17)),IF(AND(G17&gt;=0,K17=""),"",IF(AND(G17&gt;0,OR(K17&gt;0,K17&lt;0)),SUBTOTAL(2,$K$3:K17),IF(AND(G17=0,OR(K17&gt;0,K17&lt;0)),SUBTOTAL(2,$K$3:K17)+200,""))))&lt;=200,"",2)))</f>
        <v/>
      </c>
      <c r="O17" s="533">
        <f>IF(Q17="",0%,70%)</f>
        <v>0.7</v>
      </c>
      <c r="P17" s="375">
        <f>IF($AB$2=R17,IF(OR($AF$7=0,$AF$7=""),ROUND((($L$3+$L$14)/$Y$8*100%*O17)/(T17*V17),0),$AF$7-P13-P14-P18-데이터입력!P15-데이터입력!P16),0)</f>
        <v>13</v>
      </c>
      <c r="Q17" s="547">
        <v>0</v>
      </c>
      <c r="R17" s="376" t="s">
        <v>108</v>
      </c>
      <c r="S17" s="377" t="s">
        <v>111</v>
      </c>
      <c r="T17" s="732">
        <f>IF($AE$2="",IF($Y$1=2023,예산평균!AE35,예산평균!AF35),예산평균!AE35)</f>
        <v>52050</v>
      </c>
      <c r="U17" s="371">
        <f t="shared" si="1"/>
        <v>13</v>
      </c>
      <c r="V17" s="557">
        <f>V13</f>
        <v>21</v>
      </c>
      <c r="X17" s="381" t="s">
        <v>168</v>
      </c>
      <c r="Y17" s="1518">
        <f>세출예산서!$V$304</f>
        <v>369514076</v>
      </c>
      <c r="Z17" s="1519"/>
      <c r="AA17" s="391" t="s">
        <v>168</v>
      </c>
      <c r="AB17" s="1518">
        <f>세출예산서!$W$304</f>
        <v>0</v>
      </c>
      <c r="AC17" s="1519"/>
      <c r="AD17" s="650" t="s">
        <v>168</v>
      </c>
      <c r="AE17" s="1518">
        <f>세출예산서!$X$304</f>
        <v>0</v>
      </c>
      <c r="AF17" s="1519"/>
      <c r="AH17" s="393" t="s">
        <v>232</v>
      </c>
      <c r="AI17" s="582">
        <f>IF($AE$2="",IF($Y$1=2023,예산평균!AD12,예산평균!AE12),예산평균!AD12)</f>
        <v>0.61399999999999999</v>
      </c>
      <c r="AJ17" s="583">
        <v>2.2999999999999998</v>
      </c>
      <c r="AP17" s="1128" t="str">
        <f>IF(예산실적비교표!AL17&lt;&gt;"",예산실적비교표!AL17,"")</f>
        <v/>
      </c>
      <c r="AQ17" s="1129" t="str">
        <f>IF(예산실적비교표!AM17&lt;&gt;"",예산실적비교표!AM17,"")</f>
        <v/>
      </c>
      <c r="AR17" s="1130">
        <f>IF(예산실적비교표!AN17&lt;&gt;"",예산실적비교표!AN17,0)</f>
        <v>0</v>
      </c>
      <c r="AS17" s="1131">
        <f>IF(예산실적비교표!AO17&lt;&gt;"",예산실적비교표!AO17,0)</f>
        <v>0</v>
      </c>
      <c r="AT17" s="1118">
        <f t="shared" si="5"/>
        <v>0</v>
      </c>
      <c r="AU17" s="1132">
        <f>IF(예산실적비교표!AQ17&lt;&gt;"",예산실적비교표!AQ17,0)</f>
        <v>0</v>
      </c>
      <c r="AV17" s="1120">
        <f t="shared" si="6"/>
        <v>0</v>
      </c>
      <c r="AW17" s="1121">
        <f>IF(AR17="","",ROUND((AT17*$AT$7)*데이터입력!$AE$14+(AT17*$AU$7)*데이터입력!$AE$14+(AT17*$AU$7*$AV$7)*데이터입력!$AE$14+(AT17*$AW$7)*데이터입력!$AE$14+(AT17*$AX$7)*데이터입력!$AE$14,-1))</f>
        <v>0</v>
      </c>
      <c r="AX17" s="1122">
        <f t="shared" si="7"/>
        <v>0</v>
      </c>
      <c r="AY17" s="1123">
        <f>IFERROR(IF(AR17+AS17=0,0,ROUND(IF(데이터입력!$AE$14=100%,ROUND(AR17*$AR$1,-3),ROUND(AR17*$AR$1,-3)-ROUND(((AR17*$AR$1)*$AT$4)*(데이터입력!$AE$14-100%)+((AR17*$AR$1)*$AU$4)*(데이터입력!$AE$14-100%)+((AR17*$AR$1)*$AU$4*$AV$4)*(데이터입력!$AE$14-100%)+((AR17*$AR$1)*$AW$4)*(데이터입력!$AE$14-100%),-1)),0)),0)</f>
        <v>0</v>
      </c>
      <c r="AZ17" s="1124">
        <f>IFERROR(IF(AR17+AS17=0,0,IF(데이터입력!$AE$12=100%,(AT17),(AT17)+ROUND(AT17*(데이터입력!$AE$12-100%),-1))),0)</f>
        <v>0</v>
      </c>
      <c r="BA17" s="1263" t="str">
        <f t="shared" si="8"/>
        <v/>
      </c>
      <c r="BB17" s="1264" t="str">
        <f>IF(BA17="","",IF(데이터입력!$O$68="",ROUND(AZ17/12,0),ROUND(데이터입력!$O$68/데이터입력!$Y$8/$BC$11,0)))</f>
        <v/>
      </c>
      <c r="BC17" s="1138" t="str">
        <f>데이터입력!$B$46</f>
        <v>일용잡급(직접비)</v>
      </c>
      <c r="BD17" s="1139">
        <f>보수일람표!$K$262</f>
        <v>0</v>
      </c>
      <c r="BE17" s="1139">
        <f>데이터입력!$L$46</f>
        <v>0</v>
      </c>
      <c r="BF17" s="1140">
        <f t="shared" si="9"/>
        <v>0</v>
      </c>
    </row>
    <row r="18" spans="1:58" ht="17.25" thickBot="1">
      <c r="A18" s="1046" t="str">
        <f>IF($AM$1=TRUE,IF(K18="","",SUBTOTAL(2,$K$3:K18)),IF(AND(M18="",N18=""),"",IF(N18="",COUNT($M$3:M18),COUNT($N$3:N18)+200)))</f>
        <v/>
      </c>
      <c r="B18" s="365" t="s">
        <v>25</v>
      </c>
      <c r="C18" s="365" t="s">
        <v>528</v>
      </c>
      <c r="D18" s="364">
        <v>407010101</v>
      </c>
      <c r="E18" s="364" t="s">
        <v>83</v>
      </c>
      <c r="F18" s="364" t="s">
        <v>6</v>
      </c>
      <c r="G18" s="366">
        <f>IFERROR(IF($E18="06",VLOOKUP($B18,예산실적비교표!$O$7:$R$200,2,FALSE),0),0)</f>
        <v>0</v>
      </c>
      <c r="H18" s="366">
        <f>IFERROR(IF($E18="06",VLOOKUP($C18,세입예산서!$K$3:$X$205,12,FALSE),0),0)</f>
        <v>0</v>
      </c>
      <c r="I18" s="366">
        <f>IFERROR(IF($E18="07",VLOOKUP($C18,세입예산서!$K$3:$X$205,13,FALSE),0),0)</f>
        <v>0</v>
      </c>
      <c r="J18" s="366">
        <f>IFERROR(IF($E18="05",VLOOKUP($C18,세입예산서!$K$3:$X$205,14,FALSE),0),0)</f>
        <v>0</v>
      </c>
      <c r="K18" s="366" t="str">
        <f t="shared" si="0"/>
        <v/>
      </c>
      <c r="L18" s="367">
        <f>IFERROR(IF($AB$2="",0,ROUNDUP(VLOOKUP($B18,예산실적비교표!$O$7:$R$200,3,FALSE)/$Y$9,-3)*$Y$8),0)</f>
        <v>0</v>
      </c>
      <c r="M18" s="708" t="str">
        <f>IF($AM$1=TRUE,IF(K18="","",IF(IF($AE$2="",IF(K18="","",SUBTOTAL(2,$K$3:K18)),IF(AND(G18&gt;=0,K18=""),"",IF(AND(G18&gt;0,OR(K18&gt;0,K18&lt;0)),SUBTOTAL(2,$K$3:K18),IF(AND(G18=0,OR(K18&gt;0,K18&lt;0)),SUBTOTAL(2,$K$3:K18)+200,""))))&gt;200,"",1)),IF(K18="","",IF(IF($AE$2="",IF(K18="","",SUBTOTAL(2,$K$3:K18)),IF(AND(G18&gt;=0,K18=""),"",IF(AND(G18&gt;0,OR(K18&gt;0,K18&lt;0)),SUBTOTAL(2,$K$3:K18),IF(AND(G18=0,OR(K18&gt;0,K18&lt;0)),SUBTOTAL(2,$K$3:K18)+200,""))))&gt;200,"",1)))</f>
        <v/>
      </c>
      <c r="N18" s="214" t="str">
        <f>IF($AM$1=TRUE,IF(K18="","",IF(IF($AE$2="",IF(K18="","",SUBTOTAL(2,$K$3:K18)),IF(AND(G18&gt;=0,K18=""),"",IF(AND(G18&gt;0,OR(K18&gt;0,K18&lt;0)),SUBTOTAL(2,$K$3:K18),IF(AND(G18=0,OR(K18&gt;0,K18&lt;0)),SUBTOTAL(2,$K$3:K18)+200,""))))&lt;=200,"",2)),IF(K18="","",IF(IF($AE$2="",IF(K18="","",SUBTOTAL(2,$K$3:K18)),IF(AND(G18&gt;=0,K18=""),"",IF(AND(G18&gt;0,OR(K18&gt;0,K18&lt;0)),SUBTOTAL(2,$K$3:K18),IF(AND(G18=0,OR(K18&gt;0,K18&lt;0)),SUBTOTAL(2,$K$3:K18)+200,""))))&lt;=200,"",2)))</f>
        <v/>
      </c>
      <c r="O18" s="533">
        <v>0</v>
      </c>
      <c r="P18" s="375">
        <f>IF(AND($AB$2=R18,($L$3+$L$14)=0),ROUND(($AF$7-$Y$26)*O18,0),IF($AB$2=R18,ROUND((($L$3+$L$14)/$Y$8*100%*O18)/(T18*V18),0),0))</f>
        <v>0</v>
      </c>
      <c r="Q18" s="547">
        <v>0</v>
      </c>
      <c r="R18" s="376" t="s">
        <v>108</v>
      </c>
      <c r="S18" s="394" t="s">
        <v>138</v>
      </c>
      <c r="T18" s="732">
        <f>IF($AE$2="",IF($Y$1=2023,예산평균!AE36,예산평균!AF36),예산평균!AE36)</f>
        <v>52050</v>
      </c>
      <c r="U18" s="371">
        <f t="shared" si="1"/>
        <v>0</v>
      </c>
      <c r="V18" s="557">
        <f>V13</f>
        <v>21</v>
      </c>
      <c r="X18" s="389" t="s">
        <v>169</v>
      </c>
      <c r="Y18" s="1545">
        <f>Y16-Y17</f>
        <v>0</v>
      </c>
      <c r="Z18" s="1546"/>
      <c r="AA18" s="392" t="s">
        <v>169</v>
      </c>
      <c r="AB18" s="1545">
        <f>AB16-AB17</f>
        <v>0</v>
      </c>
      <c r="AC18" s="1546"/>
      <c r="AD18" s="652" t="s">
        <v>169</v>
      </c>
      <c r="AE18" s="1545">
        <f>AE16-AE17</f>
        <v>0</v>
      </c>
      <c r="AF18" s="1546"/>
      <c r="AH18" s="395" t="s">
        <v>233</v>
      </c>
      <c r="AI18" s="582">
        <f>IF($AE$2="",IF($Y$1=2023,예산평균!AD13,예산평균!AE13),예산평균!AD13)</f>
        <v>0.65800000000000003</v>
      </c>
      <c r="AJ18" s="584">
        <v>3</v>
      </c>
      <c r="AP18" s="1128" t="str">
        <f>IF(예산실적비교표!AL18&lt;&gt;"",예산실적비교표!AL18,"")</f>
        <v/>
      </c>
      <c r="AQ18" s="1129" t="str">
        <f>IF(예산실적비교표!AM18&lt;&gt;"",예산실적비교표!AM18,"")</f>
        <v/>
      </c>
      <c r="AR18" s="1130">
        <f>IF(예산실적비교표!AN18&lt;&gt;"",예산실적비교표!AN18,0)</f>
        <v>0</v>
      </c>
      <c r="AS18" s="1131">
        <f>IF(예산실적비교표!AO18&lt;&gt;"",예산실적비교표!AO18,0)</f>
        <v>0</v>
      </c>
      <c r="AT18" s="1118">
        <f t="shared" si="5"/>
        <v>0</v>
      </c>
      <c r="AU18" s="1132">
        <f>IF(예산실적비교표!AQ18&lt;&gt;"",예산실적비교표!AQ18,0)</f>
        <v>0</v>
      </c>
      <c r="AV18" s="1120">
        <f t="shared" si="6"/>
        <v>0</v>
      </c>
      <c r="AW18" s="1121">
        <f>IF(AR18="","",ROUND((AT18*$AT$7)*데이터입력!$AE$14+(AT18*$AU$7)*데이터입력!$AE$14+(AT18*$AU$7*$AV$7)*데이터입력!$AE$14+(AT18*$AW$7)*데이터입력!$AE$14+(AT18*$AX$7)*데이터입력!$AE$14,-1))</f>
        <v>0</v>
      </c>
      <c r="AX18" s="1122">
        <f t="shared" si="7"/>
        <v>0</v>
      </c>
      <c r="AY18" s="1123">
        <f>IFERROR(IF(AR18+AS18=0,0,ROUND(IF(데이터입력!$AE$14=100%,ROUND(AR18*$AR$1,-3),ROUND(AR18*$AR$1,-3)-ROUND(((AR18*$AR$1)*$AT$4)*(데이터입력!$AE$14-100%)+((AR18*$AR$1)*$AU$4)*(데이터입력!$AE$14-100%)+((AR18*$AR$1)*$AU$4*$AV$4)*(데이터입력!$AE$14-100%)+((AR18*$AR$1)*$AW$4)*(데이터입력!$AE$14-100%),-1)),0)),0)</f>
        <v>0</v>
      </c>
      <c r="AZ18" s="1124">
        <f>IFERROR(IF(AR18+AS18=0,0,IF(데이터입력!$AE$12=100%,(AT18),(AT18)+ROUND(AT18*(데이터입력!$AE$12-100%),-1))),0)</f>
        <v>0</v>
      </c>
      <c r="BA18" s="1263" t="str">
        <f t="shared" si="8"/>
        <v/>
      </c>
      <c r="BB18" s="1264" t="str">
        <f>IF(BA18="","",IF(데이터입력!$O$68="",ROUND(AZ18/12,0),ROUND(데이터입력!$O$68/데이터입력!$Y$8/$BC$11,0)))</f>
        <v/>
      </c>
      <c r="BC18" s="1138" t="str">
        <f>데이터입력!$B$47</f>
        <v>일용잡급(간접비)</v>
      </c>
      <c r="BD18" s="1139">
        <f>보수일람표!$K$261</f>
        <v>0</v>
      </c>
      <c r="BE18" s="1139">
        <f>데이터입력!$L$47</f>
        <v>0</v>
      </c>
      <c r="BF18" s="1140">
        <f t="shared" si="9"/>
        <v>0</v>
      </c>
    </row>
    <row r="19" spans="1:58" ht="21" thickBot="1">
      <c r="A19" s="1046" t="str">
        <f>IF($AM$1=TRUE,IF(K19="","",SUBTOTAL(2,$K$3:K19)),IF(AND(M19="",N19=""),"",IF(N19="",COUNT($M$3:M19),COUNT($N$3:N19)+200)))</f>
        <v/>
      </c>
      <c r="B19" s="365" t="s">
        <v>26</v>
      </c>
      <c r="C19" s="365" t="s">
        <v>529</v>
      </c>
      <c r="D19" s="364">
        <v>407010201</v>
      </c>
      <c r="E19" s="364" t="s">
        <v>83</v>
      </c>
      <c r="F19" s="364" t="s">
        <v>6</v>
      </c>
      <c r="G19" s="366">
        <f>IFERROR(IF($E19="06",VLOOKUP($B19,예산실적비교표!$O$7:$R$200,2,FALSE),0),0)</f>
        <v>0</v>
      </c>
      <c r="H19" s="366">
        <f>IFERROR(IF($E19="06",VLOOKUP($C19,세입예산서!$K$3:$X$205,12,FALSE),0),0)</f>
        <v>0</v>
      </c>
      <c r="I19" s="366">
        <f>IFERROR(IF($E19="07",VLOOKUP($C19,세입예산서!$K$3:$X$205,13,FALSE),0),0)</f>
        <v>0</v>
      </c>
      <c r="J19" s="366">
        <f>IFERROR(IF($E19="05",VLOOKUP($C19,세입예산서!$K$3:$X$205,14,FALSE),0),0)</f>
        <v>0</v>
      </c>
      <c r="K19" s="366" t="str">
        <f t="shared" si="0"/>
        <v/>
      </c>
      <c r="L19" s="367">
        <f>IFERROR(IF($AB$2="",0,ROUNDUP(VLOOKUP($B19,예산실적비교표!$O$7:$R$200,3,FALSE)/$Y$9,-3)*$Y$8),0)</f>
        <v>0</v>
      </c>
      <c r="M19" s="708" t="str">
        <f>IF($AM$1=TRUE,IF(K19="","",IF(IF($AE$2="",IF(K19="","",SUBTOTAL(2,$K$3:K19)),IF(AND(G19&gt;=0,K19=""),"",IF(AND(G19&gt;0,OR(K19&gt;0,K19&lt;0)),SUBTOTAL(2,$K$3:K19),IF(AND(G19=0,OR(K19&gt;0,K19&lt;0)),SUBTOTAL(2,$K$3:K19)+200,""))))&gt;200,"",1)),IF(K19="","",IF(IF($AE$2="",IF(K19="","",SUBTOTAL(2,$K$3:K19)),IF(AND(G19&gt;=0,K19=""),"",IF(AND(G19&gt;0,OR(K19&gt;0,K19&lt;0)),SUBTOTAL(2,$K$3:K19),IF(AND(G19=0,OR(K19&gt;0,K19&lt;0)),SUBTOTAL(2,$K$3:K19)+200,""))))&gt;200,"",1)))</f>
        <v/>
      </c>
      <c r="N19" s="214" t="str">
        <f>IF($AM$1=TRUE,IF(K19="","",IF(IF($AE$2="",IF(K19="","",SUBTOTAL(2,$K$3:K19)),IF(AND(G19&gt;=0,K19=""),"",IF(AND(G19&gt;0,OR(K19&gt;0,K19&lt;0)),SUBTOTAL(2,$K$3:K19),IF(AND(G19=0,OR(K19&gt;0,K19&lt;0)),SUBTOTAL(2,$K$3:K19)+200,""))))&lt;=200,"",2)),IF(K19="","",IF(IF($AE$2="",IF(K19="","",SUBTOTAL(2,$K$3:K19)),IF(AND(G19&gt;=0,K19=""),"",IF(AND(G19&gt;0,OR(K19&gt;0,K19&lt;0)),SUBTOTAL(2,$K$3:K19),IF(AND(G19=0,OR(K19&gt;0,K19&lt;0)),SUBTOTAL(2,$K$3:K19)+200,""))))&lt;=200,"",2)))</f>
        <v/>
      </c>
      <c r="O19" s="533">
        <f>IF(Q19="",0%,10%)</f>
        <v>0.1</v>
      </c>
      <c r="P19" s="375">
        <f>IF(AND($AB$2=R19,($L$3+$L$14)=0),ROUND(($AF$7-$Y$26)*O19,0),IF($AB$2=R19,ROUND((($L$3+$L$14)/$Y$8*100%*O19)/(T19*V19),0),0))</f>
        <v>0</v>
      </c>
      <c r="Q19" s="547">
        <v>0</v>
      </c>
      <c r="R19" s="376" t="s">
        <v>112</v>
      </c>
      <c r="S19" s="377" t="s">
        <v>107</v>
      </c>
      <c r="T19" s="732">
        <f>IF($AE$2="",IF($Y$1=2023,예산평균!AE37,예산평균!AF37),예산평균!AE37)</f>
        <v>63250</v>
      </c>
      <c r="U19" s="371">
        <f t="shared" si="1"/>
        <v>0</v>
      </c>
      <c r="V19" s="557">
        <v>15</v>
      </c>
      <c r="X19" s="1446" t="s">
        <v>170</v>
      </c>
      <c r="Y19" s="1447"/>
      <c r="Z19" s="1448"/>
      <c r="AA19" s="1446" t="s">
        <v>170</v>
      </c>
      <c r="AB19" s="1447"/>
      <c r="AC19" s="1448"/>
      <c r="AD19" s="1446" t="s">
        <v>170</v>
      </c>
      <c r="AE19" s="1447"/>
      <c r="AF19" s="1448"/>
      <c r="AH19" s="395" t="s">
        <v>234</v>
      </c>
      <c r="AI19" s="582">
        <f>IF($AE$2="",IF($Y$1=2023,예산평균!AD14,예산평균!AE14),예산평균!AD14)</f>
        <v>0.49</v>
      </c>
      <c r="AJ19" s="584">
        <v>7</v>
      </c>
      <c r="AP19" s="1128" t="str">
        <f>IF(예산실적비교표!AL19&lt;&gt;"",예산실적비교표!AL19,"")</f>
        <v/>
      </c>
      <c r="AQ19" s="1129" t="str">
        <f>IF(예산실적비교표!AM19&lt;&gt;"",예산실적비교표!AM19,"")</f>
        <v/>
      </c>
      <c r="AR19" s="1130">
        <f>IF(예산실적비교표!AN19&lt;&gt;"",예산실적비교표!AN19,0)</f>
        <v>0</v>
      </c>
      <c r="AS19" s="1131">
        <f>IF(예산실적비교표!AO19&lt;&gt;"",예산실적비교표!AO19,0)</f>
        <v>0</v>
      </c>
      <c r="AT19" s="1118">
        <f t="shared" si="5"/>
        <v>0</v>
      </c>
      <c r="AU19" s="1132">
        <f>IF(예산실적비교표!AQ19&lt;&gt;"",예산실적비교표!AQ19,0)</f>
        <v>0</v>
      </c>
      <c r="AV19" s="1120">
        <f t="shared" si="6"/>
        <v>0</v>
      </c>
      <c r="AW19" s="1121">
        <f>IF(AR19="","",ROUND((AT19*$AT$7)*데이터입력!$AE$14+(AT19*$AU$7)*데이터입력!$AE$14+(AT19*$AU$7*$AV$7)*데이터입력!$AE$14+(AT19*$AW$7)*데이터입력!$AE$14+(AT19*$AX$7)*데이터입력!$AE$14,-1))</f>
        <v>0</v>
      </c>
      <c r="AX19" s="1122">
        <f t="shared" si="7"/>
        <v>0</v>
      </c>
      <c r="AY19" s="1123">
        <f>IFERROR(IF(AR19+AS19=0,0,ROUND(IF(데이터입력!$AE$14=100%,ROUND(AR19*$AR$1,-3),ROUND(AR19*$AR$1,-3)-ROUND(((AR19*$AR$1)*$AT$4)*(데이터입력!$AE$14-100%)+((AR19*$AR$1)*$AU$4)*(데이터입력!$AE$14-100%)+((AR19*$AR$1)*$AU$4*$AV$4)*(데이터입력!$AE$14-100%)+((AR19*$AR$1)*$AW$4)*(데이터입력!$AE$14-100%),-1)),0)),0)</f>
        <v>0</v>
      </c>
      <c r="AZ19" s="1124">
        <f>IFERROR(IF(AR19+AS19=0,0,IF(데이터입력!$AE$12=100%,(AT19),(AT19)+ROUND(AT19*(데이터입력!$AE$12-100%),-1))),0)</f>
        <v>0</v>
      </c>
      <c r="BA19" s="1263" t="str">
        <f t="shared" si="8"/>
        <v/>
      </c>
      <c r="BB19" s="1264" t="str">
        <f>IF(BA19="","",IF(데이터입력!$O$68="",ROUND(AZ19/12,0),ROUND(데이터입력!$O$68/데이터입력!$Y$8/$BC$11,0)))</f>
        <v/>
      </c>
      <c r="BC19" s="1138" t="str">
        <f>데이터입력!$B$48</f>
        <v>퇴직금 및 퇴직적립금(직접비)</v>
      </c>
      <c r="BD19" s="1139">
        <f>보수일람표!$L$262</f>
        <v>10578012</v>
      </c>
      <c r="BE19" s="1139">
        <f>데이터입력!$L$48</f>
        <v>8484000</v>
      </c>
      <c r="BF19" s="1140">
        <f t="shared" si="9"/>
        <v>0</v>
      </c>
    </row>
    <row r="20" spans="1:58" ht="17.25" thickBot="1">
      <c r="A20" s="1046" t="str">
        <f>IF($AM$1=TRUE,IF(K20="","",SUBTOTAL(2,$K$3:K20)),IF(AND(M20="",N20=""),"",IF(N20="",COUNT($M$3:M20),COUNT($N$3:N20)+200)))</f>
        <v/>
      </c>
      <c r="B20" s="365" t="s">
        <v>27</v>
      </c>
      <c r="C20" s="365" t="s">
        <v>530</v>
      </c>
      <c r="D20" s="364">
        <v>408010101</v>
      </c>
      <c r="E20" s="364" t="s">
        <v>83</v>
      </c>
      <c r="F20" s="364" t="s">
        <v>6</v>
      </c>
      <c r="G20" s="366">
        <f>IFERROR(IF($E20="06",VLOOKUP($B20,예산실적비교표!$O$7:$R$200,2,FALSE),0),0)</f>
        <v>0</v>
      </c>
      <c r="H20" s="366">
        <f>IFERROR(IF($E20="06",VLOOKUP($C20,세입예산서!$K$3:$X$205,12,FALSE),0),0)</f>
        <v>0</v>
      </c>
      <c r="I20" s="366">
        <f>IFERROR(IF($E20="07",VLOOKUP($C20,세입예산서!$K$3:$X$205,13,FALSE),0),0)</f>
        <v>0</v>
      </c>
      <c r="J20" s="366">
        <f>IFERROR(IF($E20="05",VLOOKUP($C20,세입예산서!$K$3:$X$205,14,FALSE),0),0)</f>
        <v>0</v>
      </c>
      <c r="K20" s="366" t="str">
        <f t="shared" si="0"/>
        <v/>
      </c>
      <c r="L20" s="367">
        <f>IFERROR(IF($AB$2="",0,ROUNDUP(VLOOKUP($B20,예산실적비교표!$O$7:$R$200,3,FALSE)/$Y$9,-3)*$Y$8),0)</f>
        <v>0</v>
      </c>
      <c r="M20" s="708" t="str">
        <f>IF($AM$1=TRUE,IF(K20="","",IF(IF($AE$2="",IF(K20="","",SUBTOTAL(2,$K$3:K20)),IF(AND(G20&gt;=0,K20=""),"",IF(AND(G20&gt;0,OR(K20&gt;0,K20&lt;0)),SUBTOTAL(2,$K$3:K20),IF(AND(G20=0,OR(K20&gt;0,K20&lt;0)),SUBTOTAL(2,$K$3:K20)+200,""))))&gt;200,"",1)),IF(K20="","",IF(IF($AE$2="",IF(K20="","",SUBTOTAL(2,$K$3:K20)),IF(AND(G20&gt;=0,K20=""),"",IF(AND(G20&gt;0,OR(K20&gt;0,K20&lt;0)),SUBTOTAL(2,$K$3:K20),IF(AND(G20=0,OR(K20&gt;0,K20&lt;0)),SUBTOTAL(2,$K$3:K20)+200,""))))&gt;200,"",1)))</f>
        <v/>
      </c>
      <c r="N20" s="214" t="str">
        <f>IF($AM$1=TRUE,IF(K20="","",IF(IF($AE$2="",IF(K20="","",SUBTOTAL(2,$K$3:K20)),IF(AND(G20&gt;=0,K20=""),"",IF(AND(G20&gt;0,OR(K20&gt;0,K20&lt;0)),SUBTOTAL(2,$K$3:K20),IF(AND(G20=0,OR(K20&gt;0,K20&lt;0)),SUBTOTAL(2,$K$3:K20)+200,""))))&lt;=200,"",2)),IF(K20="","",IF(IF($AE$2="",IF(K20="","",SUBTOTAL(2,$K$3:K20)),IF(AND(G20&gt;=0,K20=""),"",IF(AND(G20&gt;0,OR(K20&gt;0,K20&lt;0)),SUBTOTAL(2,$K$3:K20),IF(AND(G20=0,OR(K20&gt;0,K20&lt;0)),SUBTOTAL(2,$K$3:K20)+200,""))))&lt;=200,"",2)))</f>
        <v/>
      </c>
      <c r="O20" s="533">
        <f>IF(Q20="",0%,20%)</f>
        <v>0.2</v>
      </c>
      <c r="P20" s="375">
        <f>IF(AND($AB$2=R20,($L$3+$L$14)=0),ROUND(($AF$7-$Y$26)*O20,0),IF($AB$2=R20,ROUND((($L$3+$L$14)/$Y$8*100%*O20)/(T20*V20),0),0))</f>
        <v>0</v>
      </c>
      <c r="Q20" s="547">
        <v>0</v>
      </c>
      <c r="R20" s="376" t="s">
        <v>112</v>
      </c>
      <c r="S20" s="377" t="s">
        <v>104</v>
      </c>
      <c r="T20" s="732">
        <f>IF($AE$2="",IF($Y$1=2023,예산평균!AE38,예산평균!AF38),예산평균!AE38)</f>
        <v>58570</v>
      </c>
      <c r="U20" s="371">
        <f t="shared" si="1"/>
        <v>0</v>
      </c>
      <c r="V20" s="557">
        <f>V19</f>
        <v>15</v>
      </c>
      <c r="X20" s="396" t="s">
        <v>171</v>
      </c>
      <c r="Y20" s="1543">
        <v>30000000</v>
      </c>
      <c r="Z20" s="1544"/>
      <c r="AA20" s="391" t="s">
        <v>186</v>
      </c>
      <c r="AB20" s="1537"/>
      <c r="AC20" s="1538"/>
      <c r="AD20" s="387" t="s">
        <v>172</v>
      </c>
      <c r="AE20" s="1539">
        <f>VLOOKUP(AD20,$B$111:$L$137,11,FALSE)</f>
        <v>0</v>
      </c>
      <c r="AF20" s="1540"/>
      <c r="AH20" s="395" t="s">
        <v>235</v>
      </c>
      <c r="AI20" s="582">
        <f>IF($AE$2="",IF($Y$1=2023,예산평균!AD15,예산평균!AE15),예산평균!AD15)</f>
        <v>0.59299999999999997</v>
      </c>
      <c r="AJ20" s="584">
        <v>4</v>
      </c>
      <c r="AP20" s="1128" t="str">
        <f>IF(예산실적비교표!AL20&lt;&gt;"",예산실적비교표!AL20,"")</f>
        <v/>
      </c>
      <c r="AQ20" s="1129" t="str">
        <f>IF(예산실적비교표!AM20&lt;&gt;"",예산실적비교표!AM20,"")</f>
        <v/>
      </c>
      <c r="AR20" s="1130">
        <f>IF(예산실적비교표!AN20&lt;&gt;"",예산실적비교표!AN20,0)</f>
        <v>0</v>
      </c>
      <c r="AS20" s="1131">
        <f>IF(예산실적비교표!AO20&lt;&gt;"",예산실적비교표!AO20,0)</f>
        <v>0</v>
      </c>
      <c r="AT20" s="1118">
        <f t="shared" si="5"/>
        <v>0</v>
      </c>
      <c r="AU20" s="1132">
        <f>IF(예산실적비교표!AQ20&lt;&gt;"",예산실적비교표!AQ20,0)</f>
        <v>0</v>
      </c>
      <c r="AV20" s="1120">
        <f t="shared" si="6"/>
        <v>0</v>
      </c>
      <c r="AW20" s="1121">
        <f>IF(AR20="","",ROUND((AT20*$AT$7)*데이터입력!$AE$14+(AT20*$AU$7)*데이터입력!$AE$14+(AT20*$AU$7*$AV$7)*데이터입력!$AE$14+(AT20*$AW$7)*데이터입력!$AE$14+(AT20*$AX$7)*데이터입력!$AE$14,-1))</f>
        <v>0</v>
      </c>
      <c r="AX20" s="1122">
        <f t="shared" si="7"/>
        <v>0</v>
      </c>
      <c r="AY20" s="1123">
        <f>IFERROR(IF(AR20+AS20=0,0,ROUND(IF(데이터입력!$AE$14=100%,ROUND(AR20*$AR$1,-3),ROUND(AR20*$AR$1,-3)-ROUND(((AR20*$AR$1)*$AT$4)*(데이터입력!$AE$14-100%)+((AR20*$AR$1)*$AU$4)*(데이터입력!$AE$14-100%)+((AR20*$AR$1)*$AU$4*$AV$4)*(데이터입력!$AE$14-100%)+((AR20*$AR$1)*$AW$4)*(데이터입력!$AE$14-100%),-1)),0)),0)</f>
        <v>0</v>
      </c>
      <c r="AZ20" s="1124">
        <f>IFERROR(IF(AR20+AS20=0,0,IF(데이터입력!$AE$12=100%,(AT20),(AT20)+ROUND(AT20*(데이터입력!$AE$12-100%),-1))),0)</f>
        <v>0</v>
      </c>
      <c r="BA20" s="1263" t="str">
        <f t="shared" si="8"/>
        <v/>
      </c>
      <c r="BB20" s="1264" t="str">
        <f>IF(BA20="","",IF(데이터입력!$O$68="",ROUND(AZ20/12,0),ROUND(데이터입력!$O$68/데이터입력!$Y$8/$BC$11,0)))</f>
        <v/>
      </c>
      <c r="BC20" s="1283" t="str">
        <f>데이터입력!$B$49</f>
        <v>퇴직금 및 퇴직적립금(간접비)</v>
      </c>
      <c r="BD20" s="1282">
        <f>보수일람표!$L$261</f>
        <v>4800000</v>
      </c>
      <c r="BE20" s="1282">
        <f>데이터입력!$L$49</f>
        <v>1860000</v>
      </c>
      <c r="BF20" s="1143">
        <f t="shared" si="9"/>
        <v>0</v>
      </c>
    </row>
    <row r="21" spans="1:58">
      <c r="A21" s="1046" t="str">
        <f>IF($AM$1=TRUE,IF(K21="","",SUBTOTAL(2,$K$3:K21)),IF(AND(M21="",N21=""),"",IF(N21="",COUNT($M$3:M21),COUNT($N$3:N21)+200)))</f>
        <v/>
      </c>
      <c r="B21" s="365" t="s">
        <v>29</v>
      </c>
      <c r="C21" s="365" t="s">
        <v>531</v>
      </c>
      <c r="D21" s="364">
        <v>408010301</v>
      </c>
      <c r="E21" s="364" t="s">
        <v>83</v>
      </c>
      <c r="F21" s="364" t="s">
        <v>6</v>
      </c>
      <c r="G21" s="366">
        <f>IFERROR(IF($E21="06",VLOOKUP($B21,예산실적비교표!$O$7:$R$200,2,FALSE),0),0)</f>
        <v>0</v>
      </c>
      <c r="H21" s="366">
        <f>IFERROR(IF($E21="06",VLOOKUP($C21,세입예산서!$K$3:$X$205,12,FALSE),0),0)</f>
        <v>0</v>
      </c>
      <c r="I21" s="366">
        <f>IFERROR(IF($E21="07",VLOOKUP($C21,세입예산서!$K$3:$X$205,13,FALSE),0),0)</f>
        <v>0</v>
      </c>
      <c r="J21" s="366">
        <f>IFERROR(IF($E21="05",VLOOKUP($C21,세입예산서!$K$3:$X$205,14,FALSE),0),0)</f>
        <v>0</v>
      </c>
      <c r="K21" s="366" t="str">
        <f t="shared" si="0"/>
        <v/>
      </c>
      <c r="L21" s="367">
        <f>IFERROR(IF($AB$2="",0,ROUNDUP(VLOOKUP($B21,예산실적비교표!$O$7:$R$200,3,FALSE)/$Y$9,-3)*$Y$8),0)</f>
        <v>0</v>
      </c>
      <c r="M21" s="708" t="str">
        <f>IF($AM$1=TRUE,IF(K21="","",IF(IF($AE$2="",IF(K21="","",SUBTOTAL(2,$K$3:K21)),IF(AND(G21&gt;=0,K21=""),"",IF(AND(G21&gt;0,OR(K21&gt;0,K21&lt;0)),SUBTOTAL(2,$K$3:K21),IF(AND(G21=0,OR(K21&gt;0,K21&lt;0)),SUBTOTAL(2,$K$3:K21)+200,""))))&gt;200,"",1)),IF(K21="","",IF(IF($AE$2="",IF(K21="","",SUBTOTAL(2,$K$3:K21)),IF(AND(G21&gt;=0,K21=""),"",IF(AND(G21&gt;0,OR(K21&gt;0,K21&lt;0)),SUBTOTAL(2,$K$3:K21),IF(AND(G21=0,OR(K21&gt;0,K21&lt;0)),SUBTOTAL(2,$K$3:K21)+200,""))))&gt;200,"",1)))</f>
        <v/>
      </c>
      <c r="N21" s="214" t="str">
        <f>IF($AM$1=TRUE,IF(K21="","",IF(IF($AE$2="",IF(K21="","",SUBTOTAL(2,$K$3:K21)),IF(AND(G21&gt;=0,K21=""),"",IF(AND(G21&gt;0,OR(K21&gt;0,K21&lt;0)),SUBTOTAL(2,$K$3:K21),IF(AND(G21=0,OR(K21&gt;0,K21&lt;0)),SUBTOTAL(2,$K$3:K21)+200,""))))&lt;=200,"",2)),IF(K21="","",IF(IF($AE$2="",IF(K21="","",SUBTOTAL(2,$K$3:K21)),IF(AND(G21&gt;=0,K21=""),"",IF(AND(G21&gt;0,OR(K21&gt;0,K21&lt;0)),SUBTOTAL(2,$K$3:K21),IF(AND(G21=0,OR(K21&gt;0,K21&lt;0)),SUBTOTAL(2,$K$3:K21)+200,""))))&lt;=200,"",2)))</f>
        <v/>
      </c>
      <c r="O21" s="533">
        <f>IF(Q21="",0%,70%)</f>
        <v>0.7</v>
      </c>
      <c r="P21" s="375">
        <f>IF($AB$2=R21,IF(OR($AF$7=0,$AF$7=""),ROUND((($L$3+$L$14)/$Y$8*100%*O21)/(T21*V21),0),$AF$7-데이터입력!P19-데이터입력!P20),0)</f>
        <v>0</v>
      </c>
      <c r="Q21" s="547">
        <v>0</v>
      </c>
      <c r="R21" s="376" t="s">
        <v>112</v>
      </c>
      <c r="S21" s="377" t="s">
        <v>105</v>
      </c>
      <c r="T21" s="732">
        <f>IF($AE$2="",IF($Y$1=2023,예산평균!AE39,예산평균!AF39),예산평균!AE39)</f>
        <v>54110</v>
      </c>
      <c r="U21" s="371">
        <f t="shared" si="1"/>
        <v>0</v>
      </c>
      <c r="V21" s="557">
        <f>V19</f>
        <v>15</v>
      </c>
      <c r="X21" s="397" t="s">
        <v>173</v>
      </c>
      <c r="Y21" s="1461">
        <v>3912994</v>
      </c>
      <c r="Z21" s="1462"/>
      <c r="AA21" s="391" t="s">
        <v>788</v>
      </c>
      <c r="AB21" s="1537"/>
      <c r="AC21" s="1538"/>
      <c r="AD21" s="650" t="s">
        <v>174</v>
      </c>
      <c r="AE21" s="1541">
        <f t="shared" ref="AE21" si="10">VLOOKUP(AD21,$B$111:$L$137,11,FALSE)</f>
        <v>0</v>
      </c>
      <c r="AF21" s="1542"/>
      <c r="AH21" s="395" t="s">
        <v>113</v>
      </c>
      <c r="AI21" s="582">
        <f>IF($AE$2="",IF($Y$1=2023,예산평균!AD16,예산평균!AE16),예산평균!AD16)</f>
        <v>0.86599999999999999</v>
      </c>
      <c r="AJ21" s="584">
        <v>1.5</v>
      </c>
      <c r="AP21" s="1128" t="str">
        <f>IF(예산실적비교표!AL21&lt;&gt;"",예산실적비교표!AL21,"")</f>
        <v/>
      </c>
      <c r="AQ21" s="1129" t="str">
        <f>IF(예산실적비교표!AM21&lt;&gt;"",예산실적비교표!AM21,"")</f>
        <v/>
      </c>
      <c r="AR21" s="1130">
        <f>IF(예산실적비교표!AN21&lt;&gt;"",예산실적비교표!AN21,0)</f>
        <v>0</v>
      </c>
      <c r="AS21" s="1131">
        <f>IF(예산실적비교표!AO21&lt;&gt;"",예산실적비교표!AO21,0)</f>
        <v>0</v>
      </c>
      <c r="AT21" s="1118">
        <f t="shared" si="5"/>
        <v>0</v>
      </c>
      <c r="AU21" s="1132">
        <f>IF(예산실적비교표!AQ21&lt;&gt;"",예산실적비교표!AQ21,0)</f>
        <v>0</v>
      </c>
      <c r="AV21" s="1120">
        <f t="shared" si="6"/>
        <v>0</v>
      </c>
      <c r="AW21" s="1121">
        <f>IF(AR21="","",ROUND((AT21*$AT$7)*데이터입력!$AE$14+(AT21*$AU$7)*데이터입력!$AE$14+(AT21*$AU$7*$AV$7)*데이터입력!$AE$14+(AT21*$AW$7)*데이터입력!$AE$14+(AT21*$AX$7)*데이터입력!$AE$14,-1))</f>
        <v>0</v>
      </c>
      <c r="AX21" s="1122">
        <f t="shared" si="7"/>
        <v>0</v>
      </c>
      <c r="AY21" s="1123">
        <f>IFERROR(IF(AR21+AS21=0,0,ROUND(IF(데이터입력!$AE$14=100%,ROUND(AR21*$AR$1,-3),ROUND(AR21*$AR$1,-3)-ROUND(((AR21*$AR$1)*$AT$4)*(데이터입력!$AE$14-100%)+((AR21*$AR$1)*$AU$4)*(데이터입력!$AE$14-100%)+((AR21*$AR$1)*$AU$4*$AV$4)*(데이터입력!$AE$14-100%)+((AR21*$AR$1)*$AW$4)*(데이터입력!$AE$14-100%),-1)),0)),0)</f>
        <v>0</v>
      </c>
      <c r="AZ21" s="1124">
        <f>IFERROR(IF(AR21+AS21=0,0,IF(데이터입력!$AE$12=100%,(AT21),(AT21)+ROUND(AT21*(데이터입력!$AE$12-100%),-1))),0)</f>
        <v>0</v>
      </c>
      <c r="BA21" s="1263" t="str">
        <f t="shared" si="8"/>
        <v/>
      </c>
      <c r="BB21" s="1264" t="str">
        <f>IF(BA21="","",IF(데이터입력!$O$68="",ROUND(AZ21/12,0),ROUND(데이터입력!$O$68/데이터입력!$Y$8/$BC$11,0)))</f>
        <v/>
      </c>
      <c r="BC21" s="1281" t="s">
        <v>754</v>
      </c>
      <c r="BD21" s="1281" t="s">
        <v>755</v>
      </c>
      <c r="BE21" s="1348">
        <f>Y1</f>
        <v>2023</v>
      </c>
    </row>
    <row r="22" spans="1:58" ht="17.25" thickBot="1">
      <c r="A22" s="1046">
        <f>IF($AM$1=TRUE,IF(K22="","",SUBTOTAL(2,$K$3:K22)),IF(AND(M22="",N22=""),"",IF(N22="",COUNT($M$3:M22),COUNT($N$3:N22)+200)))</f>
        <v>6</v>
      </c>
      <c r="B22" s="365" t="s">
        <v>31</v>
      </c>
      <c r="C22" s="365" t="s">
        <v>532</v>
      </c>
      <c r="D22" s="364">
        <v>409010101</v>
      </c>
      <c r="E22" s="364" t="s">
        <v>83</v>
      </c>
      <c r="F22" s="364" t="s">
        <v>6</v>
      </c>
      <c r="G22" s="366">
        <f>IFERROR(IF($E22="06",VLOOKUP($B22,예산실적비교표!$O$7:$R$200,2,FALSE),0),0)</f>
        <v>24777480</v>
      </c>
      <c r="H22" s="366">
        <f>IFERROR(IF($E22="06",VLOOKUP($C22,세입예산서!$K$3:$X$205,12,FALSE),0),0)</f>
        <v>24777480</v>
      </c>
      <c r="I22" s="366">
        <f>IFERROR(IF($E22="07",VLOOKUP($C22,세입예산서!$K$3:$X$205,13,FALSE),0),0)</f>
        <v>0</v>
      </c>
      <c r="J22" s="366">
        <f>IFERROR(IF($E22="05",VLOOKUP($C22,세입예산서!$K$3:$X$205,14,FALSE),0),0)</f>
        <v>0</v>
      </c>
      <c r="K22" s="366">
        <f t="shared" si="0"/>
        <v>0</v>
      </c>
      <c r="L22" s="367">
        <f>IFERROR(IF($AB$2="",0,ROUNDUP(VLOOKUP($B22,예산실적비교표!$O$7:$R$200,3,FALSE),0)),0)</f>
        <v>24777480</v>
      </c>
      <c r="M22" s="708" t="str">
        <f>IF($AM$1=TRUE,IF(K22="","",IF(IF($AE$2="",IF(K22="","",SUBTOTAL(2,$K$3:K22)),IF(AND(G22&gt;=0,K22=""),"",IF(AND(G22&gt;0,OR(K22&gt;0,K22&lt;0)),SUBTOTAL(2,$K$3:K22),IF(AND(G22=0,OR(K22&gt;0,K22&lt;0)),SUBTOTAL(2,$K$3:K22)+200,""))))&gt;200,"",1)),IF(K22="","",IF(IF($AE$2="",IF(K22="","",SUBTOTAL(2,$K$3:K22)),IF(AND(G22&gt;=0,K22=""),"",IF(AND(G22&gt;0,OR(K22&gt;0,K22&lt;0)),SUBTOTAL(2,$K$3:K22),IF(AND(G22=0,OR(K22&gt;0,K22&lt;0)),SUBTOTAL(2,$K$3:K22)+200,""))))&gt;200,"",1)))</f>
        <v/>
      </c>
      <c r="N22" s="214">
        <f>IF($AM$1=TRUE,IF(K22="","",IF(IF($AE$2="",IF(K22="","",SUBTOTAL(2,$K$3:K22)),IF(AND(G22&gt;=0,K22=""),"",IF(AND(G22&gt;0,OR(K22&gt;0,K22&lt;0)),SUBTOTAL(2,$K$3:K22),IF(AND(G22=0,OR(K22&gt;0,K22&lt;0)),SUBTOTAL(2,$K$3:K22)+200,""))))&lt;=200,"",2)),IF(K22="","",IF(IF($AE$2="",IF(K22="","",SUBTOTAL(2,$K$3:K22)),IF(AND(G22&gt;=0,K22=""),"",IF(AND(G22&gt;0,OR(K22&gt;0,K22&lt;0)),SUBTOTAL(2,$K$3:K22),IF(AND(G22=0,OR(K22&gt;0,K22&lt;0)),SUBTOTAL(2,$K$3:K22)+200,""))))&lt;=200,"",2)))</f>
        <v>2</v>
      </c>
      <c r="O22" s="533">
        <f>IF(Q22="",0%,90%)</f>
        <v>0.9</v>
      </c>
      <c r="P22" s="375">
        <f>IF($AB$2=$R$22,IF(OR($AF$7=0,$AF$7=""),ROUND((($L$3+$L$14)/$Y$8*120%*O22)/(T22*V22),0),IF(AND($AE$2="",$AF$7=예산실적비교표!$C$4),ROUND(($AF$7)*O22,0),ROUND($AF$7*O22,0))),0)</f>
        <v>0</v>
      </c>
      <c r="Q22" s="547">
        <v>0</v>
      </c>
      <c r="R22" s="376" t="s">
        <v>113</v>
      </c>
      <c r="S22" s="377" t="s">
        <v>114</v>
      </c>
      <c r="T22" s="732">
        <f>IF($AE$2="",IF($Y$1=2023,예산평균!AE40,예산평균!AF40),예산평균!AE40)</f>
        <v>52880</v>
      </c>
      <c r="U22" s="371">
        <f t="shared" si="1"/>
        <v>0</v>
      </c>
      <c r="V22" s="557">
        <v>21</v>
      </c>
      <c r="X22" s="398" t="s">
        <v>175</v>
      </c>
      <c r="Y22" s="1553"/>
      <c r="Z22" s="1554"/>
      <c r="AA22" s="392" t="s">
        <v>244</v>
      </c>
      <c r="AB22" s="1555"/>
      <c r="AC22" s="1556"/>
      <c r="AD22" s="651" t="s">
        <v>131</v>
      </c>
      <c r="AE22" s="1557">
        <f>VLOOKUP(AD22,$B$111:$L$137,11,FALSE)</f>
        <v>0</v>
      </c>
      <c r="AF22" s="1558"/>
      <c r="AH22" s="395" t="s">
        <v>116</v>
      </c>
      <c r="AI22" s="582">
        <f>IF($AE$2="",IF($Y$1=2023,예산평균!AD17,예산평균!AE17),예산평균!AD17)</f>
        <v>0.501</v>
      </c>
      <c r="AJ22" s="584">
        <v>2</v>
      </c>
      <c r="AP22" s="1128" t="str">
        <f>IF(예산실적비교표!AL22&lt;&gt;"",예산실적비교표!AL22,"")</f>
        <v/>
      </c>
      <c r="AQ22" s="1129" t="str">
        <f>IF(예산실적비교표!AM22&lt;&gt;"",예산실적비교표!AM22,"")</f>
        <v/>
      </c>
      <c r="AR22" s="1130">
        <f>IF(예산실적비교표!AN22&lt;&gt;"",예산실적비교표!AN22,0)</f>
        <v>0</v>
      </c>
      <c r="AS22" s="1131">
        <f>IF(예산실적비교표!AO22&lt;&gt;"",예산실적비교표!AO22,0)</f>
        <v>0</v>
      </c>
      <c r="AT22" s="1118">
        <f t="shared" si="5"/>
        <v>0</v>
      </c>
      <c r="AU22" s="1132">
        <f>IF(예산실적비교표!AQ22&lt;&gt;"",예산실적비교표!AQ22,0)</f>
        <v>0</v>
      </c>
      <c r="AV22" s="1120">
        <f t="shared" si="6"/>
        <v>0</v>
      </c>
      <c r="AW22" s="1121">
        <f>IF(AR22="","",ROUND((AT22*$AT$7)*데이터입력!$AE$14+(AT22*$AU$7)*데이터입력!$AE$14+(AT22*$AU$7*$AV$7)*데이터입력!$AE$14+(AT22*$AW$7)*데이터입력!$AE$14+(AT22*$AX$7)*데이터입력!$AE$14,-1))</f>
        <v>0</v>
      </c>
      <c r="AX22" s="1122">
        <f t="shared" si="7"/>
        <v>0</v>
      </c>
      <c r="AY22" s="1123">
        <f>IFERROR(IF(AR22+AS22=0,0,ROUND(IF(데이터입력!$AE$14=100%,ROUND(AR22*$AR$1,-3),ROUND(AR22*$AR$1,-3)-ROUND(((AR22*$AR$1)*$AT$4)*(데이터입력!$AE$14-100%)+((AR22*$AR$1)*$AU$4)*(데이터입력!$AE$14-100%)+((AR22*$AR$1)*$AU$4*$AV$4)*(데이터입력!$AE$14-100%)+((AR22*$AR$1)*$AW$4)*(데이터입력!$AE$14-100%),-1)),0)),0)</f>
        <v>0</v>
      </c>
      <c r="AZ22" s="1124">
        <f>IFERROR(IF(AR22+AS22=0,0,IF(데이터입력!$AE$12=100%,(AT22),(AT22)+ROUND(AT22*(데이터입력!$AE$12-100%),-1))),0)</f>
        <v>0</v>
      </c>
      <c r="BA22" s="1263" t="str">
        <f t="shared" si="8"/>
        <v/>
      </c>
      <c r="BB22" s="1264" t="str">
        <f>IF(BA22="","",IF(데이터입력!$O$68="",ROUND(AZ22/12,0),ROUND(데이터입력!$O$68/데이터입력!$Y$8/$BC$11,0)))</f>
        <v/>
      </c>
      <c r="BC22" s="1274" t="s">
        <v>759</v>
      </c>
      <c r="BD22" s="1277" t="s">
        <v>761</v>
      </c>
      <c r="BE22" s="1349">
        <f>AI17</f>
        <v>0.61399999999999999</v>
      </c>
    </row>
    <row r="23" spans="1:58" ht="17.25" thickBot="1">
      <c r="A23" s="1046" t="str">
        <f>IF($AM$1=TRUE,IF(K23="","",SUBTOTAL(2,$K$3:K23)),IF(AND(M23="",N23=""),"",IF(N23="",COUNT($M$3:M23),COUNT($N$3:N23)+200)))</f>
        <v/>
      </c>
      <c r="B23" s="365" t="s">
        <v>33</v>
      </c>
      <c r="C23" s="365" t="s">
        <v>533</v>
      </c>
      <c r="D23" s="364">
        <v>409010301</v>
      </c>
      <c r="E23" s="364" t="s">
        <v>83</v>
      </c>
      <c r="F23" s="364" t="s">
        <v>6</v>
      </c>
      <c r="G23" s="366">
        <f>IFERROR(IF($E23="06",VLOOKUP($B23,예산실적비교표!$O$7:$R$200,2,FALSE),0),0)</f>
        <v>0</v>
      </c>
      <c r="H23" s="366">
        <f>IFERROR(IF($E23="06",VLOOKUP($C23,세입예산서!$K$3:$X$205,12,FALSE),0),0)</f>
        <v>0</v>
      </c>
      <c r="I23" s="366">
        <f>IFERROR(IF($E23="07",VLOOKUP($C23,세입예산서!$K$3:$X$205,13,FALSE),0),0)</f>
        <v>0</v>
      </c>
      <c r="J23" s="366">
        <f>IFERROR(IF($E23="05",VLOOKUP($C23,세입예산서!$K$3:$X$205,14,FALSE),0),0)</f>
        <v>0</v>
      </c>
      <c r="K23" s="366" t="str">
        <f t="shared" si="0"/>
        <v/>
      </c>
      <c r="L23" s="367">
        <f>IFERROR(IF($AB$2="",0,ROUNDUP(VLOOKUP($B23,예산실적비교표!$O$7:$R$200,3,FALSE),0)),0)</f>
        <v>0</v>
      </c>
      <c r="M23" s="708" t="str">
        <f>IF($AM$1=TRUE,IF(K23="","",IF(IF($AE$2="",IF(K23="","",SUBTOTAL(2,$K$3:K23)),IF(AND(G23&gt;=0,K23=""),"",IF(AND(G23&gt;0,OR(K23&gt;0,K23&lt;0)),SUBTOTAL(2,$K$3:K23),IF(AND(G23=0,OR(K23&gt;0,K23&lt;0)),SUBTOTAL(2,$K$3:K23)+200,""))))&gt;200,"",1)),IF(K23="","",IF(IF($AE$2="",IF(K23="","",SUBTOTAL(2,$K$3:K23)),IF(AND(G23&gt;=0,K23=""),"",IF(AND(G23&gt;0,OR(K23&gt;0,K23&lt;0)),SUBTOTAL(2,$K$3:K23),IF(AND(G23=0,OR(K23&gt;0,K23&lt;0)),SUBTOTAL(2,$K$3:K23)+200,""))))&gt;200,"",1)))</f>
        <v/>
      </c>
      <c r="N23" s="214" t="str">
        <f>IF($AM$1=TRUE,IF(K23="","",IF(IF($AE$2="",IF(K23="","",SUBTOTAL(2,$K$3:K23)),IF(AND(G23&gt;=0,K23=""),"",IF(AND(G23&gt;0,OR(K23&gt;0,K23&lt;0)),SUBTOTAL(2,$K$3:K23),IF(AND(G23=0,OR(K23&gt;0,K23&lt;0)),SUBTOTAL(2,$K$3:K23)+200,""))))&lt;=200,"",2)),IF(K23="","",IF(IF($AE$2="",IF(K23="","",SUBTOTAL(2,$K$3:K23)),IF(AND(G23&gt;=0,K23=""),"",IF(AND(G23&gt;0,OR(K23&gt;0,K23&lt;0)),SUBTOTAL(2,$K$3:K23),IF(AND(G23=0,OR(K23&gt;0,K23&lt;0)),SUBTOTAL(2,$K$3:K23)+200,""))))&lt;=200,"",2)))</f>
        <v/>
      </c>
      <c r="O23" s="533">
        <f>IF(Q23="",0%,10%)</f>
        <v>0.1</v>
      </c>
      <c r="P23" s="375">
        <f>IF($AB$2=$R$22,IF(OR($AF$7=0,$AF$7=""),ROUNDDOWN((($L$3+$L$14)/$Y$8*120%*O23)/(T23*V23),0),IF(AND($AE$2="",$AF$7=예산실적비교표!$C$4),ROUNDDOWN(($AF$7)*O23,0),ROUNDDOWN($AF$7*O23,0))),0)</f>
        <v>0</v>
      </c>
      <c r="Q23" s="547">
        <v>0</v>
      </c>
      <c r="R23" s="376" t="s">
        <v>115</v>
      </c>
      <c r="S23" s="377" t="s">
        <v>730</v>
      </c>
      <c r="T23" s="732">
        <f>IF($AE$2="",IF($Y$1=2023,예산평균!AE41,예산평균!AF41),예산평균!AE41)</f>
        <v>31650</v>
      </c>
      <c r="U23" s="371">
        <f t="shared" si="1"/>
        <v>0</v>
      </c>
      <c r="V23" s="557">
        <v>21</v>
      </c>
      <c r="X23" s="399" t="s">
        <v>176</v>
      </c>
      <c r="Y23" s="400" t="s">
        <v>176</v>
      </c>
      <c r="Z23" s="1550" t="s">
        <v>271</v>
      </c>
      <c r="AA23" s="1551"/>
      <c r="AB23" s="1551"/>
      <c r="AC23" s="1551"/>
      <c r="AD23" s="1551"/>
      <c r="AE23" s="1551"/>
      <c r="AF23" s="1552"/>
      <c r="AH23" s="401" t="s">
        <v>119</v>
      </c>
      <c r="AI23" s="1347">
        <f>IF($AE$2="",IF($Y$1=2023,예산평균!AD18,예산평균!AE18),예산평균!AD18)</f>
        <v>0.60899999999999999</v>
      </c>
      <c r="AJ23" s="585">
        <v>1.5</v>
      </c>
      <c r="AP23" s="1128" t="str">
        <f>IF(예산실적비교표!AL23&lt;&gt;"",예산실적비교표!AL23,"")</f>
        <v/>
      </c>
      <c r="AQ23" s="1129" t="str">
        <f>IF(예산실적비교표!AM23&lt;&gt;"",예산실적비교표!AM23,"")</f>
        <v/>
      </c>
      <c r="AR23" s="1130">
        <f>IF(예산실적비교표!AN23&lt;&gt;"",예산실적비교표!AN23,0)</f>
        <v>0</v>
      </c>
      <c r="AS23" s="1131">
        <f>IF(예산실적비교표!AO23&lt;&gt;"",예산실적비교표!AO23,0)</f>
        <v>0</v>
      </c>
      <c r="AT23" s="1118">
        <f t="shared" si="5"/>
        <v>0</v>
      </c>
      <c r="AU23" s="1132">
        <f>IF(예산실적비교표!AQ23&lt;&gt;"",예산실적비교표!AQ23,0)</f>
        <v>0</v>
      </c>
      <c r="AV23" s="1120">
        <f t="shared" si="6"/>
        <v>0</v>
      </c>
      <c r="AW23" s="1121">
        <f>IF(AR23="","",ROUND((AT23*$AT$7)*데이터입력!$AE$14+(AT23*$AU$7)*데이터입력!$AE$14+(AT23*$AU$7*$AV$7)*데이터입력!$AE$14+(AT23*$AW$7)*데이터입력!$AE$14+(AT23*$AX$7)*데이터입력!$AE$14,-1))</f>
        <v>0</v>
      </c>
      <c r="AX23" s="1122">
        <f t="shared" si="7"/>
        <v>0</v>
      </c>
      <c r="AY23" s="1123">
        <f>IFERROR(IF(AR23+AS23=0,0,ROUND(IF(데이터입력!$AE$14=100%,ROUND(AR23*$AR$1,-3),ROUND(AR23*$AR$1,-3)-ROUND(((AR23*$AR$1)*$AT$4)*(데이터입력!$AE$14-100%)+((AR23*$AR$1)*$AU$4)*(데이터입력!$AE$14-100%)+((AR23*$AR$1)*$AU$4*$AV$4)*(데이터입력!$AE$14-100%)+((AR23*$AR$1)*$AW$4)*(데이터입력!$AE$14-100%),-1)),0)),0)</f>
        <v>0</v>
      </c>
      <c r="AZ23" s="1124">
        <f>IFERROR(IF(AR23+AS23=0,0,IF(데이터입력!$AE$12=100%,(AT23),(AT23)+ROUND(AT23*(데이터입력!$AE$12-100%),-1))),0)</f>
        <v>0</v>
      </c>
      <c r="BA23" s="1263" t="str">
        <f t="shared" si="8"/>
        <v/>
      </c>
      <c r="BB23" s="1264" t="str">
        <f>IF(BA23="","",IF(데이터입력!$O$68="",ROUND(AZ23/12,0),ROUND(데이터입력!$O$68/데이터입력!$Y$8/$BC$11,0)))</f>
        <v/>
      </c>
      <c r="BC23" s="1275" t="s">
        <v>760</v>
      </c>
      <c r="BD23" s="1278" t="s">
        <v>762</v>
      </c>
      <c r="BE23" s="1350"/>
    </row>
    <row r="24" spans="1:58" ht="17.25" thickBot="1">
      <c r="A24" s="1046" t="str">
        <f>IF($AM$1=TRUE,IF(K24="","",SUBTOTAL(2,$K$3:K24)),IF(AND(M24="",N24=""),"",IF(N24="",COUNT($M$3:M24),COUNT($N$3:N24)+200)))</f>
        <v/>
      </c>
      <c r="B24" s="365" t="s">
        <v>34</v>
      </c>
      <c r="C24" s="365" t="s">
        <v>534</v>
      </c>
      <c r="D24" s="364">
        <v>409010401</v>
      </c>
      <c r="E24" s="364" t="s">
        <v>83</v>
      </c>
      <c r="F24" s="364" t="s">
        <v>80</v>
      </c>
      <c r="G24" s="366">
        <f>IFERROR(IF($E24="06",VLOOKUP($B24,예산실적비교표!$O$7:$R$200,2,FALSE),0),0)</f>
        <v>0</v>
      </c>
      <c r="H24" s="366">
        <f>IFERROR(IF($E24="06",VLOOKUP($C24,세입예산서!$K$3:$X$205,12,FALSE),0),0)</f>
        <v>0</v>
      </c>
      <c r="I24" s="366">
        <f>IFERROR(IF($E24="07",VLOOKUP($C24,세입예산서!$K$3:$X$205,13,FALSE),0),0)</f>
        <v>0</v>
      </c>
      <c r="J24" s="366">
        <f>IFERROR(IF($E24="05",VLOOKUP($C24,세입예산서!$K$3:$X$205,14,FALSE),0),0)</f>
        <v>0</v>
      </c>
      <c r="K24" s="366" t="str">
        <f t="shared" si="0"/>
        <v/>
      </c>
      <c r="L24" s="367">
        <f>IFERROR(IF($AB$2="",0,ROUNDUP(VLOOKUP($B24,예산실적비교표!$O$7:$R$200,3,FALSE)*$Y$6/$Y$9,-3)*$Y$8),0)</f>
        <v>0</v>
      </c>
      <c r="M24" s="708" t="str">
        <f>IF($AM$1=TRUE,IF(K24="","",IF(IF($AE$2="",IF(K24="","",SUBTOTAL(2,$K$3:K24)),IF(AND(G24&gt;=0,K24=""),"",IF(AND(G24&gt;0,OR(K24&gt;0,K24&lt;0)),SUBTOTAL(2,$K$3:K24),IF(AND(G24=0,OR(K24&gt;0,K24&lt;0)),SUBTOTAL(2,$K$3:K24)+200,""))))&gt;200,"",1)),IF(K24="","",IF(IF($AE$2="",IF(K24="","",SUBTOTAL(2,$K$3:K24)),IF(AND(G24&gt;=0,K24=""),"",IF(AND(G24&gt;0,OR(K24&gt;0,K24&lt;0)),SUBTOTAL(2,$K$3:K24),IF(AND(G24=0,OR(K24&gt;0,K24&lt;0)),SUBTOTAL(2,$K$3:K24)+200,""))))&gt;200,"",1)))</f>
        <v/>
      </c>
      <c r="N24" s="214" t="str">
        <f>IF($AM$1=TRUE,IF(K24="","",IF(IF($AE$2="",IF(K24="","",SUBTOTAL(2,$K$3:K24)),IF(AND(G24&gt;=0,K24=""),"",IF(AND(G24&gt;0,OR(K24&gt;0,K24&lt;0)),SUBTOTAL(2,$K$3:K24),IF(AND(G24=0,OR(K24&gt;0,K24&lt;0)),SUBTOTAL(2,$K$3:K24)+200,""))))&lt;=200,"",2)),IF(K24="","",IF(IF($AE$2="",IF(K24="","",SUBTOTAL(2,$K$3:K24)),IF(AND(G24&gt;=0,K24=""),"",IF(AND(G24&gt;0,OR(K24&gt;0,K24&lt;0)),SUBTOTAL(2,$K$3:K24),IF(AND(G24=0,OR(K24&gt;0,K24&lt;0)),SUBTOTAL(2,$K$3:K24)+200,""))))&lt;=200,"",2)))</f>
        <v/>
      </c>
      <c r="O24" s="533">
        <f>IF(Q24="",0%,0%)</f>
        <v>0</v>
      </c>
      <c r="P24" s="375">
        <f>IF($AB$2=$R$22,IF(OR($AF$7=0,$AF$7=""),ROUND((($L$3+$L$14)/$Y$8*120%*O24)/(T24*V24),0),IF(AND($AE$2="",$AF$7=예산실적비교표!$C$4),ROUND(($AF$7)*O24,0),IF(($AF$7-P22-P23)&lt;0,0,($AF$7-P22-P23)))),0)</f>
        <v>0</v>
      </c>
      <c r="Q24" s="547">
        <v>0</v>
      </c>
      <c r="R24" s="376" t="s">
        <v>115</v>
      </c>
      <c r="S24" s="377" t="s">
        <v>731</v>
      </c>
      <c r="T24" s="732">
        <f>IF($AE$2="",IF($Y$1=2023,예산평균!AE42,예산평균!AF42),예산평균!AE42)</f>
        <v>23480</v>
      </c>
      <c r="U24" s="371">
        <f t="shared" si="1"/>
        <v>0</v>
      </c>
      <c r="V24" s="557">
        <v>21</v>
      </c>
      <c r="X24" s="402" t="s">
        <v>177</v>
      </c>
      <c r="Y24" s="638">
        <f>$Y$25+$Y$26</f>
        <v>17</v>
      </c>
      <c r="Z24" s="403" t="s">
        <v>211</v>
      </c>
      <c r="AA24" s="633">
        <f>ROUND(세입예산서!$V$52/데이터입력!$Y$8,-3)</f>
        <v>0</v>
      </c>
      <c r="AB24" s="403" t="s">
        <v>212</v>
      </c>
      <c r="AC24" s="633">
        <f>ROUND(세입예산서!V60/데이터입력!$Y$8,-3)</f>
        <v>0</v>
      </c>
      <c r="AD24" s="403" t="s">
        <v>128</v>
      </c>
      <c r="AE24" s="634">
        <f>SUM(AE25:AE31)</f>
        <v>1900000</v>
      </c>
      <c r="AF24" s="404" t="s">
        <v>189</v>
      </c>
      <c r="AP24" s="1128" t="str">
        <f>IF(예산실적비교표!AL24&lt;&gt;"",예산실적비교표!AL24,"")</f>
        <v/>
      </c>
      <c r="AQ24" s="1129" t="str">
        <f>IF(예산실적비교표!AM24&lt;&gt;"",예산실적비교표!AM24,"")</f>
        <v/>
      </c>
      <c r="AR24" s="1130">
        <f>IF(예산실적비교표!AN24&lt;&gt;"",예산실적비교표!AN24,0)</f>
        <v>0</v>
      </c>
      <c r="AS24" s="1131">
        <f>IF(예산실적비교표!AO24&lt;&gt;"",예산실적비교표!AO24,0)</f>
        <v>0</v>
      </c>
      <c r="AT24" s="1118">
        <f t="shared" si="5"/>
        <v>0</v>
      </c>
      <c r="AU24" s="1132">
        <f>IF(예산실적비교표!AQ24&lt;&gt;"",예산실적비교표!AQ24,0)</f>
        <v>0</v>
      </c>
      <c r="AV24" s="1120">
        <f t="shared" si="6"/>
        <v>0</v>
      </c>
      <c r="AW24" s="1121">
        <f>IF(AR24="","",ROUND((AT24*$AT$7)*데이터입력!$AE$14+(AT24*$AU$7)*데이터입력!$AE$14+(AT24*$AU$7*$AV$7)*데이터입력!$AE$14+(AT24*$AW$7)*데이터입력!$AE$14+(AT24*$AX$7)*데이터입력!$AE$14,-1))</f>
        <v>0</v>
      </c>
      <c r="AX24" s="1122">
        <f t="shared" si="7"/>
        <v>0</v>
      </c>
      <c r="AY24" s="1123">
        <f>IFERROR(IF(AR24+AS24=0,0,ROUND(IF(데이터입력!$AE$14=100%,ROUND(AR24*$AR$1,-3),ROUND(AR24*$AR$1,-3)-ROUND(((AR24*$AR$1)*$AT$4)*(데이터입력!$AE$14-100%)+((AR24*$AR$1)*$AU$4)*(데이터입력!$AE$14-100%)+((AR24*$AR$1)*$AU$4*$AV$4)*(데이터입력!$AE$14-100%)+((AR24*$AR$1)*$AW$4)*(데이터입력!$AE$14-100%),-1)),0)),0)</f>
        <v>0</v>
      </c>
      <c r="AZ24" s="1124">
        <f>IFERROR(IF(AR24+AS24=0,0,IF(데이터입력!$AE$12=100%,(AT24),(AT24)+ROUND(AT24*(데이터입력!$AE$12-100%),-1))),0)</f>
        <v>0</v>
      </c>
      <c r="BA24" s="1263" t="str">
        <f t="shared" si="8"/>
        <v/>
      </c>
      <c r="BB24" s="1264" t="str">
        <f>IF(BA24="","",IF(데이터입력!$O$68="",ROUND(AZ24/12,0),ROUND(데이터입력!$O$68/데이터입력!$Y$8/$BC$11,0)))</f>
        <v/>
      </c>
      <c r="BC24" s="1275"/>
      <c r="BD24" s="1278" t="s">
        <v>757</v>
      </c>
      <c r="BE24" s="1350"/>
    </row>
    <row r="25" spans="1:58" ht="17.25" thickBot="1">
      <c r="A25" s="1046" t="str">
        <f>IF($AM$1=TRUE,IF(K25="","",SUBTOTAL(2,$K$3:K25)),IF(AND(M25="",N25=""),"",IF(N25="",COUNT($M$3:M25),COUNT($N$3:N25)+200)))</f>
        <v/>
      </c>
      <c r="B25" s="365" t="s">
        <v>35</v>
      </c>
      <c r="C25" s="365" t="s">
        <v>535</v>
      </c>
      <c r="D25" s="364">
        <v>410010101</v>
      </c>
      <c r="E25" s="364" t="s">
        <v>83</v>
      </c>
      <c r="F25" s="364" t="s">
        <v>6</v>
      </c>
      <c r="G25" s="366">
        <f>IFERROR(IF($E25="06",VLOOKUP($B25,예산실적비교표!$O$7:$R$200,2,FALSE),0),0)</f>
        <v>0</v>
      </c>
      <c r="H25" s="366">
        <f>IFERROR(IF($E25="06",VLOOKUP($C25,세입예산서!$K$3:$X$205,12,FALSE),0),0)</f>
        <v>0</v>
      </c>
      <c r="I25" s="366">
        <f>IFERROR(IF($E25="07",VLOOKUP($C25,세입예산서!$K$3:$X$205,13,FALSE),0),0)</f>
        <v>0</v>
      </c>
      <c r="J25" s="366">
        <f>IFERROR(IF($E25="05",VLOOKUP($C25,세입예산서!$K$3:$X$205,14,FALSE),0),0)</f>
        <v>0</v>
      </c>
      <c r="K25" s="366" t="str">
        <f t="shared" si="0"/>
        <v/>
      </c>
      <c r="L25" s="367">
        <f>IFERROR(IF($AB$2="",0,ROUNDUP(VLOOKUP($B25,예산실적비교표!$O$7:$R$200,3,FALSE)*$Y$6/$Y$9,-3)*$Y$8),0)</f>
        <v>0</v>
      </c>
      <c r="M25" s="708" t="str">
        <f>IF($AM$1=TRUE,IF(K25="","",IF(IF($AE$2="",IF(K25="","",SUBTOTAL(2,$K$3:K25)),IF(AND(G25&gt;=0,K25=""),"",IF(AND(G25&gt;0,OR(K25&gt;0,K25&lt;0)),SUBTOTAL(2,$K$3:K25),IF(AND(G25=0,OR(K25&gt;0,K25&lt;0)),SUBTOTAL(2,$K$3:K25)+200,""))))&gt;200,"",1)),IF(K25="","",IF(IF($AE$2="",IF(K25="","",SUBTOTAL(2,$K$3:K25)),IF(AND(G25&gt;=0,K25=""),"",IF(AND(G25&gt;0,OR(K25&gt;0,K25&lt;0)),SUBTOTAL(2,$K$3:K25),IF(AND(G25=0,OR(K25&gt;0,K25&lt;0)),SUBTOTAL(2,$K$3:K25)+200,""))))&gt;200,"",1)))</f>
        <v/>
      </c>
      <c r="N25" s="214" t="str">
        <f>IF($AM$1=TRUE,IF(K25="","",IF(IF($AE$2="",IF(K25="","",SUBTOTAL(2,$K$3:K25)),IF(AND(G25&gt;=0,K25=""),"",IF(AND(G25&gt;0,OR(K25&gt;0,K25&lt;0)),SUBTOTAL(2,$K$3:K25),IF(AND(G25=0,OR(K25&gt;0,K25&lt;0)),SUBTOTAL(2,$K$3:K25)+200,""))))&lt;=200,"",2)),IF(K25="","",IF(IF($AE$2="",IF(K25="","",SUBTOTAL(2,$K$3:K25)),IF(AND(G25&gt;=0,K25=""),"",IF(AND(G25&gt;0,OR(K25&gt;0,K25&lt;0)),SUBTOTAL(2,$K$3:K25),IF(AND(G25=0,OR(K25&gt;0,K25&lt;0)),SUBTOTAL(2,$K$3:K25)+200,""))))&lt;=200,"",2)))</f>
        <v/>
      </c>
      <c r="O25" s="533">
        <f>IF(AND(AC5=TRUE,AD5=FALSE),1,IF(AND(AC5=TRUE,AD5=TRUE),0.7,0))</f>
        <v>0</v>
      </c>
      <c r="P25" s="690">
        <f>IF($AB$2=R25,IF(OR($AF$7=0,$AF$7=""),ROUND((($L$3+$L$14)/$Y$8*120%*O25)/T25,0),IF(AND($AE$2="",$AF$7=예산실적비교표!$C$4),ROUND(($AF$7)*O25,0),ROUND($AF$7*O25,0))),0)</f>
        <v>0</v>
      </c>
      <c r="Q25" s="547">
        <v>0</v>
      </c>
      <c r="R25" s="376" t="s">
        <v>116</v>
      </c>
      <c r="S25" s="377" t="s">
        <v>117</v>
      </c>
      <c r="T25" s="732">
        <f>IF($AE$2="",IF($Y$1=2023,예산평균!AE43,예산평균!AF43),예산평균!AE43)</f>
        <v>82160</v>
      </c>
      <c r="U25" s="689">
        <f t="shared" si="1"/>
        <v>0</v>
      </c>
      <c r="V25" s="558"/>
      <c r="X25" s="405" t="s">
        <v>178</v>
      </c>
      <c r="Y25" s="639">
        <f>SUM($U$4:$U$27)-Y26</f>
        <v>17</v>
      </c>
      <c r="Z25" s="1056" t="str">
        <f>IF(예산실적비교표!C15="X","",예산실적비교표!C15)</f>
        <v>국고보조금</v>
      </c>
      <c r="AA25" s="647">
        <f>ROUND(T36/U36,-3)-AA26-AA27</f>
        <v>0</v>
      </c>
      <c r="AB25" s="1056" t="str">
        <f>IF(예산실적비교표!E15="X","",예산실적비교표!E15)</f>
        <v>시도보조금</v>
      </c>
      <c r="AC25" s="874">
        <f>ROUND(T37/U37,-3)-AC26-AC27</f>
        <v>0</v>
      </c>
      <c r="AD25" s="1056" t="str">
        <f>IF(예산실적비교표!G15="X","",예산실적비교표!G15)</f>
        <v>기타잡수입</v>
      </c>
      <c r="AE25" s="647">
        <f>AI26-SUM(AI28:AJ33)</f>
        <v>1200000</v>
      </c>
      <c r="AF25" s="646"/>
      <c r="AH25" s="1392" t="s">
        <v>514</v>
      </c>
      <c r="AI25" s="1393"/>
      <c r="AJ25" s="1394"/>
      <c r="AP25" s="1128" t="str">
        <f>IF(예산실적비교표!AL25&lt;&gt;"",예산실적비교표!AL25,"")</f>
        <v/>
      </c>
      <c r="AQ25" s="1129" t="str">
        <f>IF(예산실적비교표!AM25&lt;&gt;"",예산실적비교표!AM25,"")</f>
        <v/>
      </c>
      <c r="AR25" s="1130">
        <f>IF(예산실적비교표!AN25&lt;&gt;"",예산실적비교표!AN25,0)</f>
        <v>0</v>
      </c>
      <c r="AS25" s="1131">
        <f>IF(예산실적비교표!AO25&lt;&gt;"",예산실적비교표!AO25,0)</f>
        <v>0</v>
      </c>
      <c r="AT25" s="1118">
        <f t="shared" si="5"/>
        <v>0</v>
      </c>
      <c r="AU25" s="1132">
        <f>IF(예산실적비교표!AQ25&lt;&gt;"",예산실적비교표!AQ25,0)</f>
        <v>0</v>
      </c>
      <c r="AV25" s="1120">
        <f t="shared" si="6"/>
        <v>0</v>
      </c>
      <c r="AW25" s="1121">
        <f>IF(AR25="","",ROUND((AT25*$AT$7)*데이터입력!$AE$14+(AT25*$AU$7)*데이터입력!$AE$14+(AT25*$AU$7*$AV$7)*데이터입력!$AE$14+(AT25*$AW$7)*데이터입력!$AE$14+(AT25*$AX$7)*데이터입력!$AE$14,-1))</f>
        <v>0</v>
      </c>
      <c r="AX25" s="1122">
        <f t="shared" si="7"/>
        <v>0</v>
      </c>
      <c r="AY25" s="1123">
        <f>IFERROR(IF(AR25+AS25=0,0,ROUND(IF(데이터입력!$AE$14=100%,ROUND(AR25*$AR$1,-3),ROUND(AR25*$AR$1,-3)-ROUND(((AR25*$AR$1)*$AT$4)*(데이터입력!$AE$14-100%)+((AR25*$AR$1)*$AU$4)*(데이터입력!$AE$14-100%)+((AR25*$AR$1)*$AU$4*$AV$4)*(데이터입력!$AE$14-100%)+((AR25*$AR$1)*$AW$4)*(데이터입력!$AE$14-100%),-1)),0)),0)</f>
        <v>0</v>
      </c>
      <c r="AZ25" s="1124">
        <f>IFERROR(IF(AR25+AS25=0,0,IF(데이터입력!$AE$12=100%,(AT25),(AT25)+ROUND(AT25*(데이터입력!$AE$12-100%),-1))),0)</f>
        <v>0</v>
      </c>
      <c r="BA25" s="1263" t="str">
        <f t="shared" si="8"/>
        <v/>
      </c>
      <c r="BB25" s="1264" t="str">
        <f>IF(BA25="","",IF(데이터입력!$O$68="",ROUND(AZ25/12,0),ROUND(데이터입력!$O$68/데이터입력!$Y$8/$BC$11,0)))</f>
        <v/>
      </c>
      <c r="BC25" s="1276"/>
      <c r="BD25" s="1279" t="s">
        <v>764</v>
      </c>
      <c r="BE25" s="1351"/>
    </row>
    <row r="26" spans="1:58" ht="27.75" thickBot="1">
      <c r="A26" s="1046">
        <f>IF($AM$1=TRUE,IF(K26="","",SUBTOTAL(2,$K$3:K26)),IF(AND(M26="",N26=""),"",IF(N26="",COUNT($M$3:M26),COUNT($N$3:N26)+200)))</f>
        <v>7</v>
      </c>
      <c r="B26" s="365" t="s">
        <v>512</v>
      </c>
      <c r="C26" s="365" t="s">
        <v>536</v>
      </c>
      <c r="D26" s="364">
        <v>410010201</v>
      </c>
      <c r="E26" s="364" t="s">
        <v>83</v>
      </c>
      <c r="F26" s="364" t="s">
        <v>6</v>
      </c>
      <c r="G26" s="366">
        <f>IFERROR(IF($E26="06",VLOOKUP($B26,예산실적비교표!$O$7:$R$200,2,FALSE),0),0)</f>
        <v>20000</v>
      </c>
      <c r="H26" s="366">
        <f>IFERROR(IF($E26="06",VLOOKUP($C26,세입예산서!$K$3:$X$205,12,FALSE),0),0)</f>
        <v>20000</v>
      </c>
      <c r="I26" s="366">
        <f>IFERROR(IF($E26="07",VLOOKUP($C26,세입예산서!$K$3:$X$205,13,FALSE),0),0)</f>
        <v>0</v>
      </c>
      <c r="J26" s="366">
        <f>IFERROR(IF($E26="05",VLOOKUP($C26,세입예산서!$K$3:$X$205,14,FALSE),0),0)</f>
        <v>0</v>
      </c>
      <c r="K26" s="366">
        <f t="shared" si="0"/>
        <v>0</v>
      </c>
      <c r="L26" s="367">
        <f>IFERROR(IF($AB$2="",0,IF(ROUNDUP(VLOOKUP($B26,예산실적비교표!$O$7:$R$200,3,FALSE)/$U$51,-3)&lt;10000,10000,VLOOKUP($B26,예산실적비교표!$O$7:$R$200,3,FALSE))),0)</f>
        <v>10000</v>
      </c>
      <c r="M26" s="708" t="str">
        <f>IF($AM$1=TRUE,IF(K26="","",IF(IF($AE$2="",IF(K26="","",SUBTOTAL(2,$K$3:K26)),IF(AND(G26&gt;=0,K26=""),"",IF(AND(G26&gt;0,OR(K26&gt;0,K26&lt;0)),SUBTOTAL(2,$K$3:K26),IF(AND(G26=0,OR(K26&gt;0,K26&lt;0)),SUBTOTAL(2,$K$3:K26)+200,""))))&gt;200,"",1)),IF(K26="","",IF(IF($AE$2="",IF(K26="","",SUBTOTAL(2,$K$3:K26)),IF(AND(G26&gt;=0,K26=""),"",IF(AND(G26&gt;0,OR(K26&gt;0,K26&lt;0)),SUBTOTAL(2,$K$3:K26),IF(AND(G26=0,OR(K26&gt;0,K26&lt;0)),SUBTOTAL(2,$K$3:K26)+200,""))))&gt;200,"",1)))</f>
        <v/>
      </c>
      <c r="N26" s="214">
        <f>IF($AM$1=TRUE,IF(K26="","",IF(IF($AE$2="",IF(K26="","",SUBTOTAL(2,$K$3:K26)),IF(AND(G26&gt;=0,K26=""),"",IF(AND(G26&gt;0,OR(K26&gt;0,K26&lt;0)),SUBTOTAL(2,$K$3:K26),IF(AND(G26=0,OR(K26&gt;0,K26&lt;0)),SUBTOTAL(2,$K$3:K26)+200,""))))&lt;=200,"",2)),IF(K26="","",IF(IF($AE$2="",IF(K26="","",SUBTOTAL(2,$K$3:K26)),IF(AND(G26&gt;=0,K26=""),"",IF(AND(G26&gt;0,OR(K26&gt;0,K26&lt;0)),SUBTOTAL(2,$K$3:K26),IF(AND(G26=0,OR(K26&gt;0,K26&lt;0)),SUBTOTAL(2,$K$3:K26)+200,""))))&lt;=200,"",2)))</f>
        <v>2</v>
      </c>
      <c r="O26" s="533">
        <f>IF(AND(AC5=FALSE,AD5=TRUE),1,IF(AND(AC5=TRUE,AD5=TRUE),0.3,0))</f>
        <v>0</v>
      </c>
      <c r="P26" s="690">
        <f>IF($AB$2=R26,IF(OR($AF$7=0,$AF$7=""),ROUND((($L$3+$L$14)/$Y$8*120%*O26)/T26,0),IF(AND($AE$2="",$AF$7=예산실적비교표!$C$4),ROUND(($AF$7)*O26,0),ROUND($AF$7*O26,0))),0)</f>
        <v>0</v>
      </c>
      <c r="Q26" s="547">
        <v>0</v>
      </c>
      <c r="R26" s="376" t="s">
        <v>116</v>
      </c>
      <c r="S26" s="406" t="s">
        <v>118</v>
      </c>
      <c r="T26" s="732">
        <f>IF($AE$2="",IF($Y$1=2023,예산평균!AE44,예산평균!AF44),예산평균!AE44)</f>
        <v>46250</v>
      </c>
      <c r="U26" s="689">
        <f t="shared" si="1"/>
        <v>0</v>
      </c>
      <c r="V26" s="558"/>
      <c r="X26" s="405" t="s">
        <v>180</v>
      </c>
      <c r="Y26" s="639">
        <f>$U$4</f>
        <v>0</v>
      </c>
      <c r="Z26" s="656" t="str">
        <f>IF(예산실적비교표!C16="X","",예산실적비교표!C16)</f>
        <v/>
      </c>
      <c r="AA26" s="892">
        <f>IF($AB$2="",0,예산실적비교표!D16)</f>
        <v>0</v>
      </c>
      <c r="AB26" s="656" t="str">
        <f>IF(예산실적비교표!E16="X","",예산실적비교표!E16)</f>
        <v/>
      </c>
      <c r="AC26" s="892">
        <f>IF($AB$2="",0,예산실적비교표!F16)</f>
        <v>0</v>
      </c>
      <c r="AD26" s="656" t="str">
        <f>IF(예산실적비교표!G16="X","",예산실적비교표!G16)</f>
        <v>각종근로지원금</v>
      </c>
      <c r="AE26" s="880">
        <f>IF($AB$2="",0,예산실적비교표!H16)</f>
        <v>500000</v>
      </c>
      <c r="AF26" s="637">
        <f>IF($Y$8&lt;&gt;예산실적비교표!$B$3,$Y$8,예산실적비교표!I16)</f>
        <v>12</v>
      </c>
      <c r="AH26" s="648" t="str">
        <f>AD24</f>
        <v>기타잡수입</v>
      </c>
      <c r="AI26" s="1422">
        <f>세입예산서!Z175</f>
        <v>9600000</v>
      </c>
      <c r="AJ26" s="1423"/>
      <c r="AP26" s="1128" t="str">
        <f>IF(예산실적비교표!AL26&lt;&gt;"",예산실적비교표!AL26,"")</f>
        <v/>
      </c>
      <c r="AQ26" s="1129" t="str">
        <f>IF(예산실적비교표!AM26&lt;&gt;"",예산실적비교표!AM26,"")</f>
        <v/>
      </c>
      <c r="AR26" s="1130">
        <f>IF(예산실적비교표!AN26&lt;&gt;"",예산실적비교표!AN26,0)</f>
        <v>0</v>
      </c>
      <c r="AS26" s="1131">
        <f>IF(예산실적비교표!AO26&lt;&gt;"",예산실적비교표!AO26,0)</f>
        <v>0</v>
      </c>
      <c r="AT26" s="1118">
        <f t="shared" si="5"/>
        <v>0</v>
      </c>
      <c r="AU26" s="1132">
        <f>IF(예산실적비교표!AQ26&lt;&gt;"",예산실적비교표!AQ26,0)</f>
        <v>0</v>
      </c>
      <c r="AV26" s="1120">
        <f t="shared" si="6"/>
        <v>0</v>
      </c>
      <c r="AW26" s="1121">
        <f>IF(AR26="","",ROUND((AT26*$AT$7)*데이터입력!$AE$14+(AT26*$AU$7)*데이터입력!$AE$14+(AT26*$AU$7*$AV$7)*데이터입력!$AE$14+(AT26*$AW$7)*데이터입력!$AE$14+(AT26*$AX$7)*데이터입력!$AE$14,-1))</f>
        <v>0</v>
      </c>
      <c r="AX26" s="1122">
        <f t="shared" si="7"/>
        <v>0</v>
      </c>
      <c r="AY26" s="1123">
        <f>IFERROR(IF(AR26+AS26=0,0,ROUND(IF(데이터입력!$AE$14=100%,ROUND(AR26*$AR$1,-3),ROUND(AR26*$AR$1,-3)-ROUND(((AR26*$AR$1)*$AT$4)*(데이터입력!$AE$14-100%)+((AR26*$AR$1)*$AU$4)*(데이터입력!$AE$14-100%)+((AR26*$AR$1)*$AU$4*$AV$4)*(데이터입력!$AE$14-100%)+((AR26*$AR$1)*$AW$4)*(데이터입력!$AE$14-100%),-1)),0)),0)</f>
        <v>0</v>
      </c>
      <c r="AZ26" s="1124">
        <f>IFERROR(IF(AR26+AS26=0,0,IF(데이터입력!$AE$12=100%,(AT26),(AT26)+ROUND(AT26*(데이터입력!$AE$12-100%),-1))),0)</f>
        <v>0</v>
      </c>
      <c r="BA26" s="1263" t="str">
        <f t="shared" si="8"/>
        <v/>
      </c>
      <c r="BB26" s="1264" t="str">
        <f>IF(BA26="","",IF(데이터입력!$O$68="",ROUND(AZ26/12,0),ROUND(데이터입력!$O$68/데이터입력!$Y$8/$BC$11,0)))</f>
        <v/>
      </c>
      <c r="BC26" s="1274" t="s">
        <v>221</v>
      </c>
      <c r="BD26" s="1277" t="s">
        <v>761</v>
      </c>
      <c r="BE26" s="1349">
        <f>AI18</f>
        <v>0.65800000000000003</v>
      </c>
    </row>
    <row r="27" spans="1:58" ht="17.25" thickBot="1">
      <c r="A27" s="1046" t="str">
        <f>IF($AM$1=TRUE,IF(K27="","",SUBTOTAL(2,$K$3:K27)),IF(AND(M27="",N27=""),"",IF(N27="",COUNT($M$3:M27),COUNT($N$3:N27)+200)))</f>
        <v/>
      </c>
      <c r="B27" s="365" t="s">
        <v>37</v>
      </c>
      <c r="C27" s="365" t="s">
        <v>537</v>
      </c>
      <c r="D27" s="364">
        <v>410010301</v>
      </c>
      <c r="E27" s="364" t="s">
        <v>83</v>
      </c>
      <c r="F27" s="364" t="s">
        <v>6</v>
      </c>
      <c r="G27" s="366">
        <f>IFERROR(IF($E27="06",VLOOKUP($B27,예산실적비교표!$O$7:$R$200,2,FALSE),0),0)</f>
        <v>0</v>
      </c>
      <c r="H27" s="366">
        <f>IFERROR(IF($E27="06",VLOOKUP($C27,세입예산서!$K$3:$X$205,12,FALSE),0),0)</f>
        <v>0</v>
      </c>
      <c r="I27" s="366">
        <f>IFERROR(IF($E27="07",VLOOKUP($C27,세입예산서!$K$3:$X$205,13,FALSE),0),0)</f>
        <v>0</v>
      </c>
      <c r="J27" s="366">
        <f>IFERROR(IF($E27="05",VLOOKUP($C27,세입예산서!$K$3:$X$205,14,FALSE),0),0)</f>
        <v>0</v>
      </c>
      <c r="K27" s="366" t="str">
        <f t="shared" si="0"/>
        <v/>
      </c>
      <c r="L27" s="367">
        <f>IFERROR(IF($AB$2="",0,ROUNDUP(VLOOKUP($B27,예산실적비교표!$O$7:$R$200,3,FALSE)/$Y$9,-3)*$Y$8),0)</f>
        <v>0</v>
      </c>
      <c r="M27" s="708" t="str">
        <f>IF($AM$1=TRUE,IF(K27="","",IF(IF($AE$2="",IF(K27="","",SUBTOTAL(2,$K$3:K27)),IF(AND(G27&gt;=0,K27=""),"",IF(AND(G27&gt;0,OR(K27&gt;0,K27&lt;0)),SUBTOTAL(2,$K$3:K27),IF(AND(G27=0,OR(K27&gt;0,K27&lt;0)),SUBTOTAL(2,$K$3:K27)+200,""))))&gt;200,"",1)),IF(K27="","",IF(IF($AE$2="",IF(K27="","",SUBTOTAL(2,$K$3:K27)),IF(AND(G27&gt;=0,K27=""),"",IF(AND(G27&gt;0,OR(K27&gt;0,K27&lt;0)),SUBTOTAL(2,$K$3:K27),IF(AND(G27=0,OR(K27&gt;0,K27&lt;0)),SUBTOTAL(2,$K$3:K27)+200,""))))&gt;200,"",1)))</f>
        <v/>
      </c>
      <c r="N27" s="214" t="str">
        <f>IF($AM$1=TRUE,IF(K27="","",IF(IF($AE$2="",IF(K27="","",SUBTOTAL(2,$K$3:K27)),IF(AND(G27&gt;=0,K27=""),"",IF(AND(G27&gt;0,OR(K27&gt;0,K27&lt;0)),SUBTOTAL(2,$K$3:K27),IF(AND(G27=0,OR(K27&gt;0,K27&lt;0)),SUBTOTAL(2,$K$3:K27)+200,""))))&lt;=200,"",2)),IF(K27="","",IF(IF($AE$2="",IF(K27="","",SUBTOTAL(2,$K$3:K27)),IF(AND(G27&gt;=0,K27=""),"",IF(AND(G27&gt;0,OR(K27&gt;0,K27&lt;0)),SUBTOTAL(2,$K$3:K27),IF(AND(G27=0,OR(K27&gt;0,K27&lt;0)),SUBTOTAL(2,$K$3:K27)+200,""))))&lt;=200,"",2)))</f>
        <v/>
      </c>
      <c r="O27" s="533">
        <v>1</v>
      </c>
      <c r="P27" s="690">
        <f>IF($AB$2=R27,IF(OR($AF$7=0,$AF$7=""),ROUND((($L$3+$L$14)/$Y$8*120%*O27)/T27,0),IF(AND($AE$2="",$AF$7=예산실적비교표!$C$4),ROUND(($AF$7)*O27,0),ROUND($AF$7*O27,0))),0)</f>
        <v>0</v>
      </c>
      <c r="Q27" s="547">
        <v>0</v>
      </c>
      <c r="R27" s="408" t="s">
        <v>119</v>
      </c>
      <c r="S27" s="406" t="s">
        <v>120</v>
      </c>
      <c r="T27" s="732">
        <f>IF($AE$2="",IF($Y$1=2023,예산평균!AE45,예산평균!AF45),예산평균!AE45)</f>
        <v>59500</v>
      </c>
      <c r="U27" s="689">
        <f t="shared" si="1"/>
        <v>0</v>
      </c>
      <c r="V27" s="558"/>
      <c r="X27" s="405" t="s">
        <v>181</v>
      </c>
      <c r="Y27" s="640">
        <f>$BD$63</f>
        <v>5</v>
      </c>
      <c r="Z27" s="656" t="str">
        <f>IF(예산실적비교표!C17="X","",예산실적비교표!C17)</f>
        <v/>
      </c>
      <c r="AA27" s="893">
        <f>IF($AB$2="",0,예산실적비교표!D17)</f>
        <v>0</v>
      </c>
      <c r="AB27" s="656" t="str">
        <f>IF(예산실적비교표!E17="X","",예산실적비교표!E17)</f>
        <v/>
      </c>
      <c r="AC27" s="893">
        <f>IF($AB$2="",0,예산실적비교표!F17)</f>
        <v>0</v>
      </c>
      <c r="AD27" s="656" t="str">
        <f>IF(예산실적비교표!G17="X","",예산실적비교표!G17)</f>
        <v>의료비대납외</v>
      </c>
      <c r="AE27" s="880">
        <f>IF($AB$2="",0,예산실적비교표!H17)</f>
        <v>200000</v>
      </c>
      <c r="AF27" s="637">
        <f>IF($Y$8&lt;&gt;예산실적비교표!$B$3,$Y$8,예산실적비교표!I17)</f>
        <v>12</v>
      </c>
      <c r="AH27" s="333" t="str">
        <f>세입예산서!L176</f>
        <v xml:space="preserve">    - 기타잡수입</v>
      </c>
      <c r="AI27" s="1388">
        <f>세입예산서!V176</f>
        <v>1200000</v>
      </c>
      <c r="AJ27" s="1389"/>
      <c r="AP27" s="1128" t="str">
        <f>IF(예산실적비교표!AL27&lt;&gt;"",예산실적비교표!AL27,"")</f>
        <v/>
      </c>
      <c r="AQ27" s="1129" t="str">
        <f>IF(예산실적비교표!AM27&lt;&gt;"",예산실적비교표!AM27,"")</f>
        <v/>
      </c>
      <c r="AR27" s="1130">
        <f>IF(예산실적비교표!AN27&lt;&gt;"",예산실적비교표!AN27,0)</f>
        <v>0</v>
      </c>
      <c r="AS27" s="1131">
        <f>IF(예산실적비교표!AO27&lt;&gt;"",예산실적비교표!AO27,0)</f>
        <v>0</v>
      </c>
      <c r="AT27" s="1118">
        <f t="shared" si="5"/>
        <v>0</v>
      </c>
      <c r="AU27" s="1132">
        <f>IF(예산실적비교표!AQ27&lt;&gt;"",예산실적비교표!AQ27,0)</f>
        <v>0</v>
      </c>
      <c r="AV27" s="1120">
        <f t="shared" si="6"/>
        <v>0</v>
      </c>
      <c r="AW27" s="1121">
        <f>IF(AR27="","",ROUND((AT27*$AT$7)*데이터입력!$AE$14+(AT27*$AU$7)*데이터입력!$AE$14+(AT27*$AU$7*$AV$7)*데이터입력!$AE$14+(AT27*$AW$7)*데이터입력!$AE$14+(AT27*$AX$7)*데이터입력!$AE$14,-1))</f>
        <v>0</v>
      </c>
      <c r="AX27" s="1122">
        <f t="shared" si="7"/>
        <v>0</v>
      </c>
      <c r="AY27" s="1123">
        <f>IFERROR(IF(AR27+AS27=0,0,ROUND(IF(데이터입력!$AE$14=100%,ROUND(AR27*$AR$1,-3),ROUND(AR27*$AR$1,-3)-ROUND(((AR27*$AR$1)*$AT$4)*(데이터입력!$AE$14-100%)+((AR27*$AR$1)*$AU$4)*(데이터입력!$AE$14-100%)+((AR27*$AR$1)*$AU$4*$AV$4)*(데이터입력!$AE$14-100%)+((AR27*$AR$1)*$AW$4)*(데이터입력!$AE$14-100%),-1)),0)),0)</f>
        <v>0</v>
      </c>
      <c r="AZ27" s="1124">
        <f>IFERROR(IF(AR27+AS27=0,0,IF(데이터입력!$AE$12=100%,(AT27),(AT27)+ROUND(AT27*(데이터입력!$AE$12-100%),-1))),0)</f>
        <v>0</v>
      </c>
      <c r="BA27" s="1263" t="str">
        <f t="shared" si="8"/>
        <v/>
      </c>
      <c r="BB27" s="1264" t="str">
        <f>IF(BA27="","",IF(데이터입력!$O$68="",ROUND(AZ27/12,0),ROUND(데이터입력!$O$68/데이터입력!$Y$8/$BC$11,0)))</f>
        <v/>
      </c>
      <c r="BC27" s="1275"/>
      <c r="BD27" s="1278" t="s">
        <v>762</v>
      </c>
      <c r="BE27" s="1350"/>
    </row>
    <row r="28" spans="1:58" ht="27.75" customHeight="1" thickBot="1">
      <c r="A28" s="1046">
        <f>IF($AM$1=TRUE,IF(K28="","",SUBTOTAL(2,$K$3:K28)),IF(AND(M28="",N28=""),"",IF(N28="",COUNT($M$3:M28),COUNT($N$3:N28)+200)))</f>
        <v>8</v>
      </c>
      <c r="B28" s="365" t="s">
        <v>38</v>
      </c>
      <c r="C28" s="365" t="s">
        <v>538</v>
      </c>
      <c r="D28" s="364">
        <v>410010401</v>
      </c>
      <c r="E28" s="364" t="s">
        <v>83</v>
      </c>
      <c r="F28" s="364" t="s">
        <v>6</v>
      </c>
      <c r="G28" s="366">
        <f>IFERROR(IF($E28="06",VLOOKUP($B28,예산실적비교표!$O$7:$R$200,2,FALSE),0),0)</f>
        <v>9600000</v>
      </c>
      <c r="H28" s="366">
        <f>IFERROR(IF($E28="06",VLOOKUP($C28,세입예산서!$K$3:$X$205,12,FALSE),0),0)</f>
        <v>9600000</v>
      </c>
      <c r="I28" s="366">
        <f>IFERROR(IF($E28="07",VLOOKUP($C28,세입예산서!$K$3:$X$205,13,FALSE),0),0)</f>
        <v>0</v>
      </c>
      <c r="J28" s="366">
        <f>IFERROR(IF($E28="05",VLOOKUP($C28,세입예산서!$K$3:$X$205,14,FALSE),0),0)</f>
        <v>0</v>
      </c>
      <c r="K28" s="366">
        <f t="shared" si="0"/>
        <v>0</v>
      </c>
      <c r="L28" s="367">
        <f>IFERROR(IF($AB$2="",0,ROUNDUP(VLOOKUP($B28,예산실적비교표!$O$7:$R$200,3,FALSE)/$Y$9,-3)*$Y$8),0)</f>
        <v>4200000</v>
      </c>
      <c r="M28" s="708" t="str">
        <f>IF($AM$1=TRUE,IF(K28="","",IF(IF($AE$2="",IF(K28="","",SUBTOTAL(2,$K$3:K28)),IF(AND(G28&gt;=0,K28=""),"",IF(AND(G28&gt;0,OR(K28&gt;0,K28&lt;0)),SUBTOTAL(2,$K$3:K28),IF(AND(G28=0,OR(K28&gt;0,K28&lt;0)),SUBTOTAL(2,$K$3:K28)+200,""))))&gt;200,"",1)),IF(K28="","",IF(IF($AE$2="",IF(K28="","",SUBTOTAL(2,$K$3:K28)),IF(AND(G28&gt;=0,K28=""),"",IF(AND(G28&gt;0,OR(K28&gt;0,K28&lt;0)),SUBTOTAL(2,$K$3:K28),IF(AND(G28=0,OR(K28&gt;0,K28&lt;0)),SUBTOTAL(2,$K$3:K28)+200,""))))&gt;200,"",1)))</f>
        <v/>
      </c>
      <c r="N28" s="214">
        <f>IF($AM$1=TRUE,IF(K28="","",IF(IF($AE$2="",IF(K28="","",SUBTOTAL(2,$K$3:K28)),IF(AND(G28&gt;=0,K28=""),"",IF(AND(G28&gt;0,OR(K28&gt;0,K28&lt;0)),SUBTOTAL(2,$K$3:K28),IF(AND(G28=0,OR(K28&gt;0,K28&lt;0)),SUBTOTAL(2,$K$3:K28)+200,""))))&lt;=200,"",2)),IF(K28="","",IF(IF($AE$2="",IF(K28="","",SUBTOTAL(2,$K$3:K28)),IF(AND(G28&gt;=0,K28=""),"",IF(AND(G28&gt;0,OR(K28&gt;0,K28&lt;0)),SUBTOTAL(2,$K$3:K28),IF(AND(G28=0,OR(K28&gt;0,K28&lt;0)),SUBTOTAL(2,$K$3:K28)+200,""))))&lt;=200,"",2)))</f>
        <v>2</v>
      </c>
      <c r="O28" s="534" t="s">
        <v>121</v>
      </c>
      <c r="P28" s="375"/>
      <c r="Q28" s="547">
        <f>$U$4</f>
        <v>0</v>
      </c>
      <c r="R28" s="408" t="s">
        <v>122</v>
      </c>
      <c r="S28" s="406" t="s">
        <v>105</v>
      </c>
      <c r="T28" s="732">
        <f>T9</f>
        <v>71620</v>
      </c>
      <c r="U28" s="409">
        <f>Q28</f>
        <v>0</v>
      </c>
      <c r="V28" s="557">
        <v>30.4</v>
      </c>
      <c r="X28" s="405" t="s">
        <v>182</v>
      </c>
      <c r="Y28" s="640">
        <f>$BD$11</f>
        <v>3</v>
      </c>
      <c r="Z28" s="407" t="s">
        <v>213</v>
      </c>
      <c r="AA28" s="635">
        <f>ROUND(세입예산서!$V$72/데이터입력!$Y$8,-3)</f>
        <v>0</v>
      </c>
      <c r="AB28" s="407" t="s">
        <v>214</v>
      </c>
      <c r="AC28" s="644">
        <f>ROUND(세입예산서!V80/데이터입력!$Y$8,-3)</f>
        <v>0</v>
      </c>
      <c r="AD28" s="656" t="str">
        <f>IF(예산실적비교표!G18="X","",예산실적비교표!G18)</f>
        <v/>
      </c>
      <c r="AE28" s="880">
        <f>IF($AB$2="",0,예산실적비교표!H18)</f>
        <v>0</v>
      </c>
      <c r="AF28" s="637">
        <f>IF($Y$8&lt;&gt;예산실적비교표!$B$3,$Y$8,예산실적비교표!I18)</f>
        <v>12</v>
      </c>
      <c r="AH28" s="334" t="str">
        <f>세입예산서!L177</f>
        <v xml:space="preserve">    - 각종근로지원금</v>
      </c>
      <c r="AI28" s="1390">
        <f>세입예산서!V177</f>
        <v>6000000</v>
      </c>
      <c r="AJ28" s="1391"/>
      <c r="AP28" s="1128" t="str">
        <f>IF(예산실적비교표!AL28&lt;&gt;"",예산실적비교표!AL28,"")</f>
        <v/>
      </c>
      <c r="AQ28" s="1129" t="str">
        <f>IF(예산실적비교표!AM28&lt;&gt;"",예산실적비교표!AM28,"")</f>
        <v/>
      </c>
      <c r="AR28" s="1130">
        <f>IF(예산실적비교표!AN28&lt;&gt;"",예산실적비교표!AN28,0)</f>
        <v>0</v>
      </c>
      <c r="AS28" s="1131">
        <f>IF(예산실적비교표!AO28&lt;&gt;"",예산실적비교표!AO28,0)</f>
        <v>0</v>
      </c>
      <c r="AT28" s="1118">
        <f t="shared" si="5"/>
        <v>0</v>
      </c>
      <c r="AU28" s="1132">
        <f>IF(예산실적비교표!AQ28&lt;&gt;"",예산실적비교표!AQ28,0)</f>
        <v>0</v>
      </c>
      <c r="AV28" s="1120">
        <f t="shared" si="6"/>
        <v>0</v>
      </c>
      <c r="AW28" s="1121">
        <f>IF(AR28="","",ROUND((AT28*$AT$7)*데이터입력!$AE$14+(AT28*$AU$7)*데이터입력!$AE$14+(AT28*$AU$7*$AV$7)*데이터입력!$AE$14+(AT28*$AW$7)*데이터입력!$AE$14+(AT28*$AX$7)*데이터입력!$AE$14,-1))</f>
        <v>0</v>
      </c>
      <c r="AX28" s="1122">
        <f t="shared" si="7"/>
        <v>0</v>
      </c>
      <c r="AY28" s="1123">
        <f>IFERROR(IF(AR28+AS28=0,0,ROUND(IF(데이터입력!$AE$14=100%,ROUND(AR28*$AR$1,-3),ROUND(AR28*$AR$1,-3)-ROUND(((AR28*$AR$1)*$AT$4)*(데이터입력!$AE$14-100%)+((AR28*$AR$1)*$AU$4)*(데이터입력!$AE$14-100%)+((AR28*$AR$1)*$AU$4*$AV$4)*(데이터입력!$AE$14-100%)+((AR28*$AR$1)*$AW$4)*(데이터입력!$AE$14-100%),-1)),0)),0)</f>
        <v>0</v>
      </c>
      <c r="AZ28" s="1124">
        <f>IFERROR(IF(AR28+AS28=0,0,IF(데이터입력!$AE$12=100%,(AT28),(AT28)+ROUND(AT28*(데이터입력!$AE$12-100%),-1))),0)</f>
        <v>0</v>
      </c>
      <c r="BA28" s="1263" t="str">
        <f t="shared" si="8"/>
        <v/>
      </c>
      <c r="BB28" s="1264" t="str">
        <f>IF(BA28="","",IF(데이터입력!$O$68="",ROUND(AZ28/12,0),ROUND(데이터입력!$O$68/데이터입력!$Y$8/$BC$11,0)))</f>
        <v/>
      </c>
      <c r="BC28" s="1275"/>
      <c r="BD28" s="1278" t="s">
        <v>757</v>
      </c>
      <c r="BE28" s="1350"/>
    </row>
    <row r="29" spans="1:58" ht="17.25" thickBot="1">
      <c r="A29" s="1047" t="str">
        <f>IF($AM$1=TRUE,IF(K29="","",SUBTOTAL(2,$K$3:K29)),IF(AND(M29="",N29=""),"",IF(N29="",COUNT($M$3:M29),COUNT($N$3:N29)+200)))</f>
        <v/>
      </c>
      <c r="B29" s="411" t="s">
        <v>13</v>
      </c>
      <c r="C29" s="411" t="s">
        <v>539</v>
      </c>
      <c r="D29" s="410">
        <v>404010101</v>
      </c>
      <c r="E29" s="410" t="s">
        <v>84</v>
      </c>
      <c r="F29" s="410" t="s">
        <v>14</v>
      </c>
      <c r="G29" s="412">
        <f>IFERROR(IF($E29="07",VLOOKUP($B29,예산실적비교표!$X$7:$Z$200,2,FALSE),0),0)</f>
        <v>0</v>
      </c>
      <c r="H29" s="412">
        <f>IFERROR(IF($E29="06",VLOOKUP($C29,세입예산서!$K$3:$X$205,12,FALSE),0),0)</f>
        <v>0</v>
      </c>
      <c r="I29" s="412">
        <f>IFERROR(IF($E29="07",VLOOKUP($C29,세입예산서!$K$3:$X$205,13,FALSE),0),0)</f>
        <v>0</v>
      </c>
      <c r="J29" s="412">
        <f>IFERROR(IF($E29="05",VLOOKUP($C29,세입예산서!$K$3:$X$205,14,FALSE),0),0)</f>
        <v>0</v>
      </c>
      <c r="K29" s="412" t="str">
        <f t="shared" si="0"/>
        <v/>
      </c>
      <c r="L29" s="413">
        <f>IFERROR(IF($AB$2="",0,ROUNDUP(VLOOKUP($B29,예산실적비교표!$X$7:$Z$200,3,FALSE)*$Y$6/$Y$10,-3)*$Y$8),0)</f>
        <v>0</v>
      </c>
      <c r="M29" s="708" t="str">
        <f>IF($AM$1=TRUE,IF(K29="","",IF(IF($AE$2="",IF(K29="","",SUBTOTAL(2,$K$3:K29)),IF(AND(G29&gt;=0,K29=""),"",IF(AND(G29&gt;0,OR(K29&gt;0,K29&lt;0)),SUBTOTAL(2,$K$3:K29),IF(AND(G29=0,OR(K29&gt;0,K29&lt;0)),SUBTOTAL(2,$K$3:K29)+200,""))))&gt;200,"",1)),IF(K29="","",IF(IF($AE$2="",IF(K29="","",SUBTOTAL(2,$K$3:K29)),IF(AND(G29&gt;=0,K29=""),"",IF(AND(G29&gt;0,OR(K29&gt;0,K29&lt;0)),SUBTOTAL(2,$K$3:K29),IF(AND(G29=0,OR(K29&gt;0,K29&lt;0)),SUBTOTAL(2,$K$3:K29)+200,""))))&gt;200,"",1)))</f>
        <v/>
      </c>
      <c r="N29" s="214" t="str">
        <f>IF($AM$1=TRUE,IF(K29="","",IF(IF($AE$2="",IF(K29="","",SUBTOTAL(2,$K$3:K29)),IF(AND(G29&gt;=0,K29=""),"",IF(AND(G29&gt;0,OR(K29&gt;0,K29&lt;0)),SUBTOTAL(2,$K$3:K29),IF(AND(G29=0,OR(K29&gt;0,K29&lt;0)),SUBTOTAL(2,$K$3:K29)+200,""))))&lt;=200,"",2)),IF(K29="","",IF(IF($AE$2="",IF(K29="","",SUBTOTAL(2,$K$3:K29)),IF(AND(G29&gt;=0,K29=""),"",IF(AND(G29&gt;0,OR(K29&gt;0,K29&lt;0)),SUBTOTAL(2,$K$3:K29),IF(AND(G29=0,OR(K29&gt;0,K29&lt;0)),SUBTOTAL(2,$K$3:K29)+200,""))))&lt;=200,"",2)))</f>
        <v/>
      </c>
      <c r="O29" s="535"/>
      <c r="P29" s="414">
        <f>IF($AB$2=R29,ROUND((($L$3+$L$14)/$Y$8*120%),0),0)</f>
        <v>0</v>
      </c>
      <c r="Q29" s="548">
        <v>0</v>
      </c>
      <c r="R29" s="376" t="s">
        <v>123</v>
      </c>
      <c r="S29" s="406"/>
      <c r="T29" s="733">
        <f>IFERROR(IF(O29=0,ROUND(P29/U29,-2),O29),0)</f>
        <v>0</v>
      </c>
      <c r="U29" s="1071">
        <f>IF(Q29=0,1,Q29)</f>
        <v>1</v>
      </c>
      <c r="V29" s="558"/>
      <c r="X29" s="415"/>
      <c r="Y29" s="641"/>
      <c r="Z29" s="1056" t="str">
        <f>IF(예산실적비교표!C19="X","",예산실적비교표!C19)</f>
        <v>시군구보조금</v>
      </c>
      <c r="AA29" s="647">
        <f>ROUND(T38/U38,-3)-AA30-AA31</f>
        <v>0</v>
      </c>
      <c r="AB29" s="1056" t="str">
        <f>IF(예산실적비교표!E19="X","",예산실적비교표!E19)</f>
        <v>기타보조금</v>
      </c>
      <c r="AC29" s="647">
        <f>ROUND(T39/U39,-3)-AC30-AC31</f>
        <v>0</v>
      </c>
      <c r="AD29" s="656" t="str">
        <f>IF(예산실적비교표!G19="X","",예산실적비교표!G19)</f>
        <v/>
      </c>
      <c r="AE29" s="880">
        <f>IF($AB$2="",0,예산실적비교표!H19)</f>
        <v>0</v>
      </c>
      <c r="AF29" s="637">
        <f>IF($Y$8&lt;&gt;예산실적비교표!$B$3,$Y$8,예산실적비교표!I19)</f>
        <v>12</v>
      </c>
      <c r="AH29" s="334" t="str">
        <f>세입예산서!L178</f>
        <v xml:space="preserve">    - 의료비대납외</v>
      </c>
      <c r="AI29" s="1390">
        <f>세입예산서!V178</f>
        <v>2400000</v>
      </c>
      <c r="AJ29" s="1391"/>
      <c r="AP29" s="1128" t="str">
        <f>IF(예산실적비교표!AL29&lt;&gt;"",예산실적비교표!AL29,"")</f>
        <v/>
      </c>
      <c r="AQ29" s="1129" t="str">
        <f>IF(예산실적비교표!AM29&lt;&gt;"",예산실적비교표!AM29,"")</f>
        <v/>
      </c>
      <c r="AR29" s="1130">
        <f>IF(예산실적비교표!AN29&lt;&gt;"",예산실적비교표!AN29,0)</f>
        <v>0</v>
      </c>
      <c r="AS29" s="1131">
        <f>IF(예산실적비교표!AO29&lt;&gt;"",예산실적비교표!AO29,0)</f>
        <v>0</v>
      </c>
      <c r="AT29" s="1118">
        <f t="shared" si="5"/>
        <v>0</v>
      </c>
      <c r="AU29" s="1132">
        <f>IF(예산실적비교표!AQ29&lt;&gt;"",예산실적비교표!AQ29,0)</f>
        <v>0</v>
      </c>
      <c r="AV29" s="1120">
        <f t="shared" si="6"/>
        <v>0</v>
      </c>
      <c r="AW29" s="1121">
        <f>IF(AR29="","",ROUND((AT29*$AT$7)*데이터입력!$AE$14+(AT29*$AU$7)*데이터입력!$AE$14+(AT29*$AU$7*$AV$7)*데이터입력!$AE$14+(AT29*$AW$7)*데이터입력!$AE$14+(AT29*$AX$7)*데이터입력!$AE$14,-1))</f>
        <v>0</v>
      </c>
      <c r="AX29" s="1122">
        <f t="shared" si="7"/>
        <v>0</v>
      </c>
      <c r="AY29" s="1123">
        <f>IFERROR(IF(AR29+AS29=0,0,ROUND(IF(데이터입력!$AE$14=100%,ROUND(AR29*$AR$1,-3),ROUND(AR29*$AR$1,-3)-ROUND(((AR29*$AR$1)*$AT$4)*(데이터입력!$AE$14-100%)+((AR29*$AR$1)*$AU$4)*(데이터입력!$AE$14-100%)+((AR29*$AR$1)*$AU$4*$AV$4)*(데이터입력!$AE$14-100%)+((AR29*$AR$1)*$AW$4)*(데이터입력!$AE$14-100%),-1)),0)),0)</f>
        <v>0</v>
      </c>
      <c r="AZ29" s="1124">
        <f>IFERROR(IF(AR29+AS29=0,0,IF(데이터입력!$AE$12=100%,(AT29),(AT29)+ROUND(AT29*(데이터입력!$AE$12-100%),-1))),0)</f>
        <v>0</v>
      </c>
      <c r="BA29" s="1263" t="str">
        <f t="shared" si="8"/>
        <v/>
      </c>
      <c r="BB29" s="1264" t="str">
        <f>IF(BA29="","",IF(데이터입력!$O$68="",ROUND(AZ29/12,0),ROUND(데이터입력!$O$68/데이터입력!$Y$8/$BC$11,0)))</f>
        <v/>
      </c>
      <c r="BC29" s="1276"/>
      <c r="BD29" s="1279" t="s">
        <v>763</v>
      </c>
      <c r="BE29" s="1351"/>
    </row>
    <row r="30" spans="1:58" ht="17.25" thickBot="1">
      <c r="A30" s="1047" t="str">
        <f>IF($AM$1=TRUE,IF(K30="","",SUBTOTAL(2,$K$3:K30)),IF(AND(M30="",N30=""),"",IF(N30="",COUNT($M$3:M30),COUNT($N$3:N30)+200)))</f>
        <v/>
      </c>
      <c r="B30" s="411" t="s">
        <v>15</v>
      </c>
      <c r="C30" s="411" t="s">
        <v>540</v>
      </c>
      <c r="D30" s="410">
        <v>404010201</v>
      </c>
      <c r="E30" s="410" t="s">
        <v>84</v>
      </c>
      <c r="F30" s="410" t="s">
        <v>14</v>
      </c>
      <c r="G30" s="412">
        <f>IFERROR(IF($E30="07",VLOOKUP($B30,예산실적비교표!$X$7:$Z$200,2,FALSE),0),0)</f>
        <v>0</v>
      </c>
      <c r="H30" s="412">
        <f>IFERROR(IF($E30="06",VLOOKUP($C30,세입예산서!$K$3:$X$205,12,FALSE),0),0)</f>
        <v>0</v>
      </c>
      <c r="I30" s="412">
        <f>IFERROR(IF($E30="07",VLOOKUP($C30,세입예산서!$K$3:$X$205,13,FALSE),0),0)</f>
        <v>0</v>
      </c>
      <c r="J30" s="412">
        <f>IFERROR(IF($E30="05",VLOOKUP($C30,세입예산서!$K$3:$X$205,14,FALSE),0),0)</f>
        <v>0</v>
      </c>
      <c r="K30" s="412" t="str">
        <f t="shared" si="0"/>
        <v/>
      </c>
      <c r="L30" s="413">
        <f>IFERROR(IF($AB$2="",0,ROUNDUP(VLOOKUP($B30,예산실적비교표!$X$7:$Z$200,3,FALSE)*$Y$6/$Y$10,-3)*$Y$8),0)</f>
        <v>0</v>
      </c>
      <c r="M30" s="708" t="str">
        <f>IF($AM$1=TRUE,IF(K30="","",IF(IF($AE$2="",IF(K30="","",SUBTOTAL(2,$K$3:K30)),IF(AND(G30&gt;=0,K30=""),"",IF(AND(G30&gt;0,OR(K30&gt;0,K30&lt;0)),SUBTOTAL(2,$K$3:K30),IF(AND(G30=0,OR(K30&gt;0,K30&lt;0)),SUBTOTAL(2,$K$3:K30)+200,""))))&gt;200,"",1)),IF(K30="","",IF(IF($AE$2="",IF(K30="","",SUBTOTAL(2,$K$3:K30)),IF(AND(G30&gt;=0,K30=""),"",IF(AND(G30&gt;0,OR(K30&gt;0,K30&lt;0)),SUBTOTAL(2,$K$3:K30),IF(AND(G30=0,OR(K30&gt;0,K30&lt;0)),SUBTOTAL(2,$K$3:K30)+200,""))))&gt;200,"",1)))</f>
        <v/>
      </c>
      <c r="N30" s="214" t="str">
        <f>IF($AM$1=TRUE,IF(K30="","",IF(IF($AE$2="",IF(K30="","",SUBTOTAL(2,$K$3:K30)),IF(AND(G30&gt;=0,K30=""),"",IF(AND(G30&gt;0,OR(K30&gt;0,K30&lt;0)),SUBTOTAL(2,$K$3:K30),IF(AND(G30=0,OR(K30&gt;0,K30&lt;0)),SUBTOTAL(2,$K$3:K30)+200,""))))&lt;=200,"",2)),IF(K30="","",IF(IF($AE$2="",IF(K30="","",SUBTOTAL(2,$K$3:K30)),IF(AND(G30&gt;=0,K30=""),"",IF(AND(G30&gt;0,OR(K30&gt;0,K30&lt;0)),SUBTOTAL(2,$K$3:K30),IF(AND(G30=0,OR(K30&gt;0,K30&lt;0)),SUBTOTAL(2,$K$3:K30)+200,""))))&lt;=200,"",2)))</f>
        <v/>
      </c>
      <c r="O30" s="536"/>
      <c r="P30" s="416"/>
      <c r="Q30" s="549">
        <v>0</v>
      </c>
      <c r="R30" s="417" t="s">
        <v>124</v>
      </c>
      <c r="S30" s="418"/>
      <c r="T30" s="554">
        <v>60000</v>
      </c>
      <c r="U30" s="371">
        <f t="shared" ref="U30" si="11">IF(Q30="",P30,Q30)</f>
        <v>0</v>
      </c>
      <c r="V30" s="559"/>
      <c r="X30" s="419" t="s">
        <v>246</v>
      </c>
      <c r="Y30" s="642">
        <f>IFERROR(ROUNDUP($Y$24/VLOOKUP(AB2,$AH$17:$AJ$23,3,FALSE),0),0)</f>
        <v>3</v>
      </c>
      <c r="Z30" s="656" t="str">
        <f>IF(예산실적비교표!C20="X","",예산실적비교표!C20)</f>
        <v/>
      </c>
      <c r="AA30" s="880">
        <f>IF($AB$2="",0,예산실적비교표!D20)</f>
        <v>0</v>
      </c>
      <c r="AB30" s="656" t="str">
        <f>IF(예산실적비교표!E20="X","",예산실적비교표!E20)</f>
        <v/>
      </c>
      <c r="AC30" s="880">
        <f>IF($AB$2="",0,예산실적비교표!F20)</f>
        <v>0</v>
      </c>
      <c r="AD30" s="656" t="str">
        <f>IF(예산실적비교표!G20="X","",예산실적비교표!G20)</f>
        <v/>
      </c>
      <c r="AE30" s="880">
        <f>IF($AB$2="",0,예산실적비교표!H20)</f>
        <v>0</v>
      </c>
      <c r="AF30" s="637">
        <f>IF($Y$8&lt;&gt;예산실적비교표!$B$3,$Y$8,예산실적비교표!I20)</f>
        <v>12</v>
      </c>
      <c r="AH30" s="334" t="str">
        <f>세입예산서!L179</f>
        <v xml:space="preserve">    - </v>
      </c>
      <c r="AI30" s="1390">
        <f>세입예산서!V179</f>
        <v>0</v>
      </c>
      <c r="AJ30" s="1391"/>
      <c r="AP30" s="1128" t="str">
        <f>IF(예산실적비교표!AL30&lt;&gt;"",예산실적비교표!AL30,"")</f>
        <v/>
      </c>
      <c r="AQ30" s="1129" t="str">
        <f>IF(예산실적비교표!AM30&lt;&gt;"",예산실적비교표!AM30,"")</f>
        <v/>
      </c>
      <c r="AR30" s="1130">
        <f>IF(예산실적비교표!AN30&lt;&gt;"",예산실적비교표!AN30,0)</f>
        <v>0</v>
      </c>
      <c r="AS30" s="1131">
        <f>IF(예산실적비교표!AO30&lt;&gt;"",예산실적비교표!AO30,0)</f>
        <v>0</v>
      </c>
      <c r="AT30" s="1118">
        <f t="shared" si="5"/>
        <v>0</v>
      </c>
      <c r="AU30" s="1132">
        <f>IF(예산실적비교표!AQ30&lt;&gt;"",예산실적비교표!AQ30,0)</f>
        <v>0</v>
      </c>
      <c r="AV30" s="1120">
        <f t="shared" si="6"/>
        <v>0</v>
      </c>
      <c r="AW30" s="1121">
        <f>IF(AR30="","",ROUND((AT30*$AT$7)*데이터입력!$AE$14+(AT30*$AU$7)*데이터입력!$AE$14+(AT30*$AU$7*$AV$7)*데이터입력!$AE$14+(AT30*$AW$7)*데이터입력!$AE$14+(AT30*$AX$7)*데이터입력!$AE$14,-1))</f>
        <v>0</v>
      </c>
      <c r="AX30" s="1122">
        <f t="shared" si="7"/>
        <v>0</v>
      </c>
      <c r="AY30" s="1123">
        <f>IFERROR(IF(AR30+AS30=0,0,ROUND(IF(데이터입력!$AE$14=100%,ROUND(AR30*$AR$1,-3),ROUND(AR30*$AR$1,-3)-ROUND(((AR30*$AR$1)*$AT$4)*(데이터입력!$AE$14-100%)+((AR30*$AR$1)*$AU$4)*(데이터입력!$AE$14-100%)+((AR30*$AR$1)*$AU$4*$AV$4)*(데이터입력!$AE$14-100%)+((AR30*$AR$1)*$AW$4)*(데이터입력!$AE$14-100%),-1)),0)),0)</f>
        <v>0</v>
      </c>
      <c r="AZ30" s="1124">
        <f>IFERROR(IF(AR30+AS30=0,0,IF(데이터입력!$AE$12=100%,(AT30),(AT30)+ROUND(AT30*(데이터입력!$AE$12-100%),-1))),0)</f>
        <v>0</v>
      </c>
      <c r="BA30" s="1263" t="str">
        <f t="shared" si="8"/>
        <v/>
      </c>
      <c r="BB30" s="1264" t="str">
        <f>IF(BA30="","",IF(데이터입력!$O$68="",ROUND(AZ30/12,0),ROUND(데이터입력!$O$68/데이터입력!$Y$8/$BC$11,0)))</f>
        <v/>
      </c>
      <c r="BC30" s="1274" t="s">
        <v>455</v>
      </c>
      <c r="BD30" s="1277" t="s">
        <v>761</v>
      </c>
      <c r="BE30" s="1349">
        <f>AI19</f>
        <v>0.49</v>
      </c>
    </row>
    <row r="31" spans="1:58" ht="17.25" thickBot="1">
      <c r="A31" s="1047" t="str">
        <f>IF($AM$1=TRUE,IF(K31="","",SUBTOTAL(2,$K$3:K31)),IF(AND(M31="",N31=""),"",IF(N31="",COUNT($M$3:M31),COUNT($N$3:N31)+200)))</f>
        <v/>
      </c>
      <c r="B31" s="411" t="s">
        <v>16</v>
      </c>
      <c r="C31" s="411" t="s">
        <v>541</v>
      </c>
      <c r="D31" s="410">
        <v>404010301</v>
      </c>
      <c r="E31" s="410" t="s">
        <v>84</v>
      </c>
      <c r="F31" s="410" t="s">
        <v>14</v>
      </c>
      <c r="G31" s="412">
        <f>IFERROR(IF($E31="07",VLOOKUP($B31,예산실적비교표!$X$7:$Z$200,2,FALSE),0),0)</f>
        <v>0</v>
      </c>
      <c r="H31" s="412">
        <f>IFERROR(IF($E31="06",VLOOKUP($C31,세입예산서!$K$3:$X$205,12,FALSE),0),0)</f>
        <v>0</v>
      </c>
      <c r="I31" s="412">
        <f>IFERROR(IF($E31="07",VLOOKUP($C31,세입예산서!$K$3:$X$205,13,FALSE),0),0)</f>
        <v>0</v>
      </c>
      <c r="J31" s="412">
        <f>IFERROR(IF($E31="05",VLOOKUP($C31,세입예산서!$K$3:$X$205,14,FALSE),0),0)</f>
        <v>0</v>
      </c>
      <c r="K31" s="412" t="str">
        <f t="shared" si="0"/>
        <v/>
      </c>
      <c r="L31" s="413">
        <f>IFERROR(IF($AB$2="",0,ROUNDUP(VLOOKUP($B31,예산실적비교표!$X$7:$Z$200,3,FALSE)*$Y$6/$Y$10,-3)*$Y$8),0)</f>
        <v>0</v>
      </c>
      <c r="M31" s="708" t="str">
        <f>IF($AM$1=TRUE,IF(K31="","",IF(IF($AE$2="",IF(K31="","",SUBTOTAL(2,$K$3:K31)),IF(AND(G31&gt;=0,K31=""),"",IF(AND(G31&gt;0,OR(K31&gt;0,K31&lt;0)),SUBTOTAL(2,$K$3:K31),IF(AND(G31=0,OR(K31&gt;0,K31&lt;0)),SUBTOTAL(2,$K$3:K31)+200,""))))&gt;200,"",1)),IF(K31="","",IF(IF($AE$2="",IF(K31="","",SUBTOTAL(2,$K$3:K31)),IF(AND(G31&gt;=0,K31=""),"",IF(AND(G31&gt;0,OR(K31&gt;0,K31&lt;0)),SUBTOTAL(2,$K$3:K31),IF(AND(G31=0,OR(K31&gt;0,K31&lt;0)),SUBTOTAL(2,$K$3:K31)+200,""))))&gt;200,"",1)))</f>
        <v/>
      </c>
      <c r="N31" s="214" t="str">
        <f>IF($AM$1=TRUE,IF(K31="","",IF(IF($AE$2="",IF(K31="","",SUBTOTAL(2,$K$3:K31)),IF(AND(G31&gt;=0,K31=""),"",IF(AND(G31&gt;0,OR(K31&gt;0,K31&lt;0)),SUBTOTAL(2,$K$3:K31),IF(AND(G31=0,OR(K31&gt;0,K31&lt;0)),SUBTOTAL(2,$K$3:K31)+200,""))))&lt;=200,"",2)),IF(K31="","",IF(IF($AE$2="",IF(K31="","",SUBTOTAL(2,$K$3:K31)),IF(AND(G31&gt;=0,K31=""),"",IF(AND(G31&gt;0,OR(K31&gt;0,K31&lt;0)),SUBTOTAL(2,$K$3:K31),IF(AND(G31=0,OR(K31&gt;0,K31&lt;0)),SUBTOTAL(2,$K$3:K31)+200,""))))&lt;=200,"",2)))</f>
        <v/>
      </c>
      <c r="O31" s="537"/>
      <c r="P31" s="420">
        <f>IFERROR(IF(예산실적비교표!$B$13="",IF(ROUND(VLOOKUP(R31,$B$1:$L$40,11,FALSE)*$Y$6/$Y$8/$Y$25/U31/V31,0)&lt;3300,3300,ROUND(VLOOKUP(R31,$B$1:$L$40,11,FALSE)*$Y$6/$Y$8/$Y$25/U31/V31,0)),IF(예산실적비교표!$B$13&gt;0,예산실적비교표!$B$13,VLOOKUP(R31,예산평균!$B:$D,3,FALSE))),0)</f>
        <v>4250</v>
      </c>
      <c r="Q31" s="550">
        <v>2</v>
      </c>
      <c r="R31" s="421" t="s">
        <v>125</v>
      </c>
      <c r="S31" s="422"/>
      <c r="T31" s="423">
        <f>IFERROR(IF(O31="",P31,O31),0)</f>
        <v>4250</v>
      </c>
      <c r="U31" s="424">
        <f>IF(Q31&gt;0,Q31,IF($AB$2=$AH$19,1,3))</f>
        <v>2</v>
      </c>
      <c r="V31" s="425">
        <f>IFERROR(VLOOKUP($AB$2,$R$7:$V$21,5,FALSE),0)</f>
        <v>21</v>
      </c>
      <c r="X31" s="426" t="s">
        <v>247</v>
      </c>
      <c r="Y31" s="641">
        <f>COUNTIF($AQ$63:$AQ$262,데이터입력!X31)</f>
        <v>3</v>
      </c>
      <c r="Z31" s="656" t="str">
        <f>IF(예산실적비교표!C21="X","",예산실적비교표!C21)</f>
        <v/>
      </c>
      <c r="AA31" s="881">
        <f>IF($AB$2="",0,예산실적비교표!D21)</f>
        <v>0</v>
      </c>
      <c r="AB31" s="656" t="str">
        <f>IF(예산실적비교표!E21="X","",예산실적비교표!E21)</f>
        <v/>
      </c>
      <c r="AC31" s="881">
        <f>IF($AB$2="",0,예산실적비교표!F21)</f>
        <v>0</v>
      </c>
      <c r="AD31" s="656" t="str">
        <f>IF(예산실적비교표!G21="X","",예산실적비교표!G21)</f>
        <v/>
      </c>
      <c r="AE31" s="880">
        <f>IF($AB$2="",0,예산실적비교표!H21)</f>
        <v>0</v>
      </c>
      <c r="AF31" s="637">
        <f>IF($Y$8&lt;&gt;예산실적비교표!$B$3,$Y$8,예산실적비교표!I21)</f>
        <v>12</v>
      </c>
      <c r="AH31" s="334" t="str">
        <f>세입예산서!L180</f>
        <v xml:space="preserve">    - </v>
      </c>
      <c r="AI31" s="1390">
        <f>세입예산서!V180</f>
        <v>0</v>
      </c>
      <c r="AJ31" s="1391"/>
      <c r="AP31" s="1128" t="str">
        <f>IF(예산실적비교표!AL31&lt;&gt;"",예산실적비교표!AL31,"")</f>
        <v/>
      </c>
      <c r="AQ31" s="1129" t="str">
        <f>IF(예산실적비교표!AM31&lt;&gt;"",예산실적비교표!AM31,"")</f>
        <v/>
      </c>
      <c r="AR31" s="1130">
        <f>IF(예산실적비교표!AN31&lt;&gt;"",예산실적비교표!AN31,0)</f>
        <v>0</v>
      </c>
      <c r="AS31" s="1131">
        <f>IF(예산실적비교표!AO31&lt;&gt;"",예산실적비교표!AO31,0)</f>
        <v>0</v>
      </c>
      <c r="AT31" s="1118">
        <f t="shared" si="5"/>
        <v>0</v>
      </c>
      <c r="AU31" s="1132">
        <f>IF(예산실적비교표!AQ31&lt;&gt;"",예산실적비교표!AQ31,0)</f>
        <v>0</v>
      </c>
      <c r="AV31" s="1120">
        <f t="shared" si="6"/>
        <v>0</v>
      </c>
      <c r="AW31" s="1121">
        <f>IF(AR31="","",ROUND((AT31*$AT$7)*데이터입력!$AE$14+(AT31*$AU$7)*데이터입력!$AE$14+(AT31*$AU$7*$AV$7)*데이터입력!$AE$14+(AT31*$AW$7)*데이터입력!$AE$14+(AT31*$AX$7)*데이터입력!$AE$14,-1))</f>
        <v>0</v>
      </c>
      <c r="AX31" s="1122">
        <f t="shared" si="7"/>
        <v>0</v>
      </c>
      <c r="AY31" s="1123">
        <f>IFERROR(IF(AR31+AS31=0,0,ROUND(IF(데이터입력!$AE$14=100%,ROUND(AR31*$AR$1,-3),ROUND(AR31*$AR$1,-3)-ROUND(((AR31*$AR$1)*$AT$4)*(데이터입력!$AE$14-100%)+((AR31*$AR$1)*$AU$4)*(데이터입력!$AE$14-100%)+((AR31*$AR$1)*$AU$4*$AV$4)*(데이터입력!$AE$14-100%)+((AR31*$AR$1)*$AW$4)*(데이터입력!$AE$14-100%),-1)),0)),0)</f>
        <v>0</v>
      </c>
      <c r="AZ31" s="1124">
        <f>IFERROR(IF(AR31+AS31=0,0,IF(데이터입력!$AE$12=100%,(AT31),(AT31)+ROUND(AT31*(데이터입력!$AE$12-100%),-1))),0)</f>
        <v>0</v>
      </c>
      <c r="BA31" s="1263" t="str">
        <f t="shared" si="8"/>
        <v/>
      </c>
      <c r="BB31" s="1264" t="str">
        <f>IF(BA31="","",IF(데이터입력!$O$68="",ROUND(AZ31/12,0),ROUND(데이터입력!$O$68/데이터입력!$Y$8/$BC$11,0)))</f>
        <v/>
      </c>
      <c r="BC31" s="1275"/>
      <c r="BD31" s="1278" t="s">
        <v>762</v>
      </c>
      <c r="BE31" s="1350"/>
    </row>
    <row r="32" spans="1:58" ht="27.75" customHeight="1" thickBot="1">
      <c r="A32" s="1047" t="str">
        <f>IF($AM$1=TRUE,IF(K32="","",SUBTOTAL(2,$K$3:K32)),IF(AND(M32="",N32=""),"",IF(N32="",COUNT($M$3:M32),COUNT($N$3:N32)+200)))</f>
        <v/>
      </c>
      <c r="B32" s="411" t="s">
        <v>17</v>
      </c>
      <c r="C32" s="411" t="s">
        <v>542</v>
      </c>
      <c r="D32" s="410">
        <v>404010401</v>
      </c>
      <c r="E32" s="410" t="s">
        <v>84</v>
      </c>
      <c r="F32" s="410" t="s">
        <v>14</v>
      </c>
      <c r="G32" s="412">
        <f>IFERROR(IF($E32="07",VLOOKUP($B32,예산실적비교표!$X$7:$Z$200,2,FALSE),0),0)</f>
        <v>0</v>
      </c>
      <c r="H32" s="412">
        <f>IFERROR(IF($E32="06",VLOOKUP($C32,세입예산서!$K$3:$X$205,12,FALSE),0),0)</f>
        <v>0</v>
      </c>
      <c r="I32" s="412">
        <f>IFERROR(IF($E32="07",VLOOKUP($C32,세입예산서!$K$3:$X$205,13,FALSE),0),0)</f>
        <v>0</v>
      </c>
      <c r="J32" s="412">
        <f>IFERROR(IF($E32="05",VLOOKUP($C32,세입예산서!$K$3:$X$205,14,FALSE),0),0)</f>
        <v>0</v>
      </c>
      <c r="K32" s="412" t="str">
        <f t="shared" si="0"/>
        <v/>
      </c>
      <c r="L32" s="413">
        <f>IFERROR(IF($AB$2="",0,ROUNDUP(VLOOKUP($B32,예산실적비교표!$X$7:$Z$200,3,FALSE)*$Y$6/$Y$10,-3)*$Y$8),0)</f>
        <v>0</v>
      </c>
      <c r="M32" s="708" t="str">
        <f>IF($AM$1=TRUE,IF(K32="","",IF(IF($AE$2="",IF(K32="","",SUBTOTAL(2,$K$3:K32)),IF(AND(G32&gt;=0,K32=""),"",IF(AND(G32&gt;0,OR(K32&gt;0,K32&lt;0)),SUBTOTAL(2,$K$3:K32),IF(AND(G32=0,OR(K32&gt;0,K32&lt;0)),SUBTOTAL(2,$K$3:K32)+200,""))))&gt;200,"",1)),IF(K32="","",IF(IF($AE$2="",IF(K32="","",SUBTOTAL(2,$K$3:K32)),IF(AND(G32&gt;=0,K32=""),"",IF(AND(G32&gt;0,OR(K32&gt;0,K32&lt;0)),SUBTOTAL(2,$K$3:K32),IF(AND(G32=0,OR(K32&gt;0,K32&lt;0)),SUBTOTAL(2,$K$3:K32)+200,""))))&gt;200,"",1)))</f>
        <v/>
      </c>
      <c r="N32" s="214" t="str">
        <f>IF($AM$1=TRUE,IF(K32="","",IF(IF($AE$2="",IF(K32="","",SUBTOTAL(2,$K$3:K32)),IF(AND(G32&gt;=0,K32=""),"",IF(AND(G32&gt;0,OR(K32&gt;0,K32&lt;0)),SUBTOTAL(2,$K$3:K32),IF(AND(G32=0,OR(K32&gt;0,K32&lt;0)),SUBTOTAL(2,$K$3:K32)+200,""))))&lt;=200,"",2)),IF(K32="","",IF(IF($AE$2="",IF(K32="","",SUBTOTAL(2,$K$3:K32)),IF(AND(G32&gt;=0,K32=""),"",IF(AND(G32&gt;0,OR(K32&gt;0,K32&lt;0)),SUBTOTAL(2,$K$3:K32),IF(AND(G32=0,OR(K32&gt;0,K32&lt;0)),SUBTOTAL(2,$K$3:K32)+200,""))))&lt;=200,"",2)))</f>
        <v/>
      </c>
      <c r="O32" s="538"/>
      <c r="P32" s="427">
        <f>IFERROR(IF($AE$2="추경",IF(VLOOKUP(R32,$B$1:$L$28,11,FALSE)&gt;=VLOOKUP(R32,$B$1:$L$28,6,FALSE),ROUNDUP(VLOOKUP(R32,$B$1:$L$28,11,FALSE)/U32,-4)*U32,VLOOKUP(R32,$B$1:$L$28,6,FALSE)),IF(VLOOKUP(R32,$B$1:$L$28,11,FALSE)&gt;0,VLOOKUP(R32,$B$1:$L$28,11,FALSE),VLOOKUP(R32,예산평균!$B:$D,3,FALSE))),0)</f>
        <v>0</v>
      </c>
      <c r="Q32" s="566">
        <v>0</v>
      </c>
      <c r="R32" s="428" t="s">
        <v>8</v>
      </c>
      <c r="S32" s="364" t="s">
        <v>6</v>
      </c>
      <c r="T32" s="429">
        <f t="shared" ref="T32:T40" si="12">IF(O32="",P32,O32)</f>
        <v>0</v>
      </c>
      <c r="U32" s="430">
        <f t="shared" ref="U32:U46" si="13">IF(Q32=0,$Y$8,Q32)</f>
        <v>12</v>
      </c>
      <c r="V32" s="431" t="s">
        <v>127</v>
      </c>
      <c r="X32" s="432"/>
      <c r="Y32" s="433"/>
      <c r="Z32" s="433"/>
      <c r="AA32" s="433"/>
      <c r="AB32" s="433"/>
      <c r="AC32" s="433"/>
      <c r="AD32" s="433"/>
      <c r="AE32" s="433"/>
      <c r="AF32" s="434"/>
      <c r="AH32" s="334" t="str">
        <f>세입예산서!L181</f>
        <v xml:space="preserve">    - </v>
      </c>
      <c r="AI32" s="1390">
        <f>세입예산서!V181</f>
        <v>0</v>
      </c>
      <c r="AJ32" s="1391"/>
      <c r="AP32" s="1128" t="str">
        <f>IF(예산실적비교표!AL32&lt;&gt;"",예산실적비교표!AL32,"")</f>
        <v/>
      </c>
      <c r="AQ32" s="1129" t="str">
        <f>IF(예산실적비교표!AM32&lt;&gt;"",예산실적비교표!AM32,"")</f>
        <v/>
      </c>
      <c r="AR32" s="1130">
        <f>IF(예산실적비교표!AN32&lt;&gt;"",예산실적비교표!AN32,0)</f>
        <v>0</v>
      </c>
      <c r="AS32" s="1131">
        <f>IF(예산실적비교표!AO32&lt;&gt;"",예산실적비교표!AO32,0)</f>
        <v>0</v>
      </c>
      <c r="AT32" s="1118">
        <f t="shared" si="5"/>
        <v>0</v>
      </c>
      <c r="AU32" s="1132">
        <f>IF(예산실적비교표!AQ32&lt;&gt;"",예산실적비교표!AQ32,0)</f>
        <v>0</v>
      </c>
      <c r="AV32" s="1120">
        <f t="shared" si="6"/>
        <v>0</v>
      </c>
      <c r="AW32" s="1121">
        <f>IF(AR32="","",ROUND((AT32*$AT$7)*데이터입력!$AE$14+(AT32*$AU$7)*데이터입력!$AE$14+(AT32*$AU$7*$AV$7)*데이터입력!$AE$14+(AT32*$AW$7)*데이터입력!$AE$14+(AT32*$AX$7)*데이터입력!$AE$14,-1))</f>
        <v>0</v>
      </c>
      <c r="AX32" s="1122">
        <f t="shared" si="7"/>
        <v>0</v>
      </c>
      <c r="AY32" s="1123">
        <f>IFERROR(IF(AR32+AS32=0,0,ROUND(IF(데이터입력!$AE$14=100%,ROUND(AR32*$AR$1,-3),ROUND(AR32*$AR$1,-3)-ROUND(((AR32*$AR$1)*$AT$4)*(데이터입력!$AE$14-100%)+((AR32*$AR$1)*$AU$4)*(데이터입력!$AE$14-100%)+((AR32*$AR$1)*$AU$4*$AV$4)*(데이터입력!$AE$14-100%)+((AR32*$AR$1)*$AW$4)*(데이터입력!$AE$14-100%),-1)),0)),0)</f>
        <v>0</v>
      </c>
      <c r="AZ32" s="1124">
        <f>IFERROR(IF(AR32+AS32=0,0,IF(데이터입력!$AE$12=100%,(AT32),(AT32)+ROUND(AT32*(데이터입력!$AE$12-100%),-1))),0)</f>
        <v>0</v>
      </c>
      <c r="BA32" s="1263" t="str">
        <f t="shared" si="8"/>
        <v/>
      </c>
      <c r="BB32" s="1264" t="str">
        <f>IF(BA32="","",IF(데이터입력!$O$68="",ROUND(AZ32/12,0),ROUND(데이터입력!$O$68/데이터입력!$Y$8/$BC$11,0)))</f>
        <v/>
      </c>
      <c r="BC32" s="1275"/>
      <c r="BD32" s="1278" t="s">
        <v>757</v>
      </c>
      <c r="BE32" s="1350"/>
    </row>
    <row r="33" spans="1:59" ht="17.25" thickBot="1">
      <c r="A33" s="1047" t="str">
        <f>IF($AM$1=TRUE,IF(K33="","",SUBTOTAL(2,$K$3:K33)),IF(AND(M33="",N33=""),"",IF(N33="",COUNT($M$3:M33),COUNT($N$3:N33)+200)))</f>
        <v/>
      </c>
      <c r="B33" s="411" t="s">
        <v>31</v>
      </c>
      <c r="C33" s="411" t="s">
        <v>543</v>
      </c>
      <c r="D33" s="410">
        <v>409010101</v>
      </c>
      <c r="E33" s="410" t="s">
        <v>84</v>
      </c>
      <c r="F33" s="410" t="s">
        <v>81</v>
      </c>
      <c r="G33" s="412">
        <f>IFERROR(IF($E33="07",VLOOKUP($B33,예산실적비교표!$X$7:$Z$200,2,FALSE),0),0)</f>
        <v>0</v>
      </c>
      <c r="H33" s="412">
        <f>IFERROR(IF($E33="06",VLOOKUP($C33,세입예산서!$K$3:$X$205,12,FALSE),0),0)</f>
        <v>0</v>
      </c>
      <c r="I33" s="412">
        <f>IFERROR(IF($E33="07",VLOOKUP($C33,세입예산서!$K$3:$X$205,13,FALSE),0),0)</f>
        <v>0</v>
      </c>
      <c r="J33" s="412">
        <f>IFERROR(IF($E33="05",VLOOKUP($C33,세입예산서!$K$3:$X$205,14,FALSE),0),0)</f>
        <v>0</v>
      </c>
      <c r="K33" s="412" t="str">
        <f t="shared" si="0"/>
        <v/>
      </c>
      <c r="L33" s="413">
        <f>IFERROR(IF($AB$2="",0,ROUNDUP(VLOOKUP($B33,예산실적비교표!$X$7:$Z$200,3,FALSE),0)),0)</f>
        <v>0</v>
      </c>
      <c r="M33" s="708" t="str">
        <f>IF($AM$1=TRUE,IF(K33="","",IF(IF($AE$2="",IF(K33="","",SUBTOTAL(2,$K$3:K33)),IF(AND(G33&gt;=0,K33=""),"",IF(AND(G33&gt;0,OR(K33&gt;0,K33&lt;0)),SUBTOTAL(2,$K$3:K33),IF(AND(G33=0,OR(K33&gt;0,K33&lt;0)),SUBTOTAL(2,$K$3:K33)+200,""))))&gt;200,"",1)),IF(K33="","",IF(IF($AE$2="",IF(K33="","",SUBTOTAL(2,$K$3:K33)),IF(AND(G33&gt;=0,K33=""),"",IF(AND(G33&gt;0,OR(K33&gt;0,K33&lt;0)),SUBTOTAL(2,$K$3:K33),IF(AND(G33=0,OR(K33&gt;0,K33&lt;0)),SUBTOTAL(2,$K$3:K33)+200,""))))&gt;200,"",1)))</f>
        <v/>
      </c>
      <c r="N33" s="214" t="str">
        <f>IF($AM$1=TRUE,IF(K33="","",IF(IF($AE$2="",IF(K33="","",SUBTOTAL(2,$K$3:K33)),IF(AND(G33&gt;=0,K33=""),"",IF(AND(G33&gt;0,OR(K33&gt;0,K33&lt;0)),SUBTOTAL(2,$K$3:K33),IF(AND(G33=0,OR(K33&gt;0,K33&lt;0)),SUBTOTAL(2,$K$3:K33)+200,""))))&lt;=200,"",2)),IF(K33="","",IF(IF($AE$2="",IF(K33="","",SUBTOTAL(2,$K$3:K33)),IF(AND(G33&gt;=0,K33=""),"",IF(AND(G33&gt;0,OR(K33&gt;0,K33&lt;0)),SUBTOTAL(2,$K$3:K33),IF(AND(G33=0,OR(K33&gt;0,K33&lt;0)),SUBTOTAL(2,$K$3:K33)+200,""))))&lt;=200,"",2)))</f>
        <v/>
      </c>
      <c r="O33" s="538"/>
      <c r="P33" s="435">
        <f>IFERROR(IF($AE$2="추경",IF(VLOOKUP(R33,$B$1:$L$28,11,FALSE)&gt;=VLOOKUP(R33,$B$1:$L$28,6,FALSE),ROUNDUP(VLOOKUP(R33,$B$1:$L$28,11,FALSE)/U33,-3)*U33,VLOOKUP(R33,$B$1:$L$28,6,FALSE)),IF(VLOOKUP(R33,$B$1:$L$28,11,FALSE)&gt;0,VLOOKUP(R33,$B$1:$L$28,11,FALSE),VLOOKUP(R33,예산평균!$B:$D,3,FALSE))),0)</f>
        <v>0</v>
      </c>
      <c r="Q33" s="566">
        <v>0</v>
      </c>
      <c r="R33" s="428" t="s">
        <v>9</v>
      </c>
      <c r="S33" s="364" t="s">
        <v>6</v>
      </c>
      <c r="T33" s="429">
        <f t="shared" si="12"/>
        <v>0</v>
      </c>
      <c r="U33" s="436">
        <f t="shared" si="13"/>
        <v>12</v>
      </c>
      <c r="V33" s="431" t="s">
        <v>127</v>
      </c>
      <c r="X33" s="1550" t="s">
        <v>272</v>
      </c>
      <c r="Y33" s="1551"/>
      <c r="Z33" s="1551"/>
      <c r="AA33" s="1551"/>
      <c r="AB33" s="1551"/>
      <c r="AC33" s="1551"/>
      <c r="AD33" s="1551"/>
      <c r="AE33" s="1551"/>
      <c r="AF33" s="1552"/>
      <c r="AH33" s="334" t="str">
        <f>세입예산서!L182</f>
        <v xml:space="preserve">    - </v>
      </c>
      <c r="AI33" s="1390">
        <f>세입예산서!V182</f>
        <v>0</v>
      </c>
      <c r="AJ33" s="1391"/>
      <c r="AP33" s="1128" t="str">
        <f>IF(예산실적비교표!AL33&lt;&gt;"",예산실적비교표!AL33,"")</f>
        <v/>
      </c>
      <c r="AQ33" s="1129" t="str">
        <f>IF(예산실적비교표!AM33&lt;&gt;"",예산실적비교표!AM33,"")</f>
        <v/>
      </c>
      <c r="AR33" s="1130">
        <f>IF(예산실적비교표!AN33&lt;&gt;"",예산실적비교표!AN33,0)</f>
        <v>0</v>
      </c>
      <c r="AS33" s="1131">
        <f>IF(예산실적비교표!AO33&lt;&gt;"",예산실적비교표!AO33,0)</f>
        <v>0</v>
      </c>
      <c r="AT33" s="1118">
        <f t="shared" si="5"/>
        <v>0</v>
      </c>
      <c r="AU33" s="1132">
        <f>IF(예산실적비교표!AQ33&lt;&gt;"",예산실적비교표!AQ33,0)</f>
        <v>0</v>
      </c>
      <c r="AV33" s="1120">
        <f t="shared" si="6"/>
        <v>0</v>
      </c>
      <c r="AW33" s="1121">
        <f>IF(AR33="","",ROUND((AT33*$AT$7)*데이터입력!$AE$14+(AT33*$AU$7)*데이터입력!$AE$14+(AT33*$AU$7*$AV$7)*데이터입력!$AE$14+(AT33*$AW$7)*데이터입력!$AE$14+(AT33*$AX$7)*데이터입력!$AE$14,-1))</f>
        <v>0</v>
      </c>
      <c r="AX33" s="1122">
        <f t="shared" si="7"/>
        <v>0</v>
      </c>
      <c r="AY33" s="1123">
        <f>IFERROR(IF(AR33+AS33=0,0,ROUND(IF(데이터입력!$AE$14=100%,ROUND(AR33*$AR$1,-3),ROUND(AR33*$AR$1,-3)-ROUND(((AR33*$AR$1)*$AT$4)*(데이터입력!$AE$14-100%)+((AR33*$AR$1)*$AU$4)*(데이터입력!$AE$14-100%)+((AR33*$AR$1)*$AU$4*$AV$4)*(데이터입력!$AE$14-100%)+((AR33*$AR$1)*$AW$4)*(데이터입력!$AE$14-100%),-1)),0)),0)</f>
        <v>0</v>
      </c>
      <c r="AZ33" s="1124">
        <f>IFERROR(IF(AR33+AS33=0,0,IF(데이터입력!$AE$12=100%,(AT33),(AT33)+ROUND(AT33*(데이터입력!$AE$12-100%),-1))),0)</f>
        <v>0</v>
      </c>
      <c r="BA33" s="1263" t="str">
        <f t="shared" si="8"/>
        <v/>
      </c>
      <c r="BB33" s="1264" t="str">
        <f>IF(BA33="","",IF(데이터입력!$O$68="",ROUND(AZ33/12,0),ROUND(데이터입력!$O$68/데이터입력!$Y$8/$BC$11,0)))</f>
        <v/>
      </c>
      <c r="BC33" s="1276"/>
      <c r="BD33" s="1279" t="s">
        <v>763</v>
      </c>
      <c r="BE33" s="1351"/>
    </row>
    <row r="34" spans="1:59" ht="17.25" thickBot="1">
      <c r="A34" s="1047" t="str">
        <f>IF($AM$1=TRUE,IF(K34="","",SUBTOTAL(2,$K$3:K34)),IF(AND(M34="",N34=""),"",IF(N34="",COUNT($M$3:M34),COUNT($N$3:N34)+200)))</f>
        <v/>
      </c>
      <c r="B34" s="411" t="s">
        <v>512</v>
      </c>
      <c r="C34" s="411" t="s">
        <v>544</v>
      </c>
      <c r="D34" s="410">
        <v>410010201</v>
      </c>
      <c r="E34" s="410" t="s">
        <v>84</v>
      </c>
      <c r="F34" s="410" t="s">
        <v>81</v>
      </c>
      <c r="G34" s="412">
        <f>IFERROR(IF($E34="07",VLOOKUP($B34,예산실적비교표!$X$7:$Z$200,2,FALSE),0),0)+IFERROR(IF($E34="07",VLOOKUP($B28,예산실적비교표!$X$7:$Z$200,2,FALSE),0),0)</f>
        <v>0</v>
      </c>
      <c r="H34" s="412">
        <f>IFERROR(IF($E34="06",VLOOKUP($C34,세입예산서!$K$3:$X$205,12,FALSE),0),0)</f>
        <v>0</v>
      </c>
      <c r="I34" s="412">
        <f>IFERROR(IF($E34="07",VLOOKUP($C34,세입예산서!$K$3:$X$205,13,FALSE),0),0)</f>
        <v>0</v>
      </c>
      <c r="J34" s="412">
        <f>IFERROR(IF($E34="05",VLOOKUP($C34,세입예산서!$K$3:$X$205,14,FALSE),0),0)</f>
        <v>0</v>
      </c>
      <c r="K34" s="412" t="str">
        <f t="shared" si="0"/>
        <v/>
      </c>
      <c r="L34" s="413">
        <f>IFERROR(IF($AB$2="",0,IF(ROUNDUP(VLOOKUP($B34,예산실적비교표!$X$7:$Z$200,3,FALSE)/$U$59,-3)&lt;10000,10000,ROUNDUP(VLOOKUP($B34,예산실적비교표!$X$7:$Z$200,3,FALSE)*$Y$6/$Y$10,-3)*$Y$8)),0)</f>
        <v>0</v>
      </c>
      <c r="M34" s="708" t="str">
        <f>IF($AM$1=TRUE,IF(K34="","",IF(IF($AE$2="",IF(K34="","",SUBTOTAL(2,$K$3:K34)),IF(AND(G34&gt;=0,K34=""),"",IF(AND(G34&gt;0,OR(K34&gt;0,K34&lt;0)),SUBTOTAL(2,$K$3:K34),IF(AND(G34=0,OR(K34&gt;0,K34&lt;0)),SUBTOTAL(2,$K$3:K34)+200,""))))&gt;200,"",1)),IF(K34="","",IF(IF($AE$2="",IF(K34="","",SUBTOTAL(2,$K$3:K34)),IF(AND(G34&gt;=0,K34=""),"",IF(AND(G34&gt;0,OR(K34&gt;0,K34&lt;0)),SUBTOTAL(2,$K$3:K34),IF(AND(G34=0,OR(K34&gt;0,K34&lt;0)),SUBTOTAL(2,$K$3:K34)+200,""))))&gt;200,"",1)))</f>
        <v/>
      </c>
      <c r="N34" s="214" t="str">
        <f>IF($AM$1=TRUE,IF(K34="","",IF(IF($AE$2="",IF(K34="","",SUBTOTAL(2,$K$3:K34)),IF(AND(G34&gt;=0,K34=""),"",IF(AND(G34&gt;0,OR(K34&gt;0,K34&lt;0)),SUBTOTAL(2,$K$3:K34),IF(AND(G34=0,OR(K34&gt;0,K34&lt;0)),SUBTOTAL(2,$K$3:K34)+200,""))))&lt;=200,"",2)),IF(K34="","",IF(IF($AE$2="",IF(K34="","",SUBTOTAL(2,$K$3:K34)),IF(AND(G34&gt;=0,K34=""),"",IF(AND(G34&gt;0,OR(K34&gt;0,K34&lt;0)),SUBTOTAL(2,$K$3:K34),IF(AND(G34=0,OR(K34&gt;0,K34&lt;0)),SUBTOTAL(2,$K$3:K34)+200,""))))&lt;=200,"",2)))</f>
        <v/>
      </c>
      <c r="O34" s="538"/>
      <c r="P34" s="435">
        <f>IFERROR(IF($AE$2="추경",IF(VLOOKUP(R34,$B$1:$L$28,11,FALSE)&gt;=VLOOKUP(R34,$B$1:$L$28,6,FALSE),ROUNDUP(VLOOKUP(R34,$B$1:$L$28,11,FALSE)/U34,-3)*U34,VLOOKUP(R34,$B$1:$L$28,6,FALSE)),IF(VLOOKUP(R34,$B$1:$L$28,11,FALSE)&gt;0,VLOOKUP(R34,$B$1:$L$28,11,FALSE),VLOOKUP(R34,예산평균!$B:$D,3,FALSE))),0)</f>
        <v>1800000</v>
      </c>
      <c r="Q34" s="566">
        <v>0</v>
      </c>
      <c r="R34" s="428" t="s">
        <v>10</v>
      </c>
      <c r="S34" s="364" t="s">
        <v>6</v>
      </c>
      <c r="T34" s="429">
        <f t="shared" si="12"/>
        <v>1800000</v>
      </c>
      <c r="U34" s="436">
        <f t="shared" si="13"/>
        <v>12</v>
      </c>
      <c r="V34" s="431" t="s">
        <v>127</v>
      </c>
      <c r="X34" s="407" t="s">
        <v>739</v>
      </c>
      <c r="Y34" s="878">
        <f>ROUND((세출예산서!Z82)/$Y$8,-3)</f>
        <v>750000</v>
      </c>
      <c r="Z34" s="407" t="str">
        <f>"회의비("&amp;U73&amp;"개월)"</f>
        <v>회의비(4개월)</v>
      </c>
      <c r="AA34" s="878">
        <f>ROUND((세출예산서!Z91)/$U$73,-3)</f>
        <v>0</v>
      </c>
      <c r="AB34" s="407" t="s">
        <v>741</v>
      </c>
      <c r="AC34" s="878">
        <f>ROUND((세출예산서!Z102)/$Y$8,-3)</f>
        <v>0</v>
      </c>
      <c r="AD34" s="407" t="s">
        <v>738</v>
      </c>
      <c r="AE34" s="635">
        <f>SUM(AE35:AE41)</f>
        <v>225000</v>
      </c>
      <c r="AF34" s="437" t="s">
        <v>215</v>
      </c>
      <c r="AH34" s="1565" t="s">
        <v>515</v>
      </c>
      <c r="AI34" s="1566"/>
      <c r="AJ34" s="1567"/>
      <c r="AP34" s="1128" t="str">
        <f>IF(예산실적비교표!AL34&lt;&gt;"",예산실적비교표!AL34,"")</f>
        <v/>
      </c>
      <c r="AQ34" s="1129" t="str">
        <f>IF(예산실적비교표!AM34&lt;&gt;"",예산실적비교표!AM34,"")</f>
        <v/>
      </c>
      <c r="AR34" s="1130">
        <f>IF(예산실적비교표!AN34&lt;&gt;"",예산실적비교표!AN34,0)</f>
        <v>0</v>
      </c>
      <c r="AS34" s="1131">
        <f>IF(예산실적비교표!AO34&lt;&gt;"",예산실적비교표!AO34,0)</f>
        <v>0</v>
      </c>
      <c r="AT34" s="1118">
        <f t="shared" si="5"/>
        <v>0</v>
      </c>
      <c r="AU34" s="1132">
        <f>IF(예산실적비교표!AQ34&lt;&gt;"",예산실적비교표!AQ34,0)</f>
        <v>0</v>
      </c>
      <c r="AV34" s="1120">
        <f t="shared" si="6"/>
        <v>0</v>
      </c>
      <c r="AW34" s="1121">
        <f>IF(AR34="","",ROUND((AT34*$AT$7)*데이터입력!$AE$14+(AT34*$AU$7)*데이터입력!$AE$14+(AT34*$AU$7*$AV$7)*데이터입력!$AE$14+(AT34*$AW$7)*데이터입력!$AE$14+(AT34*$AX$7)*데이터입력!$AE$14,-1))</f>
        <v>0</v>
      </c>
      <c r="AX34" s="1122">
        <f t="shared" si="7"/>
        <v>0</v>
      </c>
      <c r="AY34" s="1123">
        <f>IFERROR(IF(AR34+AS34=0,0,ROUND(IF(데이터입력!$AE$14=100%,ROUND(AR34*$AR$1,-3),ROUND(AR34*$AR$1,-3)-ROUND(((AR34*$AR$1)*$AT$4)*(데이터입력!$AE$14-100%)+((AR34*$AR$1)*$AU$4)*(데이터입력!$AE$14-100%)+((AR34*$AR$1)*$AU$4*$AV$4)*(데이터입력!$AE$14-100%)+((AR34*$AR$1)*$AW$4)*(데이터입력!$AE$14-100%),-1)),0)),0)</f>
        <v>0</v>
      </c>
      <c r="AZ34" s="1124">
        <f>IFERROR(IF(AR34+AS34=0,0,IF(데이터입력!$AE$12=100%,(AT34),(AT34)+ROUND(AT34*(데이터입력!$AE$12-100%),-1))),0)</f>
        <v>0</v>
      </c>
      <c r="BA34" s="1263" t="str">
        <f t="shared" si="8"/>
        <v/>
      </c>
      <c r="BB34" s="1264" t="str">
        <f>IF(BA34="","",IF(데이터입력!$O$68="",ROUND(AZ34/12,0),ROUND(데이터입력!$O$68/데이터입력!$Y$8/$BC$11,0)))</f>
        <v/>
      </c>
      <c r="BC34" s="1274" t="s">
        <v>460</v>
      </c>
      <c r="BD34" s="1277" t="s">
        <v>761</v>
      </c>
      <c r="BE34" s="1349">
        <f>AI20</f>
        <v>0.59299999999999997</v>
      </c>
    </row>
    <row r="35" spans="1:59" ht="27.75" customHeight="1" thickBot="1">
      <c r="A35" s="1048" t="str">
        <f>IF($AM$1=TRUE,IF(K35="","",SUBTOTAL(2,$K$3:K35)),IF(AND(M35="",N35=""),"",IF(N35="",COUNT($M$3:M35),COUNT($N$3:N35)+200)))</f>
        <v/>
      </c>
      <c r="B35" s="439" t="s">
        <v>18</v>
      </c>
      <c r="C35" s="439" t="s">
        <v>545</v>
      </c>
      <c r="D35" s="438">
        <v>405010101</v>
      </c>
      <c r="E35" s="438" t="s">
        <v>85</v>
      </c>
      <c r="F35" s="438" t="s">
        <v>19</v>
      </c>
      <c r="G35" s="440">
        <f>IFERROR(IF($E35="05",VLOOKUP($B35,예산실적비교표!$AG$7:$AJ$200,2,FALSE),0),0)</f>
        <v>0</v>
      </c>
      <c r="H35" s="440">
        <f>IFERROR(IF($E35="06",VLOOKUP($C35,세입예산서!$K$3:$X$205,12,FALSE),0),0)</f>
        <v>0</v>
      </c>
      <c r="I35" s="440">
        <f>IFERROR(IF($E35="07",VLOOKUP($C35,세입예산서!$K$3:$X$205,13,FALSE),0),0)</f>
        <v>0</v>
      </c>
      <c r="J35" s="440">
        <f>IFERROR(IF($E35="05",VLOOKUP($C35,세입예산서!$K$3:$X$205,14,FALSE),0),0)</f>
        <v>0</v>
      </c>
      <c r="K35" s="440" t="str">
        <f t="shared" si="0"/>
        <v/>
      </c>
      <c r="L35" s="441">
        <f>IFERROR(IF($AB$2="",0,ROUNDUP(VLOOKUP($B35,예산실적비교표!$AG$7:$AJ$200,3,FALSE)*$Y$6/$Y$9,-3)*$Y$8),0)</f>
        <v>0</v>
      </c>
      <c r="M35" s="708" t="str">
        <f>IF($AM$1=TRUE,IF(K35="","",IF(IF($AE$2="",IF(K35="","",SUBTOTAL(2,$K$3:K35)),IF(AND(G35&gt;=0,K35=""),"",IF(AND(G35&gt;0,OR(K35&gt;0,K35&lt;0)),SUBTOTAL(2,$K$3:K35),IF(AND(G35=0,OR(K35&gt;0,K35&lt;0)),SUBTOTAL(2,$K$3:K35)+200,""))))&gt;200,"",1)),IF(K35="","",IF(IF($AE$2="",IF(K35="","",SUBTOTAL(2,$K$3:K35)),IF(AND(G35&gt;=0,K35=""),"",IF(AND(G35&gt;0,OR(K35&gt;0,K35&lt;0)),SUBTOTAL(2,$K$3:K35),IF(AND(G35=0,OR(K35&gt;0,K35&lt;0)),SUBTOTAL(2,$K$3:K35)+200,""))))&gt;200,"",1)))</f>
        <v/>
      </c>
      <c r="N35" s="214" t="str">
        <f>IF($AM$1=TRUE,IF(K35="","",IF(IF($AE$2="",IF(K35="","",SUBTOTAL(2,$K$3:K35)),IF(AND(G35&gt;=0,K35=""),"",IF(AND(G35&gt;0,OR(K35&gt;0,K35&lt;0)),SUBTOTAL(2,$K$3:K35),IF(AND(G35=0,OR(K35&gt;0,K35&lt;0)),SUBTOTAL(2,$K$3:K35)+200,""))))&lt;=200,"",2)),IF(K35="","",IF(IF($AE$2="",IF(K35="","",SUBTOTAL(2,$K$3:K35)),IF(AND(G35&gt;=0,K35=""),"",IF(AND(G35&gt;0,OR(K35&gt;0,K35&lt;0)),SUBTOTAL(2,$K$3:K35),IF(AND(G35=0,OR(K35&gt;0,K35&lt;0)),SUBTOTAL(2,$K$3:K35)+200,""))))&lt;=200,"",2)))</f>
        <v/>
      </c>
      <c r="O35" s="538"/>
      <c r="P35" s="435">
        <f>IFERROR(IF($AE$2="추경",IF(VLOOKUP(R35,$B$1:$L$28,11,FALSE)&gt;=VLOOKUP(R35,$B$1:$L$28,6,FALSE),ROUNDUP(VLOOKUP(R35,$B$1:$L$28,11,FALSE)/U35,-3)*U35,VLOOKUP(R35,$B$1:$L$28,6,FALSE)),IF(VLOOKUP(R35,$B$1:$L$28,11,FALSE)&gt;0,VLOOKUP(R35,$B$1:$L$28,11,FALSE),VLOOKUP(R35,예산평균!$B:$D,3,FALSE))),0)</f>
        <v>0</v>
      </c>
      <c r="Q35" s="566">
        <v>0</v>
      </c>
      <c r="R35" s="428" t="s">
        <v>12</v>
      </c>
      <c r="S35" s="364" t="s">
        <v>6</v>
      </c>
      <c r="T35" s="429">
        <f t="shared" si="12"/>
        <v>0</v>
      </c>
      <c r="U35" s="436">
        <f t="shared" si="13"/>
        <v>12</v>
      </c>
      <c r="V35" s="431" t="s">
        <v>127</v>
      </c>
      <c r="X35" s="1076" t="str">
        <f>IF(예산실적비교표!A25="X","",예산실적비교표!A25)</f>
        <v>직책보조비</v>
      </c>
      <c r="Y35" s="879">
        <f>Y34-SUM(Y36:Y41)</f>
        <v>750000</v>
      </c>
      <c r="Z35" s="1076" t="str">
        <f>IF(예산실적비교표!C25="X","",예산실적비교표!C25)</f>
        <v>회의비</v>
      </c>
      <c r="AA35" s="879">
        <f>AA34-SUM(AA36:AA41)</f>
        <v>0</v>
      </c>
      <c r="AB35" s="1076" t="str">
        <f>IF(예산실적비교표!E25="X","",예산실적비교표!E25)</f>
        <v>여비</v>
      </c>
      <c r="AC35" s="879">
        <f>AC34-SUM(AC36:AC41)</f>
        <v>0</v>
      </c>
      <c r="AD35" s="1076" t="str">
        <f>IF(예산실적비교표!G25="X","",예산실적비교표!G25)</f>
        <v>상담,타시설 미팅등</v>
      </c>
      <c r="AE35" s="886">
        <f>ROUND((AI35-SUM(AI37:AJ42))/AF35,-3)</f>
        <v>25000</v>
      </c>
      <c r="AF35" s="637">
        <f>IF($Y$8&lt;&gt;예산실적비교표!$B$3,$Y$8,예산실적비교표!I25)</f>
        <v>12</v>
      </c>
      <c r="AH35" s="648" t="s">
        <v>738</v>
      </c>
      <c r="AI35" s="1422">
        <f>세출예산서!$Z$72</f>
        <v>1800000</v>
      </c>
      <c r="AJ35" s="1423"/>
      <c r="AP35" s="1128" t="str">
        <f>IF(예산실적비교표!AL35&lt;&gt;"",예산실적비교표!AL35,"")</f>
        <v/>
      </c>
      <c r="AQ35" s="1129" t="str">
        <f>IF(예산실적비교표!AM35&lt;&gt;"",예산실적비교표!AM35,"")</f>
        <v/>
      </c>
      <c r="AR35" s="1130">
        <f>IF(예산실적비교표!AN35&lt;&gt;"",예산실적비교표!AN35,0)</f>
        <v>0</v>
      </c>
      <c r="AS35" s="1131">
        <f>IF(예산실적비교표!AO35&lt;&gt;"",예산실적비교표!AO35,0)</f>
        <v>0</v>
      </c>
      <c r="AT35" s="1118">
        <f t="shared" si="5"/>
        <v>0</v>
      </c>
      <c r="AU35" s="1132">
        <f>IF(예산실적비교표!AQ35&lt;&gt;"",예산실적비교표!AQ35,0)</f>
        <v>0</v>
      </c>
      <c r="AV35" s="1120">
        <f t="shared" si="6"/>
        <v>0</v>
      </c>
      <c r="AW35" s="1121">
        <f>IF(AR35="","",ROUND((AT35*$AT$7)*데이터입력!$AE$14+(AT35*$AU$7)*데이터입력!$AE$14+(AT35*$AU$7*$AV$7)*데이터입력!$AE$14+(AT35*$AW$7)*데이터입력!$AE$14+(AT35*$AX$7)*데이터입력!$AE$14,-1))</f>
        <v>0</v>
      </c>
      <c r="AX35" s="1122">
        <f t="shared" si="7"/>
        <v>0</v>
      </c>
      <c r="AY35" s="1123">
        <f>IFERROR(IF(AR35+AS35=0,0,ROUND(IF(데이터입력!$AE$14=100%,ROUND(AR35*$AR$1,-3),ROUND(AR35*$AR$1,-3)-ROUND(((AR35*$AR$1)*$AT$4)*(데이터입력!$AE$14-100%)+((AR35*$AR$1)*$AU$4)*(데이터입력!$AE$14-100%)+((AR35*$AR$1)*$AU$4*$AV$4)*(데이터입력!$AE$14-100%)+((AR35*$AR$1)*$AW$4)*(데이터입력!$AE$14-100%),-1)),0)),0)</f>
        <v>0</v>
      </c>
      <c r="AZ35" s="1124">
        <f>IFERROR(IF(AR35+AS35=0,0,IF(데이터입력!$AE$12=100%,(AT35),(AT35)+ROUND(AT35*(데이터입력!$AE$12-100%),-1))),0)</f>
        <v>0</v>
      </c>
      <c r="BA35" s="1263" t="str">
        <f t="shared" si="8"/>
        <v/>
      </c>
      <c r="BB35" s="1264" t="str">
        <f>IF(BA35="","",IF(데이터입력!$O$68="",ROUND(AZ35/12,0),ROUND(데이터입력!$O$68/데이터입력!$Y$8/$BC$11,0)))</f>
        <v/>
      </c>
      <c r="BC35" s="1275"/>
      <c r="BD35" s="1278" t="s">
        <v>762</v>
      </c>
      <c r="BE35" s="1350"/>
    </row>
    <row r="36" spans="1:59" ht="27" customHeight="1">
      <c r="A36" s="1048" t="str">
        <f>IF($AM$1=TRUE,IF(K36="","",SUBTOTAL(2,$K$3:K36)),IF(AND(M36="",N36=""),"",IF(N36="",COUNT($M$3:M36),COUNT($N$3:N36)+200)))</f>
        <v/>
      </c>
      <c r="B36" s="439" t="s">
        <v>20</v>
      </c>
      <c r="C36" s="439" t="s">
        <v>546</v>
      </c>
      <c r="D36" s="438">
        <v>405010201</v>
      </c>
      <c r="E36" s="438" t="s">
        <v>85</v>
      </c>
      <c r="F36" s="438" t="s">
        <v>19</v>
      </c>
      <c r="G36" s="440">
        <f>IFERROR(IF($E36="05",VLOOKUP($B36,예산실적비교표!$AG$7:$AJ$200,2,FALSE),0),0)</f>
        <v>0</v>
      </c>
      <c r="H36" s="440">
        <f>IFERROR(IF($E36="06",VLOOKUP($C36,세입예산서!$K$3:$X$205,12,FALSE),0),0)</f>
        <v>0</v>
      </c>
      <c r="I36" s="440">
        <f>IFERROR(IF($E36="07",VLOOKUP($C36,세입예산서!$K$3:$X$205,13,FALSE),0),0)</f>
        <v>0</v>
      </c>
      <c r="J36" s="440">
        <f>IFERROR(IF($E36="05",VLOOKUP($C36,세입예산서!$K$3:$X$205,14,FALSE),0),0)</f>
        <v>0</v>
      </c>
      <c r="K36" s="440" t="str">
        <f t="shared" si="0"/>
        <v/>
      </c>
      <c r="L36" s="441">
        <f>IFERROR(IF($AB$2="",0,ROUNDUP(VLOOKUP($B36,예산실적비교표!$AG$7:$AJ$200,3,FALSE)*$Y$6/$Y$9,-3)*$Y$8),0)</f>
        <v>0</v>
      </c>
      <c r="M36" s="708" t="str">
        <f>IF($AM$1=TRUE,IF(K36="","",IF(IF($AE$2="",IF(K36="","",SUBTOTAL(2,$K$3:K36)),IF(AND(G36&gt;=0,K36=""),"",IF(AND(G36&gt;0,OR(K36&gt;0,K36&lt;0)),SUBTOTAL(2,$K$3:K36),IF(AND(G36=0,OR(K36&gt;0,K36&lt;0)),SUBTOTAL(2,$K$3:K36)+200,""))))&gt;200,"",1)),IF(K36="","",IF(IF($AE$2="",IF(K36="","",SUBTOTAL(2,$K$3:K36)),IF(AND(G36&gt;=0,K36=""),"",IF(AND(G36&gt;0,OR(K36&gt;0,K36&lt;0)),SUBTOTAL(2,$K$3:K36),IF(AND(G36=0,OR(K36&gt;0,K36&lt;0)),SUBTOTAL(2,$K$3:K36)+200,""))))&gt;200,"",1)))</f>
        <v/>
      </c>
      <c r="N36" s="214" t="str">
        <f>IF($AM$1=TRUE,IF(K36="","",IF(IF($AE$2="",IF(K36="","",SUBTOTAL(2,$K$3:K36)),IF(AND(G36&gt;=0,K36=""),"",IF(AND(G36&gt;0,OR(K36&gt;0,K36&lt;0)),SUBTOTAL(2,$K$3:K36),IF(AND(G36=0,OR(K36&gt;0,K36&lt;0)),SUBTOTAL(2,$K$3:K36)+200,""))))&lt;=200,"",2)),IF(K36="","",IF(IF($AE$2="",IF(K36="","",SUBTOTAL(2,$K$3:K36)),IF(AND(G36&gt;=0,K36=""),"",IF(AND(G36&gt;0,OR(K36&gt;0,K36&lt;0)),SUBTOTAL(2,$K$3:K36),IF(AND(G36=0,OR(K36&gt;0,K36&lt;0)),SUBTOTAL(2,$K$3:K36)+200,""))))&lt;=200,"",2)))</f>
        <v/>
      </c>
      <c r="O36" s="538"/>
      <c r="P36" s="435">
        <f>IFERROR(IF($AE$2="추경",IF(VLOOKUP(R36,$B$1:$L$28,11,FALSE)&gt;=VLOOKUP(R36,$B$1:$L$28,6,FALSE),ROUNDUP(VLOOKUP(R36,$B$1:$L$28,11,FALSE)/U36,-3)*U36,VLOOKUP(R36,$B$1:$L$28,6,FALSE)),IF(VLOOKUP(R36,$B$1:$L$28,11,FALSE)&gt;0,VLOOKUP(R36,$B$1:$L$28,11,FALSE),VLOOKUP(R36,예산평균!$B:$D,3,FALSE))),0)</f>
        <v>0</v>
      </c>
      <c r="Q36" s="566">
        <v>0</v>
      </c>
      <c r="R36" s="428" t="s">
        <v>13</v>
      </c>
      <c r="S36" s="364" t="s">
        <v>6</v>
      </c>
      <c r="T36" s="429">
        <f t="shared" si="12"/>
        <v>0</v>
      </c>
      <c r="U36" s="436">
        <f t="shared" si="13"/>
        <v>12</v>
      </c>
      <c r="V36" s="442" t="s">
        <v>142</v>
      </c>
      <c r="X36" s="656" t="str">
        <f>IF(예산실적비교표!A26="X","",예산실적비교표!A26)</f>
        <v/>
      </c>
      <c r="Y36" s="880">
        <f>IF($AB$2="",0,예산실적비교표!B26)</f>
        <v>0</v>
      </c>
      <c r="Z36" s="656" t="str">
        <f>IF(예산실적비교표!C26="X","",예산실적비교표!C26)</f>
        <v/>
      </c>
      <c r="AA36" s="880">
        <f>IF($AB$2="",0,예산실적비교표!D26)</f>
        <v>0</v>
      </c>
      <c r="AB36" s="656" t="str">
        <f>IF(예산실적비교표!E26="X","",예산실적비교표!E26)</f>
        <v/>
      </c>
      <c r="AC36" s="880">
        <f>IF($AB$2="",0,예산실적비교표!F26)</f>
        <v>0</v>
      </c>
      <c r="AD36" s="656" t="str">
        <f>IF(예산실적비교표!G26="X","",예산실적비교표!G26)</f>
        <v>직원복지관련비용</v>
      </c>
      <c r="AE36" s="880">
        <v>100000</v>
      </c>
      <c r="AF36" s="637">
        <f>IF($Y$8&lt;&gt;예산실적비교표!$B$3,$Y$8,예산실적비교표!I26)</f>
        <v>12</v>
      </c>
      <c r="AH36" s="356" t="str">
        <f>세출예산서!L73</f>
        <v xml:space="preserve">  - 상담,타시설 미팅등</v>
      </c>
      <c r="AI36" s="1388">
        <f>세출예산서!V73</f>
        <v>300000</v>
      </c>
      <c r="AJ36" s="1389"/>
      <c r="AP36" s="1128" t="str">
        <f>IF(예산실적비교표!AL36&lt;&gt;"",예산실적비교표!AL36,"")</f>
        <v/>
      </c>
      <c r="AQ36" s="1129" t="str">
        <f>IF(예산실적비교표!AM36&lt;&gt;"",예산실적비교표!AM36,"")</f>
        <v/>
      </c>
      <c r="AR36" s="1130">
        <f>IF(예산실적비교표!AN36&lt;&gt;"",예산실적비교표!AN36,0)</f>
        <v>0</v>
      </c>
      <c r="AS36" s="1131">
        <f>IF(예산실적비교표!AO36&lt;&gt;"",예산실적비교표!AO36,0)</f>
        <v>0</v>
      </c>
      <c r="AT36" s="1118">
        <f t="shared" si="5"/>
        <v>0</v>
      </c>
      <c r="AU36" s="1132">
        <f>IF(예산실적비교표!AQ36&lt;&gt;"",예산실적비교표!AQ36,0)</f>
        <v>0</v>
      </c>
      <c r="AV36" s="1120">
        <f t="shared" si="6"/>
        <v>0</v>
      </c>
      <c r="AW36" s="1121">
        <f>IF(AR36="","",ROUND((AT36*$AT$7)*데이터입력!$AE$14+(AT36*$AU$7)*데이터입력!$AE$14+(AT36*$AU$7*$AV$7)*데이터입력!$AE$14+(AT36*$AW$7)*데이터입력!$AE$14+(AT36*$AX$7)*데이터입력!$AE$14,-1))</f>
        <v>0</v>
      </c>
      <c r="AX36" s="1122">
        <f t="shared" si="7"/>
        <v>0</v>
      </c>
      <c r="AY36" s="1123">
        <f>IFERROR(IF(AR36+AS36=0,0,ROUND(IF(데이터입력!$AE$14=100%,ROUND(AR36*$AR$1,-3),ROUND(AR36*$AR$1,-3)-ROUND(((AR36*$AR$1)*$AT$4)*(데이터입력!$AE$14-100%)+((AR36*$AR$1)*$AU$4)*(데이터입력!$AE$14-100%)+((AR36*$AR$1)*$AU$4*$AV$4)*(데이터입력!$AE$14-100%)+((AR36*$AR$1)*$AW$4)*(데이터입력!$AE$14-100%),-1)),0)),0)</f>
        <v>0</v>
      </c>
      <c r="AZ36" s="1124">
        <f>IFERROR(IF(AR36+AS36=0,0,IF(데이터입력!$AE$12=100%,(AT36),(AT36)+ROUND(AT36*(데이터입력!$AE$12-100%),-1))),0)</f>
        <v>0</v>
      </c>
      <c r="BA36" s="1263" t="str">
        <f t="shared" si="8"/>
        <v/>
      </c>
      <c r="BB36" s="1264" t="str">
        <f>IF(BA36="","",IF(데이터입력!$O$68="",ROUND(AZ36/12,0),ROUND(데이터입력!$O$68/데이터입력!$Y$8/$BC$11,0)))</f>
        <v/>
      </c>
      <c r="BC36" s="1275"/>
      <c r="BD36" s="1278" t="s">
        <v>757</v>
      </c>
      <c r="BE36" s="1350"/>
    </row>
    <row r="37" spans="1:59">
      <c r="A37" s="1048" t="str">
        <f>IF($AM$1=TRUE,IF(K37="","",SUBTOTAL(2,$K$3:K37)),IF(AND(M37="",N37=""),"",IF(N37="",COUNT($M$3:M37),COUNT($N$3:N37)+200)))</f>
        <v/>
      </c>
      <c r="B37" s="439" t="s">
        <v>28</v>
      </c>
      <c r="C37" s="439" t="s">
        <v>28</v>
      </c>
      <c r="D37" s="438">
        <v>408010201</v>
      </c>
      <c r="E37" s="438" t="s">
        <v>85</v>
      </c>
      <c r="F37" s="438" t="s">
        <v>19</v>
      </c>
      <c r="G37" s="440">
        <f>IFERROR(IF($E37="05",VLOOKUP($B37,예산실적비교표!$AG$7:$AJ$200,2,FALSE),0),0)</f>
        <v>0</v>
      </c>
      <c r="H37" s="440">
        <f>IFERROR(IF($E37="06",VLOOKUP($C37,세입예산서!$K$3:$X$205,12,FALSE),0),0)</f>
        <v>0</v>
      </c>
      <c r="I37" s="440">
        <f>IFERROR(IF($E37="07",VLOOKUP($C37,세입예산서!$K$3:$X$205,13,FALSE),0),0)</f>
        <v>0</v>
      </c>
      <c r="J37" s="440">
        <f>IFERROR(IF($E37="05",VLOOKUP($C37,세입예산서!$K$3:$X$205,14,FALSE),0),0)</f>
        <v>0</v>
      </c>
      <c r="K37" s="440" t="str">
        <f t="shared" si="0"/>
        <v/>
      </c>
      <c r="L37" s="441">
        <f>IFERROR(IF($AB$2="",0,ROUNDUP(VLOOKUP($B37,예산실적비교표!$AG$7:$AJ$200,3,FALSE)*$Y$6/$Y$9,-3)*$Y$8),0)</f>
        <v>0</v>
      </c>
      <c r="M37" s="708" t="str">
        <f>IF($AM$1=TRUE,IF(K37="","",IF(IF($AE$2="",IF(K37="","",SUBTOTAL(2,$K$3:K37)),IF(AND(G37&gt;=0,K37=""),"",IF(AND(G37&gt;0,OR(K37&gt;0,K37&lt;0)),SUBTOTAL(2,$K$3:K37),IF(AND(G37=0,OR(K37&gt;0,K37&lt;0)),SUBTOTAL(2,$K$3:K37)+200,""))))&gt;200,"",1)),IF(K37="","",IF(IF($AE$2="",IF(K37="","",SUBTOTAL(2,$K$3:K37)),IF(AND(G37&gt;=0,K37=""),"",IF(AND(G37&gt;0,OR(K37&gt;0,K37&lt;0)),SUBTOTAL(2,$K$3:K37),IF(AND(G37=0,OR(K37&gt;0,K37&lt;0)),SUBTOTAL(2,$K$3:K37)+200,""))))&gt;200,"",1)))</f>
        <v/>
      </c>
      <c r="N37" s="214" t="str">
        <f>IF($AM$1=TRUE,IF(K37="","",IF(IF($AE$2="",IF(K37="","",SUBTOTAL(2,$K$3:K37)),IF(AND(G37&gt;=0,K37=""),"",IF(AND(G37&gt;0,OR(K37&gt;0,K37&lt;0)),SUBTOTAL(2,$K$3:K37),IF(AND(G37=0,OR(K37&gt;0,K37&lt;0)),SUBTOTAL(2,$K$3:K37)+200,""))))&lt;=200,"",2)),IF(K37="","",IF(IF($AE$2="",IF(K37="","",SUBTOTAL(2,$K$3:K37)),IF(AND(G37&gt;=0,K37=""),"",IF(AND(G37&gt;0,OR(K37&gt;0,K37&lt;0)),SUBTOTAL(2,$K$3:K37),IF(AND(G37=0,OR(K37&gt;0,K37&lt;0)),SUBTOTAL(2,$K$3:K37)+200,""))))&lt;=200,"",2)))</f>
        <v/>
      </c>
      <c r="O37" s="538"/>
      <c r="P37" s="435">
        <f>IFERROR(IF($AE$2="추경",IF(VLOOKUP(R37,$B$1:$L$28,11,FALSE)&gt;=VLOOKUP(R37,$B$1:$L$28,6,FALSE),ROUNDUP(VLOOKUP(R37,$B$1:$L$28,11,FALSE)/U37,-3)*U37,VLOOKUP(R37,$B$1:$L$28,6,FALSE)),IF(VLOOKUP(R37,$B$1:$L$28,11,FALSE)&gt;0,VLOOKUP(R37,$B$1:$L$28,11,FALSE),VLOOKUP(R37,예산평균!$B:$D,3,FALSE))),0)</f>
        <v>0</v>
      </c>
      <c r="Q37" s="566">
        <v>0</v>
      </c>
      <c r="R37" s="428" t="s">
        <v>15</v>
      </c>
      <c r="S37" s="364" t="s">
        <v>6</v>
      </c>
      <c r="T37" s="429">
        <f t="shared" si="12"/>
        <v>0</v>
      </c>
      <c r="U37" s="436">
        <f t="shared" si="13"/>
        <v>12</v>
      </c>
      <c r="V37" s="443" t="s">
        <v>142</v>
      </c>
      <c r="X37" s="656" t="str">
        <f>IF(예산실적비교표!A27="X","",예산실적비교표!A27)</f>
        <v/>
      </c>
      <c r="Y37" s="880">
        <f>IF($AB$2="",0,예산실적비교표!B27)</f>
        <v>0</v>
      </c>
      <c r="Z37" s="656" t="str">
        <f>IF(예산실적비교표!C27="X","",예산실적비교표!C27)</f>
        <v/>
      </c>
      <c r="AA37" s="880">
        <f>IF($AB$2="",0,예산실적비교표!D27)</f>
        <v>0</v>
      </c>
      <c r="AB37" s="656" t="str">
        <f>IF(예산실적비교표!E27="X","",예산실적비교표!E27)</f>
        <v/>
      </c>
      <c r="AC37" s="880">
        <f>IF($AB$2="",0,예산실적비교표!F27)</f>
        <v>0</v>
      </c>
      <c r="AD37" s="656" t="str">
        <f>IF(예산실적비교표!G27="X","",예산실적비교표!G27)</f>
        <v>경조사비(직원)</v>
      </c>
      <c r="AE37" s="880">
        <f>IF($AB$2="",0,예산실적비교표!H27)</f>
        <v>100000</v>
      </c>
      <c r="AF37" s="637">
        <f>IF($Y$8&lt;&gt;예산실적비교표!$B$3,$Y$8,예산실적비교표!I27)</f>
        <v>3</v>
      </c>
      <c r="AH37" s="334" t="str">
        <f>세출예산서!L74</f>
        <v xml:space="preserve">  - 직원복지관련비용</v>
      </c>
      <c r="AI37" s="1390">
        <f>세출예산서!V74</f>
        <v>1200000</v>
      </c>
      <c r="AJ37" s="1391"/>
      <c r="AP37" s="1128" t="str">
        <f>IF(예산실적비교표!AL37&lt;&gt;"",예산실적비교표!AL37,"")</f>
        <v/>
      </c>
      <c r="AQ37" s="1129" t="str">
        <f>IF(예산실적비교표!AM37&lt;&gt;"",예산실적비교표!AM37,"")</f>
        <v/>
      </c>
      <c r="AR37" s="1130">
        <f>IF(예산실적비교표!AN37&lt;&gt;"",예산실적비교표!AN37,0)</f>
        <v>0</v>
      </c>
      <c r="AS37" s="1131">
        <f>IF(예산실적비교표!AO37&lt;&gt;"",예산실적비교표!AO37,0)</f>
        <v>0</v>
      </c>
      <c r="AT37" s="1118">
        <f t="shared" si="5"/>
        <v>0</v>
      </c>
      <c r="AU37" s="1132">
        <f>IF(예산실적비교표!AQ37&lt;&gt;"",예산실적비교표!AQ37,0)</f>
        <v>0</v>
      </c>
      <c r="AV37" s="1120">
        <f t="shared" si="6"/>
        <v>0</v>
      </c>
      <c r="AW37" s="1121">
        <f>IF(AR37="","",ROUND((AT37*$AT$7)*데이터입력!$AE$14+(AT37*$AU$7)*데이터입력!$AE$14+(AT37*$AU$7*$AV$7)*데이터입력!$AE$14+(AT37*$AW$7)*데이터입력!$AE$14+(AT37*$AX$7)*데이터입력!$AE$14,-1))</f>
        <v>0</v>
      </c>
      <c r="AX37" s="1122">
        <f t="shared" si="7"/>
        <v>0</v>
      </c>
      <c r="AY37" s="1123">
        <f>IFERROR(IF(AR37+AS37=0,0,ROUND(IF(데이터입력!$AE$14=100%,ROUND(AR37*$AR$1,-3),ROUND(AR37*$AR$1,-3)-ROUND(((AR37*$AR$1)*$AT$4)*(데이터입력!$AE$14-100%)+((AR37*$AR$1)*$AU$4)*(데이터입력!$AE$14-100%)+((AR37*$AR$1)*$AU$4*$AV$4)*(데이터입력!$AE$14-100%)+((AR37*$AR$1)*$AW$4)*(데이터입력!$AE$14-100%),-1)),0)),0)</f>
        <v>0</v>
      </c>
      <c r="AZ37" s="1124">
        <f>IFERROR(IF(AR37+AS37=0,0,IF(데이터입력!$AE$12=100%,(AT37),(AT37)+ROUND(AT37*(데이터입력!$AE$12-100%),-1))),0)</f>
        <v>0</v>
      </c>
      <c r="BA37" s="1263" t="str">
        <f t="shared" si="8"/>
        <v/>
      </c>
      <c r="BB37" s="1264" t="str">
        <f>IF(BA37="","",IF(데이터입력!$O$68="",ROUND(AZ37/12,0),ROUND(데이터입력!$O$68/데이터입력!$Y$8/$BC$11,0)))</f>
        <v/>
      </c>
      <c r="BC37" s="1276"/>
      <c r="BD37" s="1279" t="s">
        <v>763</v>
      </c>
      <c r="BE37" s="1351"/>
    </row>
    <row r="38" spans="1:59">
      <c r="A38" s="1048" t="str">
        <f>IF($AM$1=TRUE,IF(K38="","",SUBTOTAL(2,$K$3:K38)),IF(AND(M38="",N38=""),"",IF(N38="",COUNT($M$3:M38),COUNT($N$3:N38)+200)))</f>
        <v/>
      </c>
      <c r="B38" s="439" t="s">
        <v>30</v>
      </c>
      <c r="C38" s="439" t="s">
        <v>30</v>
      </c>
      <c r="D38" s="438">
        <v>408010401</v>
      </c>
      <c r="E38" s="438" t="s">
        <v>85</v>
      </c>
      <c r="F38" s="438" t="s">
        <v>19</v>
      </c>
      <c r="G38" s="440">
        <f>IFERROR(IF($E38="05",VLOOKUP($B38,예산실적비교표!$AG$7:$AJ$200,2,FALSE),0),0)</f>
        <v>0</v>
      </c>
      <c r="H38" s="440">
        <f>IFERROR(IF($E38="06",VLOOKUP($C38,세입예산서!$K$3:$X$205,12,FALSE),0),0)</f>
        <v>0</v>
      </c>
      <c r="I38" s="440">
        <f>IFERROR(IF($E38="07",VLOOKUP($C38,세입예산서!$K$3:$X$205,13,FALSE),0),0)</f>
        <v>0</v>
      </c>
      <c r="J38" s="440">
        <f>IFERROR(IF($E38="05",VLOOKUP($C38,세입예산서!$K$3:$X$205,14,FALSE),0),0)</f>
        <v>0</v>
      </c>
      <c r="K38" s="440" t="str">
        <f t="shared" si="0"/>
        <v/>
      </c>
      <c r="L38" s="441">
        <f>IFERROR(IF($AB$2="",0,ROUNDUP(VLOOKUP($B38,예산실적비교표!$AG$7:$AJ$200,3,FALSE)*$Y$6/$Y$9,-3)*$Y$8),0)</f>
        <v>0</v>
      </c>
      <c r="M38" s="708" t="str">
        <f>IF($AM$1=TRUE,IF(K38="","",IF(IF($AE$2="",IF(K38="","",SUBTOTAL(2,$K$3:K38)),IF(AND(G38&gt;=0,K38=""),"",IF(AND(G38&gt;0,OR(K38&gt;0,K38&lt;0)),SUBTOTAL(2,$K$3:K38),IF(AND(G38=0,OR(K38&gt;0,K38&lt;0)),SUBTOTAL(2,$K$3:K38)+200,""))))&gt;200,"",1)),IF(K38="","",IF(IF($AE$2="",IF(K38="","",SUBTOTAL(2,$K$3:K38)),IF(AND(G38&gt;=0,K38=""),"",IF(AND(G38&gt;0,OR(K38&gt;0,K38&lt;0)),SUBTOTAL(2,$K$3:K38),IF(AND(G38=0,OR(K38&gt;0,K38&lt;0)),SUBTOTAL(2,$K$3:K38)+200,""))))&gt;200,"",1)))</f>
        <v/>
      </c>
      <c r="N38" s="214" t="str">
        <f>IF($AM$1=TRUE,IF(K38="","",IF(IF($AE$2="",IF(K38="","",SUBTOTAL(2,$K$3:K38)),IF(AND(G38&gt;=0,K38=""),"",IF(AND(G38&gt;0,OR(K38&gt;0,K38&lt;0)),SUBTOTAL(2,$K$3:K38),IF(AND(G38=0,OR(K38&gt;0,K38&lt;0)),SUBTOTAL(2,$K$3:K38)+200,""))))&lt;=200,"",2)),IF(K38="","",IF(IF($AE$2="",IF(K38="","",SUBTOTAL(2,$K$3:K38)),IF(AND(G38&gt;=0,K38=""),"",IF(AND(G38&gt;0,OR(K38&gt;0,K38&lt;0)),SUBTOTAL(2,$K$3:K38),IF(AND(G38=0,OR(K38&gt;0,K38&lt;0)),SUBTOTAL(2,$K$3:K38)+200,""))))&lt;=200,"",2)))</f>
        <v/>
      </c>
      <c r="O38" s="538"/>
      <c r="P38" s="435">
        <f>IFERROR(IF($AE$2="추경",IF(VLOOKUP(R38,$B$1:$L$28,11,FALSE)&gt;=VLOOKUP(R38,$B$1:$L$28,6,FALSE),ROUNDUP(VLOOKUP(R38,$B$1:$L$28,11,FALSE)/U38,-3)*U38,VLOOKUP(R38,$B$1:$L$28,6,FALSE)),IF(VLOOKUP(R38,$B$1:$L$28,11,FALSE)&gt;0,VLOOKUP(R38,$B$1:$L$28,11,FALSE),VLOOKUP(R38,예산평균!$B:$D,3,FALSE))),0)</f>
        <v>0</v>
      </c>
      <c r="Q38" s="566">
        <v>0</v>
      </c>
      <c r="R38" s="428" t="s">
        <v>16</v>
      </c>
      <c r="S38" s="364" t="s">
        <v>6</v>
      </c>
      <c r="T38" s="429">
        <f t="shared" si="12"/>
        <v>0</v>
      </c>
      <c r="U38" s="436">
        <f t="shared" si="13"/>
        <v>12</v>
      </c>
      <c r="V38" s="443" t="s">
        <v>142</v>
      </c>
      <c r="X38" s="656" t="str">
        <f>IF(예산실적비교표!A28="X","",예산실적비교표!A28)</f>
        <v/>
      </c>
      <c r="Y38" s="880">
        <f>IF($AB$2="",0,예산실적비교표!B28)</f>
        <v>0</v>
      </c>
      <c r="Z38" s="656" t="str">
        <f>IF(예산실적비교표!C28="X","",예산실적비교표!C28)</f>
        <v/>
      </c>
      <c r="AA38" s="880">
        <f>IF($AB$2="",0,예산실적비교표!D28)</f>
        <v>0</v>
      </c>
      <c r="AB38" s="656" t="str">
        <f>IF(예산실적비교표!E28="X","",예산실적비교표!E28)</f>
        <v/>
      </c>
      <c r="AC38" s="880">
        <f>IF($AB$2="",0,예산실적비교표!F28)</f>
        <v>0</v>
      </c>
      <c r="AD38" s="656" t="str">
        <f>IF(예산실적비교표!G28="X","",예산실적비교표!G28)</f>
        <v/>
      </c>
      <c r="AE38" s="880">
        <f>IF($AB$2="",0,예산실적비교표!H28)</f>
        <v>0</v>
      </c>
      <c r="AF38" s="637">
        <f>IF($Y$8&lt;&gt;예산실적비교표!$B$3,$Y$8,예산실적비교표!I28)</f>
        <v>12</v>
      </c>
      <c r="AH38" s="334" t="str">
        <f>세출예산서!L75</f>
        <v xml:space="preserve">  - 경조사비(직원)</v>
      </c>
      <c r="AI38" s="1390">
        <f>세출예산서!V75</f>
        <v>300000</v>
      </c>
      <c r="AJ38" s="1391"/>
      <c r="AP38" s="1128" t="str">
        <f>IF(예산실적비교표!AL38&lt;&gt;"",예산실적비교표!AL38,"")</f>
        <v/>
      </c>
      <c r="AQ38" s="1129" t="str">
        <f>IF(예산실적비교표!AM38&lt;&gt;"",예산실적비교표!AM38,"")</f>
        <v/>
      </c>
      <c r="AR38" s="1130">
        <f>IF(예산실적비교표!AN38&lt;&gt;"",예산실적비교표!AN38,0)</f>
        <v>0</v>
      </c>
      <c r="AS38" s="1131">
        <f>IF(예산실적비교표!AO38&lt;&gt;"",예산실적비교표!AO38,0)</f>
        <v>0</v>
      </c>
      <c r="AT38" s="1118">
        <f t="shared" si="5"/>
        <v>0</v>
      </c>
      <c r="AU38" s="1132">
        <f>IF(예산실적비교표!AQ38&lt;&gt;"",예산실적비교표!AQ38,0)</f>
        <v>0</v>
      </c>
      <c r="AV38" s="1120">
        <f t="shared" si="6"/>
        <v>0</v>
      </c>
      <c r="AW38" s="1121">
        <f>IF(AR38="","",ROUND((AT38*$AT$7)*데이터입력!$AE$14+(AT38*$AU$7)*데이터입력!$AE$14+(AT38*$AU$7*$AV$7)*데이터입력!$AE$14+(AT38*$AW$7)*데이터입력!$AE$14+(AT38*$AX$7)*데이터입력!$AE$14,-1))</f>
        <v>0</v>
      </c>
      <c r="AX38" s="1122">
        <f t="shared" si="7"/>
        <v>0</v>
      </c>
      <c r="AY38" s="1123">
        <f>IFERROR(IF(AR38+AS38=0,0,ROUND(IF(데이터입력!$AE$14=100%,ROUND(AR38*$AR$1,-3),ROUND(AR38*$AR$1,-3)-ROUND(((AR38*$AR$1)*$AT$4)*(데이터입력!$AE$14-100%)+((AR38*$AR$1)*$AU$4)*(데이터입력!$AE$14-100%)+((AR38*$AR$1)*$AU$4*$AV$4)*(데이터입력!$AE$14-100%)+((AR38*$AR$1)*$AW$4)*(데이터입력!$AE$14-100%),-1)),0)),0)</f>
        <v>0</v>
      </c>
      <c r="AZ38" s="1124">
        <f>IFERROR(IF(AR38+AS38=0,0,IF(데이터입력!$AE$12=100%,(AT38),(AT38)+ROUND(AT38*(데이터입력!$AE$12-100%),-1))),0)</f>
        <v>0</v>
      </c>
      <c r="BA38" s="1263" t="str">
        <f t="shared" si="8"/>
        <v/>
      </c>
      <c r="BB38" s="1264" t="str">
        <f>IF(BA38="","",IF(데이터입력!$O$68="",ROUND(AZ38/12,0),ROUND(데이터입력!$O$68/데이터입력!$Y$8/$BC$11,0)))</f>
        <v/>
      </c>
      <c r="BC38" s="1274" t="s">
        <v>224</v>
      </c>
      <c r="BD38" s="1277" t="s">
        <v>756</v>
      </c>
      <c r="BE38" s="1349">
        <f>AI21</f>
        <v>0.86599999999999999</v>
      </c>
    </row>
    <row r="39" spans="1:59" ht="27" customHeight="1">
      <c r="A39" s="1048" t="str">
        <f>IF($AM$1=TRUE,IF(K39="","",SUBTOTAL(2,$K$3:K39)),IF(AND(M39="",N39=""),"",IF(N39="",COUNT($M$3:M39),COUNT($N$3:N39)+200)))</f>
        <v/>
      </c>
      <c r="B39" s="439" t="s">
        <v>32</v>
      </c>
      <c r="C39" s="439" t="s">
        <v>32</v>
      </c>
      <c r="D39" s="438">
        <v>409010201</v>
      </c>
      <c r="E39" s="438" t="s">
        <v>85</v>
      </c>
      <c r="F39" s="438" t="s">
        <v>19</v>
      </c>
      <c r="G39" s="440">
        <f>IFERROR(IF($E39="05",VLOOKUP($B39,예산실적비교표!$AG$7:$AJ$200,2,FALSE),0),0)</f>
        <v>0</v>
      </c>
      <c r="H39" s="440">
        <f>IFERROR(IF($E39="06",VLOOKUP($C39,세입예산서!$K$3:$X$205,12,FALSE),0),0)</f>
        <v>0</v>
      </c>
      <c r="I39" s="440">
        <f>IFERROR(IF($E39="07",VLOOKUP($C39,세입예산서!$K$3:$X$205,13,FALSE),0),0)</f>
        <v>0</v>
      </c>
      <c r="J39" s="440">
        <f>IFERROR(IF($E39="05",VLOOKUP($C39,세입예산서!$K$3:$X$205,14,FALSE),0),0)</f>
        <v>0</v>
      </c>
      <c r="K39" s="440" t="str">
        <f t="shared" si="0"/>
        <v/>
      </c>
      <c r="L39" s="441">
        <f>IFERROR(IF($AB$2="",0,ROUNDUP(VLOOKUP($B39,예산실적비교표!$AG$7:$AJ$200,3,FALSE),0)),0)</f>
        <v>0</v>
      </c>
      <c r="M39" s="708" t="str">
        <f>IF($AM$1=TRUE,IF(K39="","",IF(IF($AE$2="",IF(K39="","",SUBTOTAL(2,$K$3:K39)),IF(AND(G39&gt;=0,K39=""),"",IF(AND(G39&gt;0,OR(K39&gt;0,K39&lt;0)),SUBTOTAL(2,$K$3:K39),IF(AND(G39=0,OR(K39&gt;0,K39&lt;0)),SUBTOTAL(2,$K$3:K39)+200,""))))&gt;200,"",1)),IF(K39="","",IF(IF($AE$2="",IF(K39="","",SUBTOTAL(2,$K$3:K39)),IF(AND(G39&gt;=0,K39=""),"",IF(AND(G39&gt;0,OR(K39&gt;0,K39&lt;0)),SUBTOTAL(2,$K$3:K39),IF(AND(G39=0,OR(K39&gt;0,K39&lt;0)),SUBTOTAL(2,$K$3:K39)+200,""))))&gt;200,"",1)))</f>
        <v/>
      </c>
      <c r="N39" s="214" t="str">
        <f>IF($AM$1=TRUE,IF(K39="","",IF(IF($AE$2="",IF(K39="","",SUBTOTAL(2,$K$3:K39)),IF(AND(G39&gt;=0,K39=""),"",IF(AND(G39&gt;0,OR(K39&gt;0,K39&lt;0)),SUBTOTAL(2,$K$3:K39),IF(AND(G39=0,OR(K39&gt;0,K39&lt;0)),SUBTOTAL(2,$K$3:K39)+200,""))))&lt;=200,"",2)),IF(K39="","",IF(IF($AE$2="",IF(K39="","",SUBTOTAL(2,$K$3:K39)),IF(AND(G39&gt;=0,K39=""),"",IF(AND(G39&gt;0,OR(K39&gt;0,K39&lt;0)),SUBTOTAL(2,$K$3:K39),IF(AND(G39=0,OR(K39&gt;0,K39&lt;0)),SUBTOTAL(2,$K$3:K39)+200,""))))&lt;=200,"",2)))</f>
        <v/>
      </c>
      <c r="O39" s="538"/>
      <c r="P39" s="435">
        <f>IFERROR(IF($AE$2="추경",IF(VLOOKUP(R39,$B$1:$L$28,11,FALSE)&gt;=VLOOKUP(R39,$B$1:$L$28,6,FALSE),ROUNDUP(VLOOKUP(R39,$B$1:$L$28,11,FALSE)/U39,-3)*U39,VLOOKUP(R39,$B$1:$L$28,6,FALSE)),IF(VLOOKUP(R39,$B$1:$L$28,11,FALSE)&gt;0,VLOOKUP(R39,$B$1:$L$28,11,FALSE),VLOOKUP(R39,예산평균!$B:$D,3,FALSE))),0)</f>
        <v>0</v>
      </c>
      <c r="Q39" s="566">
        <v>0</v>
      </c>
      <c r="R39" s="428" t="s">
        <v>17</v>
      </c>
      <c r="S39" s="364" t="s">
        <v>6</v>
      </c>
      <c r="T39" s="429">
        <f t="shared" si="12"/>
        <v>0</v>
      </c>
      <c r="U39" s="436">
        <f t="shared" si="13"/>
        <v>12</v>
      </c>
      <c r="V39" s="443" t="s">
        <v>142</v>
      </c>
      <c r="X39" s="656" t="str">
        <f>IF(예산실적비교표!A29="X","",예산실적비교표!A29)</f>
        <v/>
      </c>
      <c r="Y39" s="880">
        <f>IF($AB$2="",0,예산실적비교표!B29)</f>
        <v>0</v>
      </c>
      <c r="Z39" s="656" t="str">
        <f>IF(예산실적비교표!C29="X","",예산실적비교표!C29)</f>
        <v/>
      </c>
      <c r="AA39" s="880">
        <f>IF($AB$2="",0,예산실적비교표!D29)</f>
        <v>0</v>
      </c>
      <c r="AB39" s="656" t="str">
        <f>IF(예산실적비교표!E29="X","",예산실적비교표!E29)</f>
        <v/>
      </c>
      <c r="AC39" s="880">
        <f>IF($AB$2="",0,예산실적비교표!F29)</f>
        <v>0</v>
      </c>
      <c r="AD39" s="656" t="str">
        <f>IF(예산실적비교표!G29="X","",예산실적비교표!G29)</f>
        <v/>
      </c>
      <c r="AE39" s="880">
        <f>IF($AB$2="",0,예산실적비교표!H29)</f>
        <v>0</v>
      </c>
      <c r="AF39" s="637">
        <f>IF($Y$8&lt;&gt;예산실적비교표!$B$3,$Y$8,예산실적비교표!I29)</f>
        <v>12</v>
      </c>
      <c r="AH39" s="334" t="str">
        <f>세출예산서!L76</f>
        <v xml:space="preserve">  - </v>
      </c>
      <c r="AI39" s="1390">
        <f>세출예산서!V76</f>
        <v>0</v>
      </c>
      <c r="AJ39" s="1391"/>
      <c r="AP39" s="1128" t="str">
        <f>IF(예산실적비교표!AL39&lt;&gt;"",예산실적비교표!AL39,"")</f>
        <v/>
      </c>
      <c r="AQ39" s="1129" t="str">
        <f>IF(예산실적비교표!AM39&lt;&gt;"",예산실적비교표!AM39,"")</f>
        <v/>
      </c>
      <c r="AR39" s="1130">
        <f>IF(예산실적비교표!AN39&lt;&gt;"",예산실적비교표!AN39,0)</f>
        <v>0</v>
      </c>
      <c r="AS39" s="1131">
        <f>IF(예산실적비교표!AO39&lt;&gt;"",예산실적비교표!AO39,0)</f>
        <v>0</v>
      </c>
      <c r="AT39" s="1118">
        <f t="shared" si="5"/>
        <v>0</v>
      </c>
      <c r="AU39" s="1132">
        <f>IF(예산실적비교표!AQ39&lt;&gt;"",예산실적비교표!AQ39,0)</f>
        <v>0</v>
      </c>
      <c r="AV39" s="1120">
        <f t="shared" si="6"/>
        <v>0</v>
      </c>
      <c r="AW39" s="1121">
        <f>IF(AR39="","",ROUND((AT39*$AT$7)*데이터입력!$AE$14+(AT39*$AU$7)*데이터입력!$AE$14+(AT39*$AU$7*$AV$7)*데이터입력!$AE$14+(AT39*$AW$7)*데이터입력!$AE$14+(AT39*$AX$7)*데이터입력!$AE$14,-1))</f>
        <v>0</v>
      </c>
      <c r="AX39" s="1122">
        <f t="shared" si="7"/>
        <v>0</v>
      </c>
      <c r="AY39" s="1123">
        <f>IFERROR(IF(AR39+AS39=0,0,ROUND(IF(데이터입력!$AE$14=100%,ROUND(AR39*$AR$1,-3),ROUND(AR39*$AR$1,-3)-ROUND(((AR39*$AR$1)*$AT$4)*(데이터입력!$AE$14-100%)+((AR39*$AR$1)*$AU$4)*(데이터입력!$AE$14-100%)+((AR39*$AR$1)*$AU$4*$AV$4)*(데이터입력!$AE$14-100%)+((AR39*$AR$1)*$AW$4)*(데이터입력!$AE$14-100%),-1)),0)),0)</f>
        <v>0</v>
      </c>
      <c r="AZ39" s="1124">
        <f>IFERROR(IF(AR39+AS39=0,0,IF(데이터입력!$AE$12=100%,(AT39),(AT39)+ROUND(AT39*(데이터입력!$AE$12-100%),-1))),0)</f>
        <v>0</v>
      </c>
      <c r="BA39" s="1263" t="str">
        <f t="shared" si="8"/>
        <v/>
      </c>
      <c r="BB39" s="1264" t="str">
        <f>IF(BA39="","",IF(데이터입력!$O$68="",ROUND(AZ39/12,0),ROUND(데이터입력!$O$68/데이터입력!$Y$8/$BC$11,0)))</f>
        <v/>
      </c>
      <c r="BC39" s="1276"/>
      <c r="BD39" s="1279" t="s">
        <v>757</v>
      </c>
      <c r="BE39" s="1351"/>
    </row>
    <row r="40" spans="1:59" ht="27.75" customHeight="1" thickBot="1">
      <c r="A40" s="1048" t="str">
        <f>IF($AM$1=TRUE,IF(K40="","",SUBTOTAL(2,$K$3:K40)),IF(AND(M40="",N40=""),"",IF(N40="",COUNT($M$3:M40),COUNT($N$3:N40)+200)))</f>
        <v/>
      </c>
      <c r="B40" s="439" t="s">
        <v>512</v>
      </c>
      <c r="C40" s="439" t="s">
        <v>547</v>
      </c>
      <c r="D40" s="438">
        <v>410010201</v>
      </c>
      <c r="E40" s="438" t="s">
        <v>85</v>
      </c>
      <c r="F40" s="438" t="s">
        <v>82</v>
      </c>
      <c r="G40" s="440">
        <f>IFERROR(IF($E40="05",VLOOKUP($B40,예산실적비교표!$AG$7:$AJ$200,2,FALSE),0),0)+IFERROR(IF($E40="05",VLOOKUP($B28,예산실적비교표!$AG$7:$AJ$200,2,FALSE),0),0)</f>
        <v>0</v>
      </c>
      <c r="H40" s="440">
        <f>IFERROR(IF($E40="06",VLOOKUP($C40,세입예산서!$K$3:$X$205,12,FALSE),0),0)</f>
        <v>0</v>
      </c>
      <c r="I40" s="440">
        <f>IFERROR(IF($E40="07",VLOOKUP($C40,세입예산서!$K$3:$X$205,13,FALSE),0),0)</f>
        <v>0</v>
      </c>
      <c r="J40" s="440">
        <f>IFERROR(IF($E40="05",VLOOKUP($C40,세입예산서!$K$3:$X$205,14,FALSE),0),0)</f>
        <v>0</v>
      </c>
      <c r="K40" s="440" t="str">
        <f t="shared" si="0"/>
        <v/>
      </c>
      <c r="L40" s="441">
        <f>IFERROR(IF($AB$2="",0,IF(ROUNDUP(VLOOKUP($B40,예산실적비교표!$AG$7:$AJ$200,3,FALSE)/$U$65,-3)&lt;10000,10000,ROUNDUP(VLOOKUP($B40,예산실적비교표!$AG$7:$AJ$200,3,FALSE)*$Y$6/$Y$9,-3)*$Y$8)),0)</f>
        <v>0</v>
      </c>
      <c r="M40" s="708" t="str">
        <f>IF($AM$1=TRUE,IF(K40="","",IF(IF($AE$2="",IF(K40="","",SUBTOTAL(2,$K$3:K40)),IF(AND(G40&gt;=0,K40=""),"",IF(AND(G40&gt;0,OR(K40&gt;0,K40&lt;0)),SUBTOTAL(2,$K$3:K40),IF(AND(G40=0,OR(K40&gt;0,K40&lt;0)),SUBTOTAL(2,$K$3:K40)+200,""))))&gt;200,"",1)),IF(K40="","",IF(IF($AE$2="",IF(K40="","",SUBTOTAL(2,$K$3:K40)),IF(AND(G40&gt;=0,K40=""),"",IF(AND(G40&gt;0,OR(K40&gt;0,K40&lt;0)),SUBTOTAL(2,$K$3:K40),IF(AND(G40=0,OR(K40&gt;0,K40&lt;0)),SUBTOTAL(2,$K$3:K40)+200,""))))&gt;200,"",1)))</f>
        <v/>
      </c>
      <c r="N40" s="214" t="str">
        <f>IF($AM$1=TRUE,IF(K40="","",IF(IF($AE$2="",IF(K40="","",SUBTOTAL(2,$K$3:K40)),IF(AND(G40&gt;=0,K40=""),"",IF(AND(G40&gt;0,OR(K40&gt;0,K40&lt;0)),SUBTOTAL(2,$K$3:K40),IF(AND(G40=0,OR(K40&gt;0,K40&lt;0)),SUBTOTAL(2,$K$3:K40)+200,""))))&lt;=200,"",2)),IF(K40="","",IF(IF($AE$2="",IF(K40="","",SUBTOTAL(2,$K$3:K40)),IF(AND(G40&gt;=0,K40=""),"",IF(AND(G40&gt;0,OR(K40&gt;0,K40&lt;0)),SUBTOTAL(2,$K$3:K40),IF(AND(G40=0,OR(K40&gt;0,K40&lt;0)),SUBTOTAL(2,$K$3:K40)+200,""))))&lt;=200,"",2)))</f>
        <v/>
      </c>
      <c r="O40" s="538"/>
      <c r="P40" s="435">
        <f>IFERROR(IF($AE$2="추경",ROUNDUP(VLOOKUP(R40,$B$1:$L$28,6,FALSE)/U40,-3),IF(VLOOKUP(R40,$B$1:$L$28,11,FALSE)&gt;0,ROUNDUP(VLOOKUP(R40,$B$1:$L$28,11,FALSE)/$Y$8,-3),ROUND((H13*12%)/$Y$8,-4))),0)</f>
        <v>0</v>
      </c>
      <c r="Q40" s="566">
        <v>0</v>
      </c>
      <c r="R40" s="428" t="s">
        <v>22</v>
      </c>
      <c r="S40" s="364" t="s">
        <v>6</v>
      </c>
      <c r="T40" s="429">
        <f t="shared" si="12"/>
        <v>0</v>
      </c>
      <c r="U40" s="436">
        <f t="shared" si="13"/>
        <v>12</v>
      </c>
      <c r="V40" s="444" t="s">
        <v>140</v>
      </c>
      <c r="X40" s="656" t="str">
        <f>IF(예산실적비교표!A30="X","",예산실적비교표!A30)</f>
        <v/>
      </c>
      <c r="Y40" s="880">
        <f>IF($AB$2="",0,예산실적비교표!B30)</f>
        <v>0</v>
      </c>
      <c r="Z40" s="656" t="str">
        <f>IF(예산실적비교표!C30="X","",예산실적비교표!C30)</f>
        <v/>
      </c>
      <c r="AA40" s="880">
        <f>IF($AB$2="",0,예산실적비교표!D30)</f>
        <v>0</v>
      </c>
      <c r="AB40" s="656" t="str">
        <f>IF(예산실적비교표!E30="X","",예산실적비교표!E30)</f>
        <v/>
      </c>
      <c r="AC40" s="880">
        <f>IF($AB$2="",0,예산실적비교표!F30)</f>
        <v>0</v>
      </c>
      <c r="AD40" s="656" t="str">
        <f>IF(예산실적비교표!G30="X","",예산실적비교표!G30)</f>
        <v/>
      </c>
      <c r="AE40" s="880">
        <f>IF($AB$2="",0,예산실적비교표!H30)</f>
        <v>0</v>
      </c>
      <c r="AF40" s="637">
        <f>IF($Y$8&lt;&gt;예산실적비교표!$B$3,$Y$8,예산실적비교표!I30)</f>
        <v>12</v>
      </c>
      <c r="AH40" s="334" t="str">
        <f>세출예산서!L77</f>
        <v xml:space="preserve">  - </v>
      </c>
      <c r="AI40" s="1390">
        <f>세출예산서!V77</f>
        <v>0</v>
      </c>
      <c r="AJ40" s="1391"/>
      <c r="AP40" s="1128" t="str">
        <f>IF(예산실적비교표!AL40&lt;&gt;"",예산실적비교표!AL40,"")</f>
        <v/>
      </c>
      <c r="AQ40" s="1129" t="str">
        <f>IF(예산실적비교표!AM40&lt;&gt;"",예산실적비교표!AM40,"")</f>
        <v/>
      </c>
      <c r="AR40" s="1130">
        <f>IF(예산실적비교표!AN40&lt;&gt;"",예산실적비교표!AN40,0)</f>
        <v>0</v>
      </c>
      <c r="AS40" s="1131">
        <f>IF(예산실적비교표!AO40&lt;&gt;"",예산실적비교표!AO40,0)</f>
        <v>0</v>
      </c>
      <c r="AT40" s="1118">
        <f t="shared" si="5"/>
        <v>0</v>
      </c>
      <c r="AU40" s="1132">
        <f>IF(예산실적비교표!AQ40&lt;&gt;"",예산실적비교표!AQ40,0)</f>
        <v>0</v>
      </c>
      <c r="AV40" s="1120">
        <f t="shared" si="6"/>
        <v>0</v>
      </c>
      <c r="AW40" s="1121">
        <f>IF(AR40="","",ROUND((AT40*$AT$7)*데이터입력!$AE$14+(AT40*$AU$7)*데이터입력!$AE$14+(AT40*$AU$7*$AV$7)*데이터입력!$AE$14+(AT40*$AW$7)*데이터입력!$AE$14+(AT40*$AX$7)*데이터입력!$AE$14,-1))</f>
        <v>0</v>
      </c>
      <c r="AX40" s="1122">
        <f t="shared" si="7"/>
        <v>0</v>
      </c>
      <c r="AY40" s="1123">
        <f>IFERROR(IF(AR40+AS40=0,0,ROUND(IF(데이터입력!$AE$14=100%,ROUND(AR40*$AR$1,-3),ROUND(AR40*$AR$1,-3)-ROUND(((AR40*$AR$1)*$AT$4)*(데이터입력!$AE$14-100%)+((AR40*$AR$1)*$AU$4)*(데이터입력!$AE$14-100%)+((AR40*$AR$1)*$AU$4*$AV$4)*(데이터입력!$AE$14-100%)+((AR40*$AR$1)*$AW$4)*(데이터입력!$AE$14-100%),-1)),0)),0)</f>
        <v>0</v>
      </c>
      <c r="AZ40" s="1124">
        <f>IFERROR(IF(AR40+AS40=0,0,IF(데이터입력!$AE$12=100%,(AT40),(AT40)+ROUND(AT40*(데이터입력!$AE$12-100%),-1))),0)</f>
        <v>0</v>
      </c>
      <c r="BA40" s="1263" t="str">
        <f t="shared" si="8"/>
        <v/>
      </c>
      <c r="BB40" s="1264" t="str">
        <f>IF(BA40="","",IF(데이터입력!$O$68="",ROUND(AZ40/12,0),ROUND(데이터입력!$O$68/데이터입력!$Y$8/$BC$11,0)))</f>
        <v/>
      </c>
      <c r="BC40" s="1280" t="s">
        <v>226</v>
      </c>
      <c r="BD40" s="1280" t="s">
        <v>763</v>
      </c>
      <c r="BE40" s="1352">
        <f>AI22</f>
        <v>0.501</v>
      </c>
    </row>
    <row r="41" spans="1:59" ht="17.25" thickBot="1">
      <c r="A41" s="1480" t="s">
        <v>86</v>
      </c>
      <c r="B41" s="1481"/>
      <c r="C41" s="1481"/>
      <c r="D41" s="1481"/>
      <c r="E41" s="1481"/>
      <c r="F41" s="1482"/>
      <c r="G41" s="445">
        <f>SUM(G3:G40)</f>
        <v>353968040</v>
      </c>
      <c r="H41" s="445">
        <f>SUM(H3:H40)</f>
        <v>369514076</v>
      </c>
      <c r="I41" s="445">
        <f>SUM(I3:I40)</f>
        <v>0</v>
      </c>
      <c r="J41" s="445">
        <f>SUM(J3:J40)</f>
        <v>0</v>
      </c>
      <c r="K41" s="445"/>
      <c r="L41" s="445">
        <f>SUM(L3:L40)</f>
        <v>288223480</v>
      </c>
      <c r="O41" s="538">
        <v>6000000</v>
      </c>
      <c r="P41" s="435">
        <f>IFERROR(IF($AE$2="추경",ROUNDUP(VLOOKUP(R41,$B$1:$L$28,6,FALSE)/U41,-3),IF(VLOOKUP(R41,$B$1:$L$28,11,FALSE)&gt;0,ROUNDUP(VLOOKUP(R41,$B$1:$L$28,11,FALSE)/$Y$8,-3),ROUND((H14*12%)/$Y$8,-4))),0)</f>
        <v>4500000</v>
      </c>
      <c r="Q41" s="566">
        <v>0</v>
      </c>
      <c r="R41" s="428" t="s">
        <v>139</v>
      </c>
      <c r="S41" s="364" t="s">
        <v>6</v>
      </c>
      <c r="T41" s="429">
        <f>IF(O41="",P41,O41)</f>
        <v>6000000</v>
      </c>
      <c r="U41" s="436">
        <f t="shared" si="13"/>
        <v>12</v>
      </c>
      <c r="V41" s="446" t="s">
        <v>140</v>
      </c>
      <c r="X41" s="656" t="str">
        <f>IF(예산실적비교표!A31="X","",예산실적비교표!A31)</f>
        <v/>
      </c>
      <c r="Y41" s="880">
        <f>IF($AB$2="",0,예산실적비교표!B31)</f>
        <v>0</v>
      </c>
      <c r="Z41" s="656" t="str">
        <f>IF(예산실적비교표!C31="X","",예산실적비교표!C31)</f>
        <v/>
      </c>
      <c r="AA41" s="880">
        <f>IF($AB$2="",0,예산실적비교표!D31)</f>
        <v>0</v>
      </c>
      <c r="AB41" s="656" t="str">
        <f>IF(예산실적비교표!E31="X","",예산실적비교표!E31)</f>
        <v/>
      </c>
      <c r="AC41" s="880">
        <f>IF($AB$2="",0,예산실적비교표!F31)</f>
        <v>0</v>
      </c>
      <c r="AD41" s="656" t="str">
        <f>IF(예산실적비교표!G31="X","",예산실적비교표!G31)</f>
        <v/>
      </c>
      <c r="AE41" s="881">
        <f>IF($AB$2="",0,예산실적비교표!H31)</f>
        <v>0</v>
      </c>
      <c r="AF41" s="637">
        <f>IF($Y$8&lt;&gt;예산실적비교표!$B$3,$Y$8,예산실적비교표!I31)</f>
        <v>12</v>
      </c>
      <c r="AH41" s="334" t="str">
        <f>세출예산서!L78</f>
        <v xml:space="preserve">  - </v>
      </c>
      <c r="AI41" s="1390">
        <f>세출예산서!V78</f>
        <v>0</v>
      </c>
      <c r="AJ41" s="1391"/>
      <c r="AP41" s="1128" t="str">
        <f>IF(예산실적비교표!AL41&lt;&gt;"",예산실적비교표!AL41,"")</f>
        <v/>
      </c>
      <c r="AQ41" s="1129" t="str">
        <f>IF(예산실적비교표!AM41&lt;&gt;"",예산실적비교표!AM41,"")</f>
        <v/>
      </c>
      <c r="AR41" s="1130">
        <f>IF(예산실적비교표!AN41&lt;&gt;"",예산실적비교표!AN41,0)</f>
        <v>0</v>
      </c>
      <c r="AS41" s="1131">
        <f>IF(예산실적비교표!AO41&lt;&gt;"",예산실적비교표!AO41,0)</f>
        <v>0</v>
      </c>
      <c r="AT41" s="1118">
        <f t="shared" si="5"/>
        <v>0</v>
      </c>
      <c r="AU41" s="1132">
        <f>IF(예산실적비교표!AQ41&lt;&gt;"",예산실적비교표!AQ41,0)</f>
        <v>0</v>
      </c>
      <c r="AV41" s="1120">
        <f t="shared" si="6"/>
        <v>0</v>
      </c>
      <c r="AW41" s="1121">
        <f>IF(AR41="","",ROUND((AT41*$AT$7)*데이터입력!$AE$14+(AT41*$AU$7)*데이터입력!$AE$14+(AT41*$AU$7*$AV$7)*데이터입력!$AE$14+(AT41*$AW$7)*데이터입력!$AE$14+(AT41*$AX$7)*데이터입력!$AE$14,-1))</f>
        <v>0</v>
      </c>
      <c r="AX41" s="1122">
        <f t="shared" si="7"/>
        <v>0</v>
      </c>
      <c r="AY41" s="1123">
        <f>IFERROR(IF(AR41+AS41=0,0,ROUND(IF(데이터입력!$AE$14=100%,ROUND(AR41*$AR$1,-3),ROUND(AR41*$AR$1,-3)-ROUND(((AR41*$AR$1)*$AT$4)*(데이터입력!$AE$14-100%)+((AR41*$AR$1)*$AU$4)*(데이터입력!$AE$14-100%)+((AR41*$AR$1)*$AU$4*$AV$4)*(데이터입력!$AE$14-100%)+((AR41*$AR$1)*$AW$4)*(데이터입력!$AE$14-100%),-1)),0)),0)</f>
        <v>0</v>
      </c>
      <c r="AZ41" s="1124">
        <f>IFERROR(IF(AR41+AS41=0,0,IF(데이터입력!$AE$12=100%,(AT41),(AT41)+ROUND(AT41*(데이터입력!$AE$12-100%),-1))),0)</f>
        <v>0</v>
      </c>
      <c r="BA41" s="1263" t="str">
        <f t="shared" si="8"/>
        <v/>
      </c>
      <c r="BB41" s="1264" t="str">
        <f>IF(BA41="","",IF(데이터입력!$O$68="",ROUND(AZ41/12,0),ROUND(데이터입력!$O$68/데이터입력!$Y$8/$BC$11,0)))</f>
        <v/>
      </c>
      <c r="BC41" s="1274" t="s">
        <v>228</v>
      </c>
      <c r="BD41" s="1277" t="s">
        <v>761</v>
      </c>
      <c r="BE41" s="1349">
        <f>AI23</f>
        <v>0.60899999999999999</v>
      </c>
    </row>
    <row r="42" spans="1:59" ht="17.25" thickBot="1">
      <c r="A42" s="1046">
        <f>IF($AM$1=TRUE,IF(K42="","",SUBTOTAL(2,$K$3:K42)),IF(AND(M42="",N42=""),"",IF(N42="",COUNT($M$3:M42),COUNT($N$3:N42)+200)))</f>
        <v>9</v>
      </c>
      <c r="B42" s="365" t="s">
        <v>40</v>
      </c>
      <c r="C42" s="365" t="s">
        <v>552</v>
      </c>
      <c r="D42" s="364">
        <v>501010101</v>
      </c>
      <c r="E42" s="364" t="s">
        <v>83</v>
      </c>
      <c r="F42" s="364" t="s">
        <v>80</v>
      </c>
      <c r="G42" s="366">
        <f>IFERROR(IF($E42="06",VLOOKUP($B42,예산실적비교표!$O$7:$R$200,2,FALSE),0),0)</f>
        <v>118363524</v>
      </c>
      <c r="H42" s="366">
        <f>IFERROR(IF($E42="06",VLOOKUP($C42,세출예산서!$K$3:$X$304,12,FALSE),0),0)</f>
        <v>126936000</v>
      </c>
      <c r="I42" s="366">
        <f>IFERROR(IF($E42="07",VLOOKUP($C42,세출예산서!$K$3:$X$304,13,FALSE),0),0)</f>
        <v>0</v>
      </c>
      <c r="J42" s="366">
        <f>IFERROR(IF($E42="05",VLOOKUP($C42,세출예산서!$K$3:$X$304,14,FALSE),0),0)</f>
        <v>0</v>
      </c>
      <c r="K42" s="366">
        <f>IF($AE$2="",IF(SUM(H42:J42)=0,"",SUM(H42:J42)-G42),IF(AND(G42=0,SUM(H42:J42)=0),"",SUM(H42:J42)-G42))</f>
        <v>8572476</v>
      </c>
      <c r="L42" s="367">
        <f>IFERROR(IF($AB$2="",0,ROUNDUP(VLOOKUP($B42,예산실적비교표!$O$7:$R$200,3,FALSE)/$Y$9,-3)*$Y$8),0)</f>
        <v>69360000</v>
      </c>
      <c r="M42" s="708">
        <f>IF($AM$1=TRUE,IF(K42="","",IF(IF($AE$2="",IF(K42="","",SUBTOTAL(2,$K$3:K42)),IF(AND(G42&gt;=0,K42=""),"",IF(AND(G42&gt;0,OR(K42&gt;0,K42&lt;0)),SUBTOTAL(2,$K$3:K42),IF(AND(G42=0,OR(K42&gt;0,K42&lt;0)),SUBTOTAL(2,$K$3:K42)+200,""))))&gt;200,"",1)),IF(K42="","",IF(IF($AE$2="",IF(K42="","",SUBTOTAL(2,$K$3:K42)),IF(AND(G42&gt;=0,K42=""),"",IF(AND(G42&gt;0,OR(K42&gt;0,K42&lt;0)),SUBTOTAL(2,$K$3:K42),IF(AND(G42=0,OR(K42&gt;0,K42&lt;0)),SUBTOTAL(2,$K$3:K42)+200,""))))&gt;200,"",1)))</f>
        <v>1</v>
      </c>
      <c r="N42" s="214" t="str">
        <f>IF($AM$1=TRUE,IF(K42="","",IF(IF($AE$2="",IF(K42="","",SUBTOTAL(2,$K$3:K42)),IF(AND(G42&gt;=0,K42=""),"",IF(AND(G42&gt;0,OR(K42&gt;0,K42&lt;0)),SUBTOTAL(2,$K$3:K42),IF(AND(G42=0,OR(K42&gt;0,K42&lt;0)),SUBTOTAL(2,$K$3:K42)+200,""))))&lt;=200,"",2)),IF(K42="","",IF(IF($AE$2="",IF(K42="","",SUBTOTAL(2,$K$3:K42)),IF(AND(G42&gt;=0,K42=""),"",IF(AND(G42&gt;0,OR(K42&gt;0,K42&lt;0)),SUBTOTAL(2,$K$3:K42),IF(AND(G42=0,OR(K42&gt;0,K42&lt;0)),SUBTOTAL(2,$K$3:K42)+200,""))))&lt;=200,"",2)))</f>
        <v/>
      </c>
      <c r="O42" s="538"/>
      <c r="P42" s="435">
        <f>IFERROR(IF($AE$2="추경",ROUNDUP(VLOOKUP(R42,$B$1:$L$28,6,FALSE)/U42,-3),IF(VLOOKUP(R42,$B$1:$L$28,11,FALSE)&gt;0,ROUNDUP(VLOOKUP(R42,$B$1:$L$28,11,FALSE)/$Y$8,-3),ROUND((H15*12%)/$Y$8,-4))),0)</f>
        <v>0</v>
      </c>
      <c r="Q42" s="566">
        <v>0</v>
      </c>
      <c r="R42" s="428" t="s">
        <v>24</v>
      </c>
      <c r="S42" s="364" t="s">
        <v>6</v>
      </c>
      <c r="T42" s="429">
        <f t="shared" ref="T42:T57" si="14">IF(O42="",P42,O42)</f>
        <v>0</v>
      </c>
      <c r="U42" s="436">
        <f t="shared" si="13"/>
        <v>12</v>
      </c>
      <c r="V42" s="447" t="s">
        <v>140</v>
      </c>
      <c r="X42" s="407" t="s">
        <v>217</v>
      </c>
      <c r="Y42" s="878">
        <f>ROUND((세출예산서!Z112)/$Y$8,-3)</f>
        <v>550000</v>
      </c>
      <c r="Z42" s="1531" t="s">
        <v>216</v>
      </c>
      <c r="AA42" s="1532"/>
      <c r="AB42" s="662">
        <v>0.55000000000000004</v>
      </c>
      <c r="AC42" s="643">
        <f>ROUND(세출예산서!Z122/$Y$8,-3)</f>
        <v>570000</v>
      </c>
      <c r="AD42" s="407" t="s">
        <v>184</v>
      </c>
      <c r="AE42" s="635">
        <f>ROUND(세출예산서!$Z$139/$Y$8,-3)</f>
        <v>600000</v>
      </c>
      <c r="AF42" s="437" t="s">
        <v>215</v>
      </c>
      <c r="AH42" s="357" t="str">
        <f>세출예산서!L79</f>
        <v xml:space="preserve">  - </v>
      </c>
      <c r="AI42" s="1398">
        <f>세출예산서!V79</f>
        <v>0</v>
      </c>
      <c r="AJ42" s="1399"/>
      <c r="AP42" s="1128" t="str">
        <f>IF(예산실적비교표!AL42&lt;&gt;"",예산실적비교표!AL42,"")</f>
        <v/>
      </c>
      <c r="AQ42" s="1129" t="str">
        <f>IF(예산실적비교표!AM42&lt;&gt;"",예산실적비교표!AM42,"")</f>
        <v/>
      </c>
      <c r="AR42" s="1130">
        <f>IF(예산실적비교표!AN42&lt;&gt;"",예산실적비교표!AN42,0)</f>
        <v>0</v>
      </c>
      <c r="AS42" s="1131">
        <f>IF(예산실적비교표!AO42&lt;&gt;"",예산실적비교표!AO42,0)</f>
        <v>0</v>
      </c>
      <c r="AT42" s="1118">
        <f t="shared" si="5"/>
        <v>0</v>
      </c>
      <c r="AU42" s="1132">
        <f>IF(예산실적비교표!AQ42&lt;&gt;"",예산실적비교표!AQ42,0)</f>
        <v>0</v>
      </c>
      <c r="AV42" s="1120">
        <f t="shared" si="6"/>
        <v>0</v>
      </c>
      <c r="AW42" s="1121">
        <f>IF(AR42="","",ROUND((AT42*$AT$7)*데이터입력!$AE$14+(AT42*$AU$7)*데이터입력!$AE$14+(AT42*$AU$7*$AV$7)*데이터입력!$AE$14+(AT42*$AW$7)*데이터입력!$AE$14+(AT42*$AX$7)*데이터입력!$AE$14,-1))</f>
        <v>0</v>
      </c>
      <c r="AX42" s="1122">
        <f t="shared" si="7"/>
        <v>0</v>
      </c>
      <c r="AY42" s="1123">
        <f>IFERROR(IF(AR42+AS42=0,0,ROUND(IF(데이터입력!$AE$14=100%,ROUND(AR42*$AR$1,-3),ROUND(AR42*$AR$1,-3)-ROUND(((AR42*$AR$1)*$AT$4)*(데이터입력!$AE$14-100%)+((AR42*$AR$1)*$AU$4)*(데이터입력!$AE$14-100%)+((AR42*$AR$1)*$AU$4*$AV$4)*(데이터입력!$AE$14-100%)+((AR42*$AR$1)*$AW$4)*(데이터입력!$AE$14-100%),-1)),0)),0)</f>
        <v>0</v>
      </c>
      <c r="AZ42" s="1124">
        <f>IFERROR(IF(AR42+AS42=0,0,IF(데이터입력!$AE$12=100%,(AT42),(AT42)+ROUND(AT42*(데이터입력!$AE$12-100%),-1))),0)</f>
        <v>0</v>
      </c>
      <c r="BA42" s="1263" t="str">
        <f t="shared" si="8"/>
        <v/>
      </c>
      <c r="BB42" s="1264" t="str">
        <f>IF(BA42="","",IF(데이터입력!$O$68="",ROUND(AZ42/12,0),ROUND(데이터입력!$O$68/데이터입력!$Y$8/$BC$11,0)))</f>
        <v/>
      </c>
      <c r="BC42" s="1353"/>
      <c r="BD42" s="1354" t="s">
        <v>758</v>
      </c>
      <c r="BE42" s="1355"/>
    </row>
    <row r="43" spans="1:59" ht="17.25" thickBot="1">
      <c r="A43" s="1046">
        <f>IF($AM$1=TRUE,IF(K43="","",SUBTOTAL(2,$K$3:K43)),IF(AND(M43="",N43=""),"",IF(N43="",COUNT($M$3:M43),COUNT($N$3:N43)+200)))</f>
        <v>10</v>
      </c>
      <c r="B43" s="365" t="s">
        <v>41</v>
      </c>
      <c r="C43" s="365" t="s">
        <v>553</v>
      </c>
      <c r="D43" s="364">
        <v>501010102</v>
      </c>
      <c r="E43" s="364" t="s">
        <v>83</v>
      </c>
      <c r="F43" s="364" t="s">
        <v>80</v>
      </c>
      <c r="G43" s="366">
        <f>IFERROR(IF($E43="06",VLOOKUP($B43,예산실적비교표!$O$7:$R$200,2,FALSE),0),0)</f>
        <v>56070000</v>
      </c>
      <c r="H43" s="366">
        <f>IFERROR(IF($E43="06",VLOOKUP($C43,세출예산서!$K$3:$X$304,12,FALSE),0),0)</f>
        <v>55434480</v>
      </c>
      <c r="I43" s="366">
        <f>IFERROR(IF($E43="07",VLOOKUP($C43,세출예산서!$K$3:$X$304,13,FALSE),0),0)</f>
        <v>0</v>
      </c>
      <c r="J43" s="366">
        <f>IFERROR(IF($E43="05",VLOOKUP($C43,세출예산서!$K$3:$X$304,14,FALSE),0),0)</f>
        <v>0</v>
      </c>
      <c r="K43" s="366">
        <f t="shared" ref="K43:K106" si="15">IF($AE$2="",IF(SUM(H43:J43)=0,"",SUM(H43:J43)-G43),IF(AND(G43=0,SUM(H43:J43)=0),"",SUM(H43:J43)-G43))</f>
        <v>-635520</v>
      </c>
      <c r="L43" s="367">
        <f>IFERROR(IF($AB$2="",0,ROUNDUP(VLOOKUP($B43,예산실적비교표!$O$7:$R$200,3,FALSE)/$Y$9,-3)*$Y$8),0)</f>
        <v>45648000</v>
      </c>
      <c r="M43" s="708">
        <f>IF($AM$1=TRUE,IF(K43="","",IF(IF($AE$2="",IF(K43="","",SUBTOTAL(2,$K$3:K43)),IF(AND(G43&gt;=0,K43=""),"",IF(AND(G43&gt;0,OR(K43&gt;0,K43&lt;0)),SUBTOTAL(2,$K$3:K43),IF(AND(G43=0,OR(K43&gt;0,K43&lt;0)),SUBTOTAL(2,$K$3:K43)+200,""))))&gt;200,"",1)),IF(K43="","",IF(IF($AE$2="",IF(K43="","",SUBTOTAL(2,$K$3:K43)),IF(AND(G43&gt;=0,K43=""),"",IF(AND(G43&gt;0,OR(K43&gt;0,K43&lt;0)),SUBTOTAL(2,$K$3:K43),IF(AND(G43=0,OR(K43&gt;0,K43&lt;0)),SUBTOTAL(2,$K$3:K43)+200,""))))&gt;200,"",1)))</f>
        <v>1</v>
      </c>
      <c r="N43" s="214" t="str">
        <f>IF($AM$1=TRUE,IF(K43="","",IF(IF($AE$2="",IF(K43="","",SUBTOTAL(2,$K$3:K43)),IF(AND(G43&gt;=0,K43=""),"",IF(AND(G43&gt;0,OR(K43&gt;0,K43&lt;0)),SUBTOTAL(2,$K$3:K43),IF(AND(G43=0,OR(K43&gt;0,K43&lt;0)),SUBTOTAL(2,$K$3:K43)+200,""))))&lt;=200,"",2)),IF(K43="","",IF(IF($AE$2="",IF(K43="","",SUBTOTAL(2,$K$3:K43)),IF(AND(G43&gt;=0,K43=""),"",IF(AND(G43&gt;0,OR(K43&gt;0,K43&lt;0)),SUBTOTAL(2,$K$3:K43),IF(AND(G43=0,OR(K43&gt;0,K43&lt;0)),SUBTOTAL(2,$K$3:K43)+200,""))))&lt;=200,"",2)))</f>
        <v/>
      </c>
      <c r="O43" s="538"/>
      <c r="P43" s="435">
        <f>IFERROR(IF($AE$2="추경",IF(VLOOKUP(R43,$B$1:$L$28,11,FALSE)&gt;=VLOOKUP(R43,$B$1:$L$28,6,FALSE),ROUNDUP(VLOOKUP(R43,$B$1:$L$28,11,FALSE)/U43,-4)*U43,VLOOKUP(R43,$B$1:$L$28,6,FALSE)),IF(VLOOKUP(R43,$B$1:$L$28,11,FALSE)&gt;0,VLOOKUP(R43,$B$1:$L$28,11,FALSE),VLOOKUP(R43,예산평균!$B:$D,3,FALSE))),0)</f>
        <v>0</v>
      </c>
      <c r="Q43" s="566">
        <v>0</v>
      </c>
      <c r="R43" s="428" t="s">
        <v>25</v>
      </c>
      <c r="S43" s="364" t="s">
        <v>6</v>
      </c>
      <c r="T43" s="429">
        <f t="shared" si="14"/>
        <v>0</v>
      </c>
      <c r="U43" s="436">
        <f t="shared" si="13"/>
        <v>12</v>
      </c>
      <c r="V43" s="431" t="s">
        <v>270</v>
      </c>
      <c r="X43" s="1056" t="str">
        <f>IF(예산실적비교표!A33="X","",예산실적비교표!A33)</f>
        <v>각종수수료</v>
      </c>
      <c r="Y43" s="879">
        <f>Y42-SUM(Y44:Y49)</f>
        <v>320000</v>
      </c>
      <c r="Z43" s="875" t="s">
        <v>179</v>
      </c>
      <c r="AA43" s="883">
        <f>ROUND(AC42*AB42,-3)</f>
        <v>314000</v>
      </c>
      <c r="AB43" s="876" t="s">
        <v>183</v>
      </c>
      <c r="AC43" s="883">
        <f>AC42-AA43</f>
        <v>256000</v>
      </c>
      <c r="AD43" s="1056" t="str">
        <f>IF(예산실적비교표!G33="X","",예산실적비교표!G33)</f>
        <v>주유비</v>
      </c>
      <c r="AE43" s="886">
        <f>AE42-SUM(AE44:AE49)</f>
        <v>430000</v>
      </c>
      <c r="AF43" s="637">
        <f>IF($Y$8&lt;&gt;예산실적비교표!$B$3,$Y$8,예산실적비교표!I33)</f>
        <v>12</v>
      </c>
      <c r="AH43" s="648" t="str">
        <f>X50</f>
        <v>기타운영비</v>
      </c>
      <c r="AI43" s="1422">
        <f>세출예산서!$Z$154</f>
        <v>5096000</v>
      </c>
      <c r="AJ43" s="1423"/>
      <c r="AP43" s="1128" t="str">
        <f>IF(예산실적비교표!AL43&lt;&gt;"",예산실적비교표!AL43,"")</f>
        <v/>
      </c>
      <c r="AQ43" s="1129" t="str">
        <f>IF(예산실적비교표!AM43&lt;&gt;"",예산실적비교표!AM43,"")</f>
        <v/>
      </c>
      <c r="AR43" s="1130">
        <f>IF(예산실적비교표!AN43&lt;&gt;"",예산실적비교표!AN43,0)</f>
        <v>0</v>
      </c>
      <c r="AS43" s="1131">
        <f>IF(예산실적비교표!AO43&lt;&gt;"",예산실적비교표!AO43,0)</f>
        <v>0</v>
      </c>
      <c r="AT43" s="1118">
        <f t="shared" si="5"/>
        <v>0</v>
      </c>
      <c r="AU43" s="1132">
        <f>IF(예산실적비교표!AQ43&lt;&gt;"",예산실적비교표!AQ43,0)</f>
        <v>0</v>
      </c>
      <c r="AV43" s="1120">
        <f t="shared" si="6"/>
        <v>0</v>
      </c>
      <c r="AW43" s="1121">
        <f>IF(AR43="","",ROUND((AT43*$AT$7)*데이터입력!$AE$14+(AT43*$AU$7)*데이터입력!$AE$14+(AT43*$AU$7*$AV$7)*데이터입력!$AE$14+(AT43*$AW$7)*데이터입력!$AE$14+(AT43*$AX$7)*데이터입력!$AE$14,-1))</f>
        <v>0</v>
      </c>
      <c r="AX43" s="1122">
        <f t="shared" si="7"/>
        <v>0</v>
      </c>
      <c r="AY43" s="1123">
        <f>IFERROR(IF(AR43+AS43=0,0,ROUND(IF(데이터입력!$AE$14=100%,ROUND(AR43*$AR$1,-3),ROUND(AR43*$AR$1,-3)-ROUND(((AR43*$AR$1)*$AT$4)*(데이터입력!$AE$14-100%)+((AR43*$AR$1)*$AU$4)*(데이터입력!$AE$14-100%)+((AR43*$AR$1)*$AU$4*$AV$4)*(데이터입력!$AE$14-100%)+((AR43*$AR$1)*$AW$4)*(데이터입력!$AE$14-100%),-1)),0)),0)</f>
        <v>0</v>
      </c>
      <c r="AZ43" s="1124">
        <f>IFERROR(IF(AR43+AS43=0,0,IF(데이터입력!$AE$12=100%,(AT43),(AT43)+ROUND(AT43*(데이터입력!$AE$12-100%),-1))),0)</f>
        <v>0</v>
      </c>
      <c r="BA43" s="1263" t="str">
        <f t="shared" si="8"/>
        <v/>
      </c>
      <c r="BB43" s="1264" t="str">
        <f>IF(BA43="","",IF(데이터입력!$O$68="",ROUND(AZ43/12,0),ROUND(데이터입력!$O$68/데이터입력!$Y$8/$BC$11,0)))</f>
        <v/>
      </c>
      <c r="BC43" s="1601" t="s">
        <v>787</v>
      </c>
      <c r="BD43" s="1602"/>
      <c r="BE43" s="1602"/>
      <c r="BF43" s="1602"/>
      <c r="BG43" s="1603"/>
    </row>
    <row r="44" spans="1:59" ht="17.25" thickBot="1">
      <c r="A44" s="1046" t="str">
        <f>IF($AM$1=TRUE,IF(K44="","",SUBTOTAL(2,$K$3:K44)),IF(AND(M44="",N44=""),"",IF(N44="",COUNT($M$3:M44),COUNT($N$3:N44)+200)))</f>
        <v/>
      </c>
      <c r="B44" s="365" t="s">
        <v>42</v>
      </c>
      <c r="C44" s="365" t="s">
        <v>554</v>
      </c>
      <c r="D44" s="364">
        <v>501010201</v>
      </c>
      <c r="E44" s="364" t="s">
        <v>83</v>
      </c>
      <c r="F44" s="364" t="s">
        <v>80</v>
      </c>
      <c r="G44" s="366">
        <f>IFERROR(IF($E44="06",VLOOKUP($B44,예산실적비교표!$O$7:$R$200,2,FALSE),0),0)</f>
        <v>0</v>
      </c>
      <c r="H44" s="366">
        <f>IFERROR(IF($E44="06",VLOOKUP($C44,세출예산서!$K$3:$X$304,12,FALSE),0),0)</f>
        <v>0</v>
      </c>
      <c r="I44" s="366">
        <f>IFERROR(IF($E44="07",VLOOKUP($C44,세출예산서!$K$3:$X$304,13,FALSE),0),0)</f>
        <v>0</v>
      </c>
      <c r="J44" s="366">
        <f>IFERROR(IF($E44="05",VLOOKUP($C44,세출예산서!$K$3:$X$304,14,FALSE),0),0)</f>
        <v>0</v>
      </c>
      <c r="K44" s="366" t="str">
        <f t="shared" si="15"/>
        <v/>
      </c>
      <c r="L44" s="367">
        <f>IFERROR(IF($AB$2="",0,ROUNDUP(VLOOKUP($B44,예산실적비교표!$O$7:$R$200,3,FALSE)/$Y$9,-3)*$Y$8),0)</f>
        <v>0</v>
      </c>
      <c r="M44" s="708" t="str">
        <f>IF($AM$1=TRUE,IF(K44="","",IF(IF($AE$2="",IF(K44="","",SUBTOTAL(2,$K$3:K44)),IF(AND(G44&gt;=0,K44=""),"",IF(AND(G44&gt;0,OR(K44&gt;0,K44&lt;0)),SUBTOTAL(2,$K$3:K44),IF(AND(G44=0,OR(K44&gt;0,K44&lt;0)),SUBTOTAL(2,$K$3:K44)+200,""))))&gt;200,"",1)),IF(K44="","",IF(IF($AE$2="",IF(K44="","",SUBTOTAL(2,$K$3:K44)),IF(AND(G44&gt;=0,K44=""),"",IF(AND(G44&gt;0,OR(K44&gt;0,K44&lt;0)),SUBTOTAL(2,$K$3:K44),IF(AND(G44=0,OR(K44&gt;0,K44&lt;0)),SUBTOTAL(2,$K$3:K44)+200,""))))&gt;200,"",1)))</f>
        <v/>
      </c>
      <c r="N44" s="214" t="str">
        <f>IF($AM$1=TRUE,IF(K44="","",IF(IF($AE$2="",IF(K44="","",SUBTOTAL(2,$K$3:K44)),IF(AND(G44&gt;=0,K44=""),"",IF(AND(G44&gt;0,OR(K44&gt;0,K44&lt;0)),SUBTOTAL(2,$K$3:K44),IF(AND(G44=0,OR(K44&gt;0,K44&lt;0)),SUBTOTAL(2,$K$3:K44)+200,""))))&lt;=200,"",2)),IF(K44="","",IF(IF($AE$2="",IF(K44="","",SUBTOTAL(2,$K$3:K44)),IF(AND(G44&gt;=0,K44=""),"",IF(AND(G44&gt;0,OR(K44&gt;0,K44&lt;0)),SUBTOTAL(2,$K$3:K44),IF(AND(G44=0,OR(K44&gt;0,K44&lt;0)),SUBTOTAL(2,$K$3:K44)+200,""))))&lt;=200,"",2)))</f>
        <v/>
      </c>
      <c r="O44" s="538"/>
      <c r="P44" s="435">
        <f>IFERROR(IF($AE$2="추경",IF(VLOOKUP(R44,$B$1:$L$28,11,FALSE)&gt;=VLOOKUP(R44,$B$1:$L$28,6,FALSE),ROUNDUP(VLOOKUP(R44,$B$1:$L$28,11,FALSE)/U44,-4)*U44,VLOOKUP(R44,$B$1:$L$28,6,FALSE)),IF(VLOOKUP(R44,$B$1:$L$28,11,FALSE)&gt;0,VLOOKUP(R44,$B$1:$L$28,11,FALSE),VLOOKUP(R44,예산평균!$B:$D,3,FALSE))),0)</f>
        <v>0</v>
      </c>
      <c r="Q44" s="566">
        <v>0</v>
      </c>
      <c r="R44" s="428" t="s">
        <v>26</v>
      </c>
      <c r="S44" s="364" t="s">
        <v>6</v>
      </c>
      <c r="T44" s="429">
        <f t="shared" si="14"/>
        <v>0</v>
      </c>
      <c r="U44" s="436">
        <f t="shared" si="13"/>
        <v>12</v>
      </c>
      <c r="V44" s="431" t="s">
        <v>270</v>
      </c>
      <c r="X44" s="656" t="str">
        <f>IF(예산실적비교표!A34="X","",예산실적비교표!A34)</f>
        <v>렌탈료</v>
      </c>
      <c r="Y44" s="880">
        <f>IF($AB$2="",0,IF(예산실적비교표!B34=0,ROUND($Y$42*15%,-3),예산실적비교표!B34))</f>
        <v>80000</v>
      </c>
      <c r="Z44" s="1056" t="str">
        <f>IF(예산실적비교표!C34="X","",예산실적비교표!C34)</f>
        <v>공공요금</v>
      </c>
      <c r="AA44" s="884">
        <f>AA43-SUM(AA45:AA49)</f>
        <v>34000</v>
      </c>
      <c r="AB44" s="1056" t="str">
        <f>IF(예산실적비교표!E34="X","",예산실적비교표!E34)</f>
        <v>각종세금 등</v>
      </c>
      <c r="AC44" s="885">
        <f>AC43-SUM(AC45:AC49)</f>
        <v>6000</v>
      </c>
      <c r="AD44" s="656" t="str">
        <f>IF(예산실적비교표!G34="X","",예산실적비교표!G34)</f>
        <v>수리비</v>
      </c>
      <c r="AE44" s="880">
        <f>IF($AB$2="",0,IF(예산실적비교표!H34=0,ROUND(AE42*30%,-3),예산실적비교표!H34))</f>
        <v>170000</v>
      </c>
      <c r="AF44" s="637">
        <f>IF($Y$8&lt;&gt;예산실적비교표!$B$3,$Y$8,예산실적비교표!I34)</f>
        <v>12</v>
      </c>
      <c r="AH44" s="356" t="str">
        <f>세출예산서!L155</f>
        <v xml:space="preserve">  - 기타운영비</v>
      </c>
      <c r="AI44" s="1388">
        <f>세출예산서!V155</f>
        <v>1812000</v>
      </c>
      <c r="AJ44" s="1389"/>
      <c r="AP44" s="1128" t="str">
        <f>IF(예산실적비교표!AL44&lt;&gt;"",예산실적비교표!AL44,"")</f>
        <v/>
      </c>
      <c r="AQ44" s="1129" t="str">
        <f>IF(예산실적비교표!AM44&lt;&gt;"",예산실적비교표!AM44,"")</f>
        <v/>
      </c>
      <c r="AR44" s="1130">
        <f>IF(예산실적비교표!AN44&lt;&gt;"",예산실적비교표!AN44,0)</f>
        <v>0</v>
      </c>
      <c r="AS44" s="1131">
        <f>IF(예산실적비교표!AO44&lt;&gt;"",예산실적비교표!AO44,0)</f>
        <v>0</v>
      </c>
      <c r="AT44" s="1118">
        <f t="shared" si="5"/>
        <v>0</v>
      </c>
      <c r="AU44" s="1132">
        <f>IF(예산실적비교표!AQ44&lt;&gt;"",예산실적비교표!AQ44,0)</f>
        <v>0</v>
      </c>
      <c r="AV44" s="1120">
        <f t="shared" si="6"/>
        <v>0</v>
      </c>
      <c r="AW44" s="1121">
        <f>IF(AR44="","",ROUND((AT44*$AT$7)*데이터입력!$AE$14+(AT44*$AU$7)*데이터입력!$AE$14+(AT44*$AU$7*$AV$7)*데이터입력!$AE$14+(AT44*$AW$7)*데이터입력!$AE$14+(AT44*$AX$7)*데이터입력!$AE$14,-1))</f>
        <v>0</v>
      </c>
      <c r="AX44" s="1122">
        <f t="shared" si="7"/>
        <v>0</v>
      </c>
      <c r="AY44" s="1123">
        <f>IFERROR(IF(AR44+AS44=0,0,ROUND(IF(데이터입력!$AE$14=100%,ROUND(AR44*$AR$1,-3),ROUND(AR44*$AR$1,-3)-ROUND(((AR44*$AR$1)*$AT$4)*(데이터입력!$AE$14-100%)+((AR44*$AR$1)*$AU$4)*(데이터입력!$AE$14-100%)+((AR44*$AR$1)*$AU$4*$AV$4)*(데이터입력!$AE$14-100%)+((AR44*$AR$1)*$AW$4)*(데이터입력!$AE$14-100%),-1)),0)),0)</f>
        <v>0</v>
      </c>
      <c r="AZ44" s="1124">
        <f>IFERROR(IF(AR44+AS44=0,0,IF(데이터입력!$AE$12=100%,(AT44),(AT44)+ROUND(AT44*(데이터입력!$AE$12-100%),-1))),0)</f>
        <v>0</v>
      </c>
      <c r="BA44" s="1263" t="str">
        <f t="shared" si="8"/>
        <v/>
      </c>
      <c r="BB44" s="1264" t="str">
        <f>IF(BA44="","",IF(데이터입력!$O$68="",ROUND(AZ44/12,0),ROUND(데이터입력!$O$68/데이터입력!$Y$8/$BC$11,0)))</f>
        <v/>
      </c>
      <c r="BC44" s="1604"/>
      <c r="BD44" s="1605"/>
      <c r="BE44" s="1605"/>
      <c r="BF44" s="1605"/>
      <c r="BG44" s="1606"/>
    </row>
    <row r="45" spans="1:59" ht="17.25" thickBot="1">
      <c r="A45" s="1046" t="str">
        <f>IF($AM$1=TRUE,IF(K45="","",SUBTOTAL(2,$K$3:K45)),IF(AND(M45="",N45=""),"",IF(N45="",COUNT($M$3:M45),COUNT($N$3:N45)+200)))</f>
        <v/>
      </c>
      <c r="B45" s="365" t="s">
        <v>43</v>
      </c>
      <c r="C45" s="365" t="s">
        <v>555</v>
      </c>
      <c r="D45" s="364">
        <v>501010202</v>
      </c>
      <c r="E45" s="364" t="s">
        <v>83</v>
      </c>
      <c r="F45" s="364" t="s">
        <v>80</v>
      </c>
      <c r="G45" s="366">
        <f>IFERROR(IF($E45="06",VLOOKUP($B45,예산실적비교표!$O$7:$R$200,2,FALSE),0),0)</f>
        <v>0</v>
      </c>
      <c r="H45" s="366">
        <f>IFERROR(IF($E45="06",VLOOKUP($C45,세출예산서!$K$3:$X$304,12,FALSE),0),0)</f>
        <v>0</v>
      </c>
      <c r="I45" s="366">
        <f>IFERROR(IF($E45="07",VLOOKUP($C45,세출예산서!$K$3:$X$304,13,FALSE),0),0)</f>
        <v>0</v>
      </c>
      <c r="J45" s="366">
        <f>IFERROR(IF($E45="05",VLOOKUP($C45,세출예산서!$K$3:$X$304,14,FALSE),0),0)</f>
        <v>0</v>
      </c>
      <c r="K45" s="366" t="str">
        <f t="shared" si="15"/>
        <v/>
      </c>
      <c r="L45" s="367">
        <f>IFERROR(IF($AB$2="",0,ROUNDUP(VLOOKUP($B45,예산실적비교표!$O$7:$R$200,3,FALSE)/$Y$9,-3)*$Y$8),0)</f>
        <v>0</v>
      </c>
      <c r="M45" s="708" t="str">
        <f>IF($AM$1=TRUE,IF(K45="","",IF(IF($AE$2="",IF(K45="","",SUBTOTAL(2,$K$3:K45)),IF(AND(G45&gt;=0,K45=""),"",IF(AND(G45&gt;0,OR(K45&gt;0,K45&lt;0)),SUBTOTAL(2,$K$3:K45),IF(AND(G45=0,OR(K45&gt;0,K45&lt;0)),SUBTOTAL(2,$K$3:K45)+200,""))))&gt;200,"",1)),IF(K45="","",IF(IF($AE$2="",IF(K45="","",SUBTOTAL(2,$K$3:K45)),IF(AND(G45&gt;=0,K45=""),"",IF(AND(G45&gt;0,OR(K45&gt;0,K45&lt;0)),SUBTOTAL(2,$K$3:K45),IF(AND(G45=0,OR(K45&gt;0,K45&lt;0)),SUBTOTAL(2,$K$3:K45)+200,""))))&gt;200,"",1)))</f>
        <v/>
      </c>
      <c r="N45" s="214" t="str">
        <f>IF($AM$1=TRUE,IF(K45="","",IF(IF($AE$2="",IF(K45="","",SUBTOTAL(2,$K$3:K45)),IF(AND(G45&gt;=0,K45=""),"",IF(AND(G45&gt;0,OR(K45&gt;0,K45&lt;0)),SUBTOTAL(2,$K$3:K45),IF(AND(G45=0,OR(K45&gt;0,K45&lt;0)),SUBTOTAL(2,$K$3:K45)+200,""))))&lt;=200,"",2)),IF(K45="","",IF(IF($AE$2="",IF(K45="","",SUBTOTAL(2,$K$3:K45)),IF(AND(G45&gt;=0,K45=""),"",IF(AND(G45&gt;0,OR(K45&gt;0,K45&lt;0)),SUBTOTAL(2,$K$3:K45),IF(AND(G45=0,OR(K45&gt;0,K45&lt;0)),SUBTOTAL(2,$K$3:K45)+200,""))))&lt;=200,"",2)))</f>
        <v/>
      </c>
      <c r="O45" s="538"/>
      <c r="P45" s="435">
        <f>IFERROR(IF($AE$2="추경",IF(VLOOKUP(R45,$B$1:$L$28,11,FALSE)&gt;=VLOOKUP(R45,$B$1:$L$28,6,FALSE),ROUNDUP(VLOOKUP(R45,$B$1:$L$28,11,FALSE)/U45,-4)*U45,VLOOKUP(R45,$B$1:$L$28,6,FALSE)),IF(VLOOKUP(R45,$B$1:$L$28,11,FALSE)&gt;0,VLOOKUP(R45,$B$1:$L$28,11,FALSE),VLOOKUP(R45,예산평균!$B:$D,3,FALSE))),0)</f>
        <v>0</v>
      </c>
      <c r="Q45" s="566">
        <v>0</v>
      </c>
      <c r="R45" s="428" t="s">
        <v>27</v>
      </c>
      <c r="S45" s="364" t="s">
        <v>6</v>
      </c>
      <c r="T45" s="429">
        <f t="shared" si="14"/>
        <v>0</v>
      </c>
      <c r="U45" s="436">
        <f t="shared" si="13"/>
        <v>12</v>
      </c>
      <c r="V45" s="431" t="s">
        <v>127</v>
      </c>
      <c r="X45" s="656" t="str">
        <f>IF(예산실적비교표!A35="X","",예산실적비교표!A35)</f>
        <v>사무용품</v>
      </c>
      <c r="Y45" s="880">
        <f>IF($AB$2="",0,IF(예산실적비교표!B35=0,ROUND($Y$42*15%,-3),예산실적비교표!B35))</f>
        <v>50000</v>
      </c>
      <c r="Z45" s="656" t="str">
        <f>IF(예산실적비교표!C35="X","",예산실적비교표!C35)</f>
        <v>TV,통신요금 등</v>
      </c>
      <c r="AA45" s="880">
        <f>IF($AB$2="",0,IF(예산실적비교표!D35=0,ROUND($AA$43*20%,-3),예산실적비교표!D35))</f>
        <v>80000</v>
      </c>
      <c r="AB45" s="656" t="str">
        <f>IF(예산실적비교표!E35="X","",예산실적비교표!E35)</f>
        <v>각종공과금 등</v>
      </c>
      <c r="AC45" s="880">
        <f>IF($AB$2="",0,IF(예산실적비교표!F35=0,ROUND($AC$43*50%,-3),예산실적비교표!F35))</f>
        <v>170000</v>
      </c>
      <c r="AD45" s="656" t="str">
        <f>IF(예산실적비교표!G35="X","",예산실적비교표!G35)</f>
        <v/>
      </c>
      <c r="AE45" s="880">
        <f>IF($AB$2="",0,예산실적비교표!H35)</f>
        <v>0</v>
      </c>
      <c r="AF45" s="637">
        <f>IF($Y$8&lt;&gt;예산실적비교표!$B$3,$Y$8,예산실적비교표!I35)</f>
        <v>12</v>
      </c>
      <c r="AH45" s="334" t="str">
        <f>세출예산서!L156</f>
        <v xml:space="preserve">  - 직원상여금</v>
      </c>
      <c r="AI45" s="1390">
        <f>세출예산서!V156</f>
        <v>400000</v>
      </c>
      <c r="AJ45" s="1391"/>
      <c r="AP45" s="1128" t="str">
        <f>IF(예산실적비교표!AL45&lt;&gt;"",예산실적비교표!AL45,"")</f>
        <v/>
      </c>
      <c r="AQ45" s="1129" t="str">
        <f>IF(예산실적비교표!AM45&lt;&gt;"",예산실적비교표!AM45,"")</f>
        <v/>
      </c>
      <c r="AR45" s="1130">
        <f>IF(예산실적비교표!AN45&lt;&gt;"",예산실적비교표!AN45,0)</f>
        <v>0</v>
      </c>
      <c r="AS45" s="1131">
        <f>IF(예산실적비교표!AO45&lt;&gt;"",예산실적비교표!AO45,0)</f>
        <v>0</v>
      </c>
      <c r="AT45" s="1118">
        <f t="shared" si="5"/>
        <v>0</v>
      </c>
      <c r="AU45" s="1132">
        <f>IF(예산실적비교표!AQ45&lt;&gt;"",예산실적비교표!AQ45,0)</f>
        <v>0</v>
      </c>
      <c r="AV45" s="1120">
        <f t="shared" si="6"/>
        <v>0</v>
      </c>
      <c r="AW45" s="1121">
        <f>IF(AR45="","",ROUND((AT45*$AT$7)*데이터입력!$AE$14+(AT45*$AU$7)*데이터입력!$AE$14+(AT45*$AU$7*$AV$7)*데이터입력!$AE$14+(AT45*$AW$7)*데이터입력!$AE$14+(AT45*$AX$7)*데이터입력!$AE$14,-1))</f>
        <v>0</v>
      </c>
      <c r="AX45" s="1122">
        <f t="shared" si="7"/>
        <v>0</v>
      </c>
      <c r="AY45" s="1123">
        <f>IFERROR(IF(AR45+AS45=0,0,ROUND(IF(데이터입력!$AE$14=100%,ROUND(AR45*$AR$1,-3),ROUND(AR45*$AR$1,-3)-ROUND(((AR45*$AR$1)*$AT$4)*(데이터입력!$AE$14-100%)+((AR45*$AR$1)*$AU$4)*(데이터입력!$AE$14-100%)+((AR45*$AR$1)*$AU$4*$AV$4)*(데이터입력!$AE$14-100%)+((AR45*$AR$1)*$AW$4)*(데이터입력!$AE$14-100%),-1)),0)),0)</f>
        <v>0</v>
      </c>
      <c r="AZ45" s="1124">
        <f>IFERROR(IF(AR45+AS45=0,0,IF(데이터입력!$AE$12=100%,(AT45),(AT45)+ROUND(AT45*(데이터입력!$AE$12-100%),-1))),0)</f>
        <v>0</v>
      </c>
      <c r="BA45" s="1263" t="str">
        <f t="shared" si="8"/>
        <v/>
      </c>
      <c r="BB45" s="1284" t="str">
        <f>IF(BA45="","",IF(데이터입력!$O$68="",ROUND(AZ45/12,0),ROUND(데이터입력!$O$68/데이터입력!$Y$8/$BC$11,0)))</f>
        <v/>
      </c>
      <c r="BC45" s="1289" t="s">
        <v>774</v>
      </c>
      <c r="BD45" s="1290" t="s">
        <v>775</v>
      </c>
      <c r="BE45" s="1291" t="s">
        <v>776</v>
      </c>
      <c r="BF45" s="1291" t="s">
        <v>779</v>
      </c>
      <c r="BG45" s="1292" t="s">
        <v>783</v>
      </c>
    </row>
    <row r="46" spans="1:59">
      <c r="A46" s="1046" t="str">
        <f>IF($AM$1=TRUE,IF(K46="","",SUBTOTAL(2,$K$3:K46)),IF(AND(M46="",N46=""),"",IF(N46="",COUNT($M$3:M46),COUNT($N$3:N46)+200)))</f>
        <v/>
      </c>
      <c r="B46" s="365" t="s">
        <v>44</v>
      </c>
      <c r="C46" s="365" t="s">
        <v>556</v>
      </c>
      <c r="D46" s="364">
        <v>501010301</v>
      </c>
      <c r="E46" s="364" t="s">
        <v>83</v>
      </c>
      <c r="F46" s="364" t="s">
        <v>80</v>
      </c>
      <c r="G46" s="366">
        <f>IFERROR(IF($E46="06",VLOOKUP($B46,예산실적비교표!$O$7:$R$200,2,FALSE),0),0)</f>
        <v>0</v>
      </c>
      <c r="H46" s="366">
        <f>IFERROR(IF($E46="06",VLOOKUP($C46,세출예산서!$K$3:$X$304,12,FALSE),0),0)</f>
        <v>0</v>
      </c>
      <c r="I46" s="366">
        <f>IFERROR(IF($E46="07",VLOOKUP($C46,세출예산서!$K$3:$X$304,13,FALSE),0),0)</f>
        <v>0</v>
      </c>
      <c r="J46" s="366">
        <f>IFERROR(IF($E46="05",VLOOKUP($C46,세출예산서!$K$3:$X$304,14,FALSE),0),0)</f>
        <v>0</v>
      </c>
      <c r="K46" s="366" t="str">
        <f t="shared" si="15"/>
        <v/>
      </c>
      <c r="L46" s="367">
        <f>IFERROR(IF($AB$2="",0,ROUNDUP(VLOOKUP($B46,예산실적비교표!$O$7:$R$200,3,FALSE)/$Y$9,-3)*$Y$8),0)</f>
        <v>0</v>
      </c>
      <c r="M46" s="708" t="str">
        <f>IF($AM$1=TRUE,IF(K46="","",IF(IF($AE$2="",IF(K46="","",SUBTOTAL(2,$K$3:K46)),IF(AND(G46&gt;=0,K46=""),"",IF(AND(G46&gt;0,OR(K46&gt;0,K46&lt;0)),SUBTOTAL(2,$K$3:K46),IF(AND(G46=0,OR(K46&gt;0,K46&lt;0)),SUBTOTAL(2,$K$3:K46)+200,""))))&gt;200,"",1)),IF(K46="","",IF(IF($AE$2="",IF(K46="","",SUBTOTAL(2,$K$3:K46)),IF(AND(G46&gt;=0,K46=""),"",IF(AND(G46&gt;0,OR(K46&gt;0,K46&lt;0)),SUBTOTAL(2,$K$3:K46),IF(AND(G46=0,OR(K46&gt;0,K46&lt;0)),SUBTOTAL(2,$K$3:K46)+200,""))))&gt;200,"",1)))</f>
        <v/>
      </c>
      <c r="N46" s="214" t="str">
        <f>IF($AM$1=TRUE,IF(K46="","",IF(IF($AE$2="",IF(K46="","",SUBTOTAL(2,$K$3:K46)),IF(AND(G46&gt;=0,K46=""),"",IF(AND(G46&gt;0,OR(K46&gt;0,K46&lt;0)),SUBTOTAL(2,$K$3:K46),IF(AND(G46=0,OR(K46&gt;0,K46&lt;0)),SUBTOTAL(2,$K$3:K46)+200,""))))&lt;=200,"",2)),IF(K46="","",IF(IF($AE$2="",IF(K46="","",SUBTOTAL(2,$K$3:K46)),IF(AND(G46&gt;=0,K46=""),"",IF(AND(G46&gt;0,OR(K46&gt;0,K46&lt;0)),SUBTOTAL(2,$K$3:K46),IF(AND(G46=0,OR(K46&gt;0,K46&lt;0)),SUBTOTAL(2,$K$3:K46)+200,""))))&lt;=200,"",2)))</f>
        <v/>
      </c>
      <c r="O46" s="538"/>
      <c r="P46" s="435">
        <f>IFERROR(IF($AE$2="추경",IF(VLOOKUP(R46,$B$1:$L$28,11,FALSE)&gt;=VLOOKUP(R46,$B$1:$L$28,6,FALSE),ROUNDUP(VLOOKUP(R46,$B$1:$L$28,11,FALSE)/U46,-4)*U46,VLOOKUP(R46,$B$1:$L$28,6,FALSE)),IF(VLOOKUP(R46,$B$1:$L$28,11,FALSE)&gt;0,VLOOKUP(R46,$B$1:$L$28,11,FALSE),VLOOKUP(R46,예산평균!$B:$D,3,FALSE))),0)</f>
        <v>0</v>
      </c>
      <c r="Q46" s="566">
        <v>0</v>
      </c>
      <c r="R46" s="428" t="s">
        <v>29</v>
      </c>
      <c r="S46" s="364" t="s">
        <v>6</v>
      </c>
      <c r="T46" s="429">
        <f t="shared" si="14"/>
        <v>0</v>
      </c>
      <c r="U46" s="436">
        <f t="shared" si="13"/>
        <v>12</v>
      </c>
      <c r="V46" s="447" t="s">
        <v>127</v>
      </c>
      <c r="X46" s="656" t="str">
        <f>IF(예산실적비교표!A36="X","",예산실적비교표!A36)</f>
        <v>기타(소독,점검비 등)</v>
      </c>
      <c r="Y46" s="880">
        <f>IF($AB$2="",0,IF(예산실적비교표!B36=0,ROUND($Y$42*20%,-3),예산실적비교표!B36))</f>
        <v>100000</v>
      </c>
      <c r="Z46" s="656" t="str">
        <f>IF(예산실적비교표!C36="X","",예산실적비교표!C36)</f>
        <v>기타(관리비 등)</v>
      </c>
      <c r="AA46" s="880">
        <v>200000</v>
      </c>
      <c r="AB46" s="656" t="str">
        <f>IF(예산실적비교표!E36="X","",예산실적비교표!E36)</f>
        <v>기타(보험료 등)</v>
      </c>
      <c r="AC46" s="880">
        <f>IF($AB$2="",0,IF(예산실적비교표!F36=0,ROUND($AC$43*25%,-3),예산실적비교표!F36))</f>
        <v>80000</v>
      </c>
      <c r="AD46" s="656" t="str">
        <f>IF(예산실적비교표!G36="X","",예산실적비교표!G36)</f>
        <v/>
      </c>
      <c r="AE46" s="880">
        <f>IF($AB$2="",0,예산실적비교표!H36)</f>
        <v>0</v>
      </c>
      <c r="AF46" s="637">
        <f>IF($Y$8&lt;&gt;예산실적비교표!$B$3,$Y$8,예산실적비교표!I36)</f>
        <v>12</v>
      </c>
      <c r="AH46" s="334" t="str">
        <f>세출예산서!L157</f>
        <v xml:space="preserve">  - 명절상여금</v>
      </c>
      <c r="AI46" s="1390">
        <f>세출예산서!V157</f>
        <v>480000</v>
      </c>
      <c r="AJ46" s="1391"/>
      <c r="AP46" s="1128" t="str">
        <f>IF(예산실적비교표!AL46&lt;&gt;"",예산실적비교표!AL46,"")</f>
        <v/>
      </c>
      <c r="AQ46" s="1129" t="str">
        <f>IF(예산실적비교표!AM46&lt;&gt;"",예산실적비교표!AM46,"")</f>
        <v/>
      </c>
      <c r="AR46" s="1130">
        <f>IF(예산실적비교표!AN46&lt;&gt;"",예산실적비교표!AN46,0)</f>
        <v>0</v>
      </c>
      <c r="AS46" s="1131">
        <f>IF(예산실적비교표!AO46&lt;&gt;"",예산실적비교표!AO46,0)</f>
        <v>0</v>
      </c>
      <c r="AT46" s="1118">
        <f t="shared" si="5"/>
        <v>0</v>
      </c>
      <c r="AU46" s="1132">
        <f>IF(예산실적비교표!AQ46&lt;&gt;"",예산실적비교표!AQ46,0)</f>
        <v>0</v>
      </c>
      <c r="AV46" s="1120">
        <f t="shared" si="6"/>
        <v>0</v>
      </c>
      <c r="AW46" s="1121">
        <f>IF(AR46="","",ROUND((AT46*$AT$7)*데이터입력!$AE$14+(AT46*$AU$7)*데이터입력!$AE$14+(AT46*$AU$7*$AV$7)*데이터입력!$AE$14+(AT46*$AW$7)*데이터입력!$AE$14+(AT46*$AX$7)*데이터입력!$AE$14,-1))</f>
        <v>0</v>
      </c>
      <c r="AX46" s="1122">
        <f t="shared" si="7"/>
        <v>0</v>
      </c>
      <c r="AY46" s="1123">
        <f>IFERROR(IF(AR46+AS46=0,0,ROUND(IF(데이터입력!$AE$14=100%,ROUND(AR46*$AR$1,-3),ROUND(AR46*$AR$1,-3)-ROUND(((AR46*$AR$1)*$AT$4)*(데이터입력!$AE$14-100%)+((AR46*$AR$1)*$AU$4)*(데이터입력!$AE$14-100%)+((AR46*$AR$1)*$AU$4*$AV$4)*(데이터입력!$AE$14-100%)+((AR46*$AR$1)*$AW$4)*(데이터입력!$AE$14-100%),-1)),0)),0)</f>
        <v>0</v>
      </c>
      <c r="AZ46" s="1124">
        <f>IFERROR(IF(AR46+AS46=0,0,IF(데이터입력!$AE$12=100%,(AT46),(AT46)+ROUND(AT46*(데이터입력!$AE$12-100%),-1))),0)</f>
        <v>0</v>
      </c>
      <c r="BA46" s="1263" t="str">
        <f t="shared" si="8"/>
        <v/>
      </c>
      <c r="BB46" s="1284" t="str">
        <f>IF(BA46="","",IF(데이터입력!$O$68="",ROUND(AZ46/12,0),ROUND(데이터입력!$O$68/데이터입력!$Y$8/$BC$11,0)))</f>
        <v/>
      </c>
      <c r="BC46" s="1296" t="s">
        <v>765</v>
      </c>
      <c r="BD46" s="1607" t="s">
        <v>778</v>
      </c>
      <c r="BE46" s="1608"/>
      <c r="BF46" s="1608"/>
      <c r="BG46" s="1609"/>
    </row>
    <row r="47" spans="1:59">
      <c r="A47" s="1046" t="str">
        <f>IF($AM$1=TRUE,IF(K47="","",SUBTOTAL(2,$K$3:K47)),IF(AND(M47="",N47=""),"",IF(N47="",COUNT($M$3:M47),COUNT($N$3:N47)+200)))</f>
        <v/>
      </c>
      <c r="B47" s="365" t="s">
        <v>45</v>
      </c>
      <c r="C47" s="365" t="s">
        <v>557</v>
      </c>
      <c r="D47" s="364">
        <v>501010302</v>
      </c>
      <c r="E47" s="364" t="s">
        <v>83</v>
      </c>
      <c r="F47" s="364" t="s">
        <v>80</v>
      </c>
      <c r="G47" s="366">
        <f>IFERROR(IF($E47="06",VLOOKUP($B47,예산실적비교표!$O$7:$R$200,2,FALSE),0),0)</f>
        <v>0</v>
      </c>
      <c r="H47" s="366">
        <f>IFERROR(IF($E47="06",VLOOKUP($C47,세출예산서!$K$3:$X$304,12,FALSE),0),0)</f>
        <v>0</v>
      </c>
      <c r="I47" s="366">
        <f>IFERROR(IF($E47="07",VLOOKUP($C47,세출예산서!$K$3:$X$304,13,FALSE),0),0)</f>
        <v>0</v>
      </c>
      <c r="J47" s="366">
        <f>IFERROR(IF($E47="05",VLOOKUP($C47,세출예산서!$K$3:$X$304,14,FALSE),0),0)</f>
        <v>0</v>
      </c>
      <c r="K47" s="366" t="str">
        <f t="shared" si="15"/>
        <v/>
      </c>
      <c r="L47" s="367">
        <f>IFERROR(IF($AB$2="",0,ROUNDUP(VLOOKUP($B47,예산실적비교표!$O$7:$R$200,3,FALSE)/$Y$9,-3)*$Y$8),0)</f>
        <v>0</v>
      </c>
      <c r="M47" s="708" t="str">
        <f>IF($AM$1=TRUE,IF(K47="","",IF(IF($AE$2="",IF(K47="","",SUBTOTAL(2,$K$3:K47)),IF(AND(G47&gt;=0,K47=""),"",IF(AND(G47&gt;0,OR(K47&gt;0,K47&lt;0)),SUBTOTAL(2,$K$3:K47),IF(AND(G47=0,OR(K47&gt;0,K47&lt;0)),SUBTOTAL(2,$K$3:K47)+200,""))))&gt;200,"",1)),IF(K47="","",IF(IF($AE$2="",IF(K47="","",SUBTOTAL(2,$K$3:K47)),IF(AND(G47&gt;=0,K47=""),"",IF(AND(G47&gt;0,OR(K47&gt;0,K47&lt;0)),SUBTOTAL(2,$K$3:K47),IF(AND(G47=0,OR(K47&gt;0,K47&lt;0)),SUBTOTAL(2,$K$3:K47)+200,""))))&gt;200,"",1)))</f>
        <v/>
      </c>
      <c r="N47" s="214" t="str">
        <f>IF($AM$1=TRUE,IF(K47="","",IF(IF($AE$2="",IF(K47="","",SUBTOTAL(2,$K$3:K47)),IF(AND(G47&gt;=0,K47=""),"",IF(AND(G47&gt;0,OR(K47&gt;0,K47&lt;0)),SUBTOTAL(2,$K$3:K47),IF(AND(G47=0,OR(K47&gt;0,K47&lt;0)),SUBTOTAL(2,$K$3:K47)+200,""))))&lt;=200,"",2)),IF(K47="","",IF(IF($AE$2="",IF(K47="","",SUBTOTAL(2,$K$3:K47)),IF(AND(G47&gt;=0,K47=""),"",IF(AND(G47&gt;0,OR(K47&gt;0,K47&lt;0)),SUBTOTAL(2,$K$3:K47),IF(AND(G47=0,OR(K47&gt;0,K47&lt;0)),SUBTOTAL(2,$K$3:K47)+200,""))))&lt;=200,"",2)))</f>
        <v/>
      </c>
      <c r="O47" s="538"/>
      <c r="P47" s="435">
        <f>IFERROR(IF(VLOOKUP(R47,$B$1:$L$28,11,FALSE)&gt;0,VLOOKUP(R47,$B$1:$L$28,11,FALSE),0),0)</f>
        <v>24777480</v>
      </c>
      <c r="Q47" s="552"/>
      <c r="R47" s="428" t="s">
        <v>31</v>
      </c>
      <c r="S47" s="364" t="s">
        <v>6</v>
      </c>
      <c r="T47" s="429">
        <f t="shared" si="14"/>
        <v>24777480</v>
      </c>
      <c r="U47" s="436">
        <v>1</v>
      </c>
      <c r="V47" s="431" t="s">
        <v>127</v>
      </c>
      <c r="X47" s="656" t="str">
        <f>IF(예산실적비교표!A37="X","",예산실적비교표!A37)</f>
        <v/>
      </c>
      <c r="Y47" s="880">
        <f>IF($AB$2="",0,예산실적비교표!B37)</f>
        <v>0</v>
      </c>
      <c r="Z47" s="656" t="str">
        <f>IF(예산실적비교표!C37="X","",예산실적비교표!C37)</f>
        <v/>
      </c>
      <c r="AA47" s="880">
        <f>IF($AB$2="",0,예산실적비교표!D37)</f>
        <v>0</v>
      </c>
      <c r="AB47" s="656" t="str">
        <f>IF(예산실적비교표!E37="X","",예산실적비교표!E37)</f>
        <v/>
      </c>
      <c r="AC47" s="880">
        <f>IF($AB$2="",0,예산실적비교표!F37)</f>
        <v>0</v>
      </c>
      <c r="AD47" s="656" t="str">
        <f>IF(예산실적비교표!G37="X","",예산실적비교표!G37)</f>
        <v/>
      </c>
      <c r="AE47" s="880">
        <f>IF($AB$2="",0,예산실적비교표!H37)</f>
        <v>0</v>
      </c>
      <c r="AF47" s="637">
        <f>IF($Y$8&lt;&gt;예산실적비교표!$B$3,$Y$8,예산실적비교표!I37)</f>
        <v>12</v>
      </c>
      <c r="AH47" s="334" t="str">
        <f>세출예산서!L158</f>
        <v xml:space="preserve">  - 직원교육비</v>
      </c>
      <c r="AI47" s="1390">
        <f>세출예산서!V158</f>
        <v>600000</v>
      </c>
      <c r="AJ47" s="1391"/>
      <c r="AP47" s="1128" t="str">
        <f>IF(예산실적비교표!AL47&lt;&gt;"",예산실적비교표!AL47,"")</f>
        <v/>
      </c>
      <c r="AQ47" s="1129" t="str">
        <f>IF(예산실적비교표!AM47&lt;&gt;"",예산실적비교표!AM47,"")</f>
        <v/>
      </c>
      <c r="AR47" s="1130">
        <f>IF(예산실적비교표!AN47&lt;&gt;"",예산실적비교표!AN47,0)</f>
        <v>0</v>
      </c>
      <c r="AS47" s="1131">
        <f>IF(예산실적비교표!AO47&lt;&gt;"",예산실적비교표!AO47,0)</f>
        <v>0</v>
      </c>
      <c r="AT47" s="1118">
        <f t="shared" si="5"/>
        <v>0</v>
      </c>
      <c r="AU47" s="1132">
        <f>IF(예산실적비교표!AQ47&lt;&gt;"",예산실적비교표!AQ47,0)</f>
        <v>0</v>
      </c>
      <c r="AV47" s="1120">
        <f t="shared" si="6"/>
        <v>0</v>
      </c>
      <c r="AW47" s="1121">
        <f>IF(AR47="","",ROUND((AT47*$AT$7)*데이터입력!$AE$14+(AT47*$AU$7)*데이터입력!$AE$14+(AT47*$AU$7*$AV$7)*데이터입력!$AE$14+(AT47*$AW$7)*데이터입력!$AE$14+(AT47*$AX$7)*데이터입력!$AE$14,-1))</f>
        <v>0</v>
      </c>
      <c r="AX47" s="1122">
        <f t="shared" si="7"/>
        <v>0</v>
      </c>
      <c r="AY47" s="1123">
        <f>IFERROR(IF(AR47+AS47=0,0,ROUND(IF(데이터입력!$AE$14=100%,ROUND(AR47*$AR$1,-3),ROUND(AR47*$AR$1,-3)-ROUND(((AR47*$AR$1)*$AT$4)*(데이터입력!$AE$14-100%)+((AR47*$AR$1)*$AU$4)*(데이터입력!$AE$14-100%)+((AR47*$AR$1)*$AU$4*$AV$4)*(데이터입력!$AE$14-100%)+((AR47*$AR$1)*$AW$4)*(데이터입력!$AE$14-100%),-1)),0)),0)</f>
        <v>0</v>
      </c>
      <c r="AZ47" s="1124">
        <f>IFERROR(IF(AR47+AS47=0,0,IF(데이터입력!$AE$12=100%,(AT47),(AT47)+ROUND(AT47*(데이터입력!$AE$12-100%),-1))),0)</f>
        <v>0</v>
      </c>
      <c r="BA47" s="1263" t="str">
        <f t="shared" si="8"/>
        <v/>
      </c>
      <c r="BB47" s="1284" t="str">
        <f>IF(BA47="","",IF(데이터입력!$O$68="",ROUND(AZ47/12,0),ROUND(데이터입력!$O$68/데이터입력!$Y$8/$BC$11,0)))</f>
        <v/>
      </c>
      <c r="BC47" s="1297" t="s">
        <v>766</v>
      </c>
      <c r="BD47" s="1616" t="s">
        <v>786</v>
      </c>
      <c r="BE47" s="388" t="s">
        <v>781</v>
      </c>
      <c r="BF47" s="388" t="s">
        <v>778</v>
      </c>
      <c r="BG47" s="1288" t="s">
        <v>778</v>
      </c>
    </row>
    <row r="48" spans="1:59" ht="22.5">
      <c r="A48" s="1046">
        <f>IF($AM$1=TRUE,IF(K48="","",SUBTOTAL(2,$K$3:K48)),IF(AND(M48="",N48=""),"",IF(N48="",COUNT($M$3:M48),COUNT($N$3:N48)+200)))</f>
        <v>11</v>
      </c>
      <c r="B48" s="365" t="s">
        <v>46</v>
      </c>
      <c r="C48" s="365" t="s">
        <v>558</v>
      </c>
      <c r="D48" s="364">
        <v>501010501</v>
      </c>
      <c r="E48" s="364" t="s">
        <v>83</v>
      </c>
      <c r="F48" s="364" t="s">
        <v>80</v>
      </c>
      <c r="G48" s="366">
        <f>IFERROR(IF($E48="06",VLOOKUP($B48,예산실적비교표!$O$7:$R$200,2,FALSE),0),0)</f>
        <v>9863640</v>
      </c>
      <c r="H48" s="366">
        <f>IFERROR(IF($E48="06",VLOOKUP($C48,세출예산서!$K$3:$X$304,12,FALSE),0),0)</f>
        <v>10578012</v>
      </c>
      <c r="I48" s="366">
        <f>IFERROR(IF($E48="07",VLOOKUP($C48,세출예산서!$K$3:$X$304,13,FALSE),0),0)</f>
        <v>0</v>
      </c>
      <c r="J48" s="366">
        <f>IFERROR(IF($E48="05",VLOOKUP($C48,세출예산서!$K$3:$X$304,14,FALSE),0),0)</f>
        <v>0</v>
      </c>
      <c r="K48" s="366">
        <f t="shared" si="15"/>
        <v>714372</v>
      </c>
      <c r="L48" s="367">
        <f>IFERROR(IF($AB$2="",0,ROUNDUP(VLOOKUP($B48,예산실적비교표!$O$7:$R$200,3,FALSE)/$Y$9,-3)*$Y$8),0)</f>
        <v>8484000</v>
      </c>
      <c r="M48" s="708">
        <f>IF($AM$1=TRUE,IF(K48="","",IF(IF($AE$2="",IF(K48="","",SUBTOTAL(2,$K$3:K48)),IF(AND(G48&gt;=0,K48=""),"",IF(AND(G48&gt;0,OR(K48&gt;0,K48&lt;0)),SUBTOTAL(2,$K$3:K48),IF(AND(G48=0,OR(K48&gt;0,K48&lt;0)),SUBTOTAL(2,$K$3:K48)+200,""))))&gt;200,"",1)),IF(K48="","",IF(IF($AE$2="",IF(K48="","",SUBTOTAL(2,$K$3:K48)),IF(AND(G48&gt;=0,K48=""),"",IF(AND(G48&gt;0,OR(K48&gt;0,K48&lt;0)),SUBTOTAL(2,$K$3:K48),IF(AND(G48=0,OR(K48&gt;0,K48&lt;0)),SUBTOTAL(2,$K$3:K48)+200,""))))&gt;200,"",1)))</f>
        <v>1</v>
      </c>
      <c r="N48" s="214" t="str">
        <f>IF($AM$1=TRUE,IF(K48="","",IF(IF($AE$2="",IF(K48="","",SUBTOTAL(2,$K$3:K48)),IF(AND(G48&gt;=0,K48=""),"",IF(AND(G48&gt;0,OR(K48&gt;0,K48&lt;0)),SUBTOTAL(2,$K$3:K48),IF(AND(G48=0,OR(K48&gt;0,K48&lt;0)),SUBTOTAL(2,$K$3:K48)+200,""))))&lt;=200,"",2)),IF(K48="","",IF(IF($AE$2="",IF(K48="","",SUBTOTAL(2,$K$3:K48)),IF(AND(G48&gt;=0,K48=""),"",IF(AND(G48&gt;0,OR(K48&gt;0,K48&lt;0)),SUBTOTAL(2,$K$3:K48),IF(AND(G48=0,OR(K48&gt;0,K48&lt;0)),SUBTOTAL(2,$K$3:K48)+200,""))))&lt;=200,"",2)))</f>
        <v/>
      </c>
      <c r="O48" s="538"/>
      <c r="P48" s="435">
        <f>IFERROR(IF(VLOOKUP(R48,$B$1:$L$28,11,FALSE)&gt;0,VLOOKUP(R48,$B$1:$L$28,11,FALSE),0),0)</f>
        <v>0</v>
      </c>
      <c r="Q48" s="552"/>
      <c r="R48" s="428" t="s">
        <v>33</v>
      </c>
      <c r="S48" s="364" t="s">
        <v>6</v>
      </c>
      <c r="T48" s="429">
        <f t="shared" si="14"/>
        <v>0</v>
      </c>
      <c r="U48" s="436">
        <v>1</v>
      </c>
      <c r="V48" s="447" t="s">
        <v>127</v>
      </c>
      <c r="X48" s="656" t="str">
        <f>IF(예산실적비교표!A38="X","",예산실적비교표!A38)</f>
        <v/>
      </c>
      <c r="Y48" s="880">
        <f>IF($AB$2="",0,예산실적비교표!B38)</f>
        <v>0</v>
      </c>
      <c r="Z48" s="656" t="str">
        <f>IF(예산실적비교표!C38="X","",예산실적비교표!C38)</f>
        <v/>
      </c>
      <c r="AA48" s="880">
        <f>IF($AB$2="",0,예산실적비교표!D38)</f>
        <v>0</v>
      </c>
      <c r="AB48" s="656" t="str">
        <f>IF(예산실적비교표!E38="X","",예산실적비교표!E38)</f>
        <v/>
      </c>
      <c r="AC48" s="880">
        <f>IF($AB$2="",0,예산실적비교표!F38)</f>
        <v>0</v>
      </c>
      <c r="AD48" s="656" t="str">
        <f>IF(예산실적비교표!G38="X","",예산실적비교표!G38)</f>
        <v/>
      </c>
      <c r="AE48" s="880">
        <f>IF($AB$2="",0,예산실적비교표!H38)</f>
        <v>0</v>
      </c>
      <c r="AF48" s="637">
        <f>IF($Y$8&lt;&gt;예산실적비교표!$B$3,$Y$8,예산실적비교표!I38)</f>
        <v>12</v>
      </c>
      <c r="AH48" s="334" t="str">
        <f>세출예산서!L159</f>
        <v xml:space="preserve">  - 경조사지원</v>
      </c>
      <c r="AI48" s="1390">
        <f>세출예산서!V159</f>
        <v>300000</v>
      </c>
      <c r="AJ48" s="1391"/>
      <c r="AP48" s="1128" t="str">
        <f>IF(예산실적비교표!AL48&lt;&gt;"",예산실적비교표!AL48,"")</f>
        <v/>
      </c>
      <c r="AQ48" s="1129" t="str">
        <f>IF(예산실적비교표!AM48&lt;&gt;"",예산실적비교표!AM48,"")</f>
        <v/>
      </c>
      <c r="AR48" s="1130">
        <f>IF(예산실적비교표!AN48&lt;&gt;"",예산실적비교표!AN48,0)</f>
        <v>0</v>
      </c>
      <c r="AS48" s="1131">
        <f>IF(예산실적비교표!AO48&lt;&gt;"",예산실적비교표!AO48,0)</f>
        <v>0</v>
      </c>
      <c r="AT48" s="1118">
        <f t="shared" si="5"/>
        <v>0</v>
      </c>
      <c r="AU48" s="1132">
        <f>IF(예산실적비교표!AQ48&lt;&gt;"",예산실적비교표!AQ48,0)</f>
        <v>0</v>
      </c>
      <c r="AV48" s="1120">
        <f t="shared" si="6"/>
        <v>0</v>
      </c>
      <c r="AW48" s="1121">
        <f>IF(AR48="","",ROUND((AT48*$AT$7)*데이터입력!$AE$14+(AT48*$AU$7)*데이터입력!$AE$14+(AT48*$AU$7*$AV$7)*데이터입력!$AE$14+(AT48*$AW$7)*데이터입력!$AE$14+(AT48*$AX$7)*데이터입력!$AE$14,-1))</f>
        <v>0</v>
      </c>
      <c r="AX48" s="1122">
        <f t="shared" si="7"/>
        <v>0</v>
      </c>
      <c r="AY48" s="1123">
        <f>IFERROR(IF(AR48+AS48=0,0,ROUND(IF(데이터입력!$AE$14=100%,ROUND(AR48*$AR$1,-3),ROUND(AR48*$AR$1,-3)-ROUND(((AR48*$AR$1)*$AT$4)*(데이터입력!$AE$14-100%)+((AR48*$AR$1)*$AU$4)*(데이터입력!$AE$14-100%)+((AR48*$AR$1)*$AU$4*$AV$4)*(데이터입력!$AE$14-100%)+((AR48*$AR$1)*$AW$4)*(데이터입력!$AE$14-100%),-1)),0)),0)</f>
        <v>0</v>
      </c>
      <c r="AZ48" s="1124">
        <f>IFERROR(IF(AR48+AS48=0,0,IF(데이터입력!$AE$12=100%,(AT48),(AT48)+ROUND(AT48*(데이터입력!$AE$12-100%),-1))),0)</f>
        <v>0</v>
      </c>
      <c r="BA48" s="1263" t="str">
        <f t="shared" si="8"/>
        <v/>
      </c>
      <c r="BB48" s="1284" t="str">
        <f>IF(BA48="","",IF(데이터입력!$O$68="",ROUND(AZ48/12,0),ROUND(데이터입력!$O$68/데이터입력!$Y$8/$BC$11,0)))</f>
        <v/>
      </c>
      <c r="BC48" s="1297" t="s">
        <v>767</v>
      </c>
      <c r="BD48" s="1617"/>
      <c r="BE48" s="388" t="s">
        <v>778</v>
      </c>
      <c r="BF48" s="388" t="s">
        <v>778</v>
      </c>
      <c r="BG48" s="1288" t="s">
        <v>784</v>
      </c>
    </row>
    <row r="49" spans="1:59" ht="23.25" thickBot="1">
      <c r="A49" s="1046">
        <f>IF($AM$1=TRUE,IF(K49="","",SUBTOTAL(2,$K$3:K49)),IF(AND(M49="",N49=""),"",IF(N49="",COUNT($M$3:M49),COUNT($N$3:N49)+200)))</f>
        <v>12</v>
      </c>
      <c r="B49" s="365" t="s">
        <v>47</v>
      </c>
      <c r="C49" s="365" t="s">
        <v>559</v>
      </c>
      <c r="D49" s="364">
        <v>501010502</v>
      </c>
      <c r="E49" s="364" t="s">
        <v>83</v>
      </c>
      <c r="F49" s="364" t="s">
        <v>80</v>
      </c>
      <c r="G49" s="366">
        <f>IFERROR(IF($E49="06",VLOOKUP($B49,예산실적비교표!$O$7:$R$200,2,FALSE),0),0)</f>
        <v>4672500</v>
      </c>
      <c r="H49" s="366">
        <f>IFERROR(IF($E49="06",VLOOKUP($C49,세출예산서!$K$3:$X$304,12,FALSE),0),0)</f>
        <v>4800000</v>
      </c>
      <c r="I49" s="366">
        <f>IFERROR(IF($E49="07",VLOOKUP($C49,세출예산서!$K$3:$X$304,13,FALSE),0),0)</f>
        <v>0</v>
      </c>
      <c r="J49" s="366">
        <f>IFERROR(IF($E49="05",VLOOKUP($C49,세출예산서!$K$3:$X$304,14,FALSE),0),0)</f>
        <v>0</v>
      </c>
      <c r="K49" s="366">
        <f t="shared" si="15"/>
        <v>127500</v>
      </c>
      <c r="L49" s="367">
        <f>IFERROR(IF($AB$2="",0,ROUNDUP(VLOOKUP($B49,예산실적비교표!$O$7:$R$200,3,FALSE)/$Y$9,-3)*$Y$8),0)</f>
        <v>1860000</v>
      </c>
      <c r="M49" s="708">
        <f>IF($AM$1=TRUE,IF(K49="","",IF(IF($AE$2="",IF(K49="","",SUBTOTAL(2,$K$3:K49)),IF(AND(G49&gt;=0,K49=""),"",IF(AND(G49&gt;0,OR(K49&gt;0,K49&lt;0)),SUBTOTAL(2,$K$3:K49),IF(AND(G49=0,OR(K49&gt;0,K49&lt;0)),SUBTOTAL(2,$K$3:K49)+200,""))))&gt;200,"",1)),IF(K49="","",IF(IF($AE$2="",IF(K49="","",SUBTOTAL(2,$K$3:K49)),IF(AND(G49&gt;=0,K49=""),"",IF(AND(G49&gt;0,OR(K49&gt;0,K49&lt;0)),SUBTOTAL(2,$K$3:K49),IF(AND(G49=0,OR(K49&gt;0,K49&lt;0)),SUBTOTAL(2,$K$3:K49)+200,""))))&gt;200,"",1)))</f>
        <v>1</v>
      </c>
      <c r="N49" s="214" t="str">
        <f>IF($AM$1=TRUE,IF(K49="","",IF(IF($AE$2="",IF(K49="","",SUBTOTAL(2,$K$3:K49)),IF(AND(G49&gt;=0,K49=""),"",IF(AND(G49&gt;0,OR(K49&gt;0,K49&lt;0)),SUBTOTAL(2,$K$3:K49),IF(AND(G49=0,OR(K49&gt;0,K49&lt;0)),SUBTOTAL(2,$K$3:K49)+200,""))))&lt;=200,"",2)),IF(K49="","",IF(IF($AE$2="",IF(K49="","",SUBTOTAL(2,$K$3:K49)),IF(AND(G49&gt;=0,K49=""),"",IF(AND(G49&gt;0,OR(K49&gt;0,K49&lt;0)),SUBTOTAL(2,$K$3:K49),IF(AND(G49=0,OR(K49&gt;0,K49&lt;0)),SUBTOTAL(2,$K$3:K49)+200,""))))&lt;=200,"",2)))</f>
        <v/>
      </c>
      <c r="O49" s="538"/>
      <c r="P49" s="435">
        <f>IFERROR(IF($AE$2="추경",IF(VLOOKUP(R49,$B$1:$L$28,11,FALSE)&gt;=VLOOKUP(R49,$B$1:$L$28,6,FALSE),ROUNDUP(VLOOKUP(R49,$B$1:$L$28,11,FALSE)/U49,-3)*U49,VLOOKUP(R49,$B$1:$L$28,6,FALSE)),IF(VLOOKUP(R49,$B$1:$L$28,11,FALSE)&gt;0,VLOOKUP(R49,$B$1:$L$28,11,FALSE),VLOOKUP(R49,예산평균!$B:$D,3,FALSE))),0)</f>
        <v>0</v>
      </c>
      <c r="Q49" s="552"/>
      <c r="R49" s="428" t="s">
        <v>34</v>
      </c>
      <c r="S49" s="364" t="s">
        <v>80</v>
      </c>
      <c r="T49" s="429">
        <f t="shared" si="14"/>
        <v>0</v>
      </c>
      <c r="U49" s="436">
        <f>IF(Q49=0,$Y$8,Q49)</f>
        <v>12</v>
      </c>
      <c r="V49" s="431" t="s">
        <v>127</v>
      </c>
      <c r="X49" s="656" t="str">
        <f>IF(예산실적비교표!A39="X","",예산실적비교표!A39)</f>
        <v/>
      </c>
      <c r="Y49" s="881">
        <f>IF($AB$2="",0,예산실적비교표!B39)</f>
        <v>0</v>
      </c>
      <c r="Z49" s="656" t="str">
        <f>IF(예산실적비교표!C39="X","",예산실적비교표!C39)</f>
        <v/>
      </c>
      <c r="AA49" s="881">
        <f>IF($AB$2="",0,예산실적비교표!D39)</f>
        <v>0</v>
      </c>
      <c r="AB49" s="656" t="str">
        <f>IF(예산실적비교표!E39="X","",예산실적비교표!E39)</f>
        <v/>
      </c>
      <c r="AC49" s="881">
        <f>IF($AB$2="",0,예산실적비교표!F39)</f>
        <v>0</v>
      </c>
      <c r="AD49" s="656" t="str">
        <f>IF(예산실적비교표!G39="X","",예산실적비교표!G39)</f>
        <v/>
      </c>
      <c r="AE49" s="881">
        <f>IF($AB$2="",0,예산실적비교표!H39)</f>
        <v>0</v>
      </c>
      <c r="AF49" s="637">
        <f>IF($Y$8&lt;&gt;예산실적비교표!$B$3,$Y$8,예산실적비교표!I39)</f>
        <v>12</v>
      </c>
      <c r="AH49" s="334" t="str">
        <f>세출예산서!L160</f>
        <v xml:space="preserve">  - 직원중식지원</v>
      </c>
      <c r="AI49" s="1390">
        <f>세출예산서!V160</f>
        <v>1500000</v>
      </c>
      <c r="AJ49" s="1391"/>
      <c r="AP49" s="1128" t="str">
        <f>IF(예산실적비교표!AL49&lt;&gt;"",예산실적비교표!AL49,"")</f>
        <v/>
      </c>
      <c r="AQ49" s="1129" t="str">
        <f>IF(예산실적비교표!AM49&lt;&gt;"",예산실적비교표!AM49,"")</f>
        <v/>
      </c>
      <c r="AR49" s="1130">
        <f>IF(예산실적비교표!AN49&lt;&gt;"",예산실적비교표!AN49,0)</f>
        <v>0</v>
      </c>
      <c r="AS49" s="1131">
        <f>IF(예산실적비교표!AO49&lt;&gt;"",예산실적비교표!AO49,0)</f>
        <v>0</v>
      </c>
      <c r="AT49" s="1118">
        <f t="shared" si="5"/>
        <v>0</v>
      </c>
      <c r="AU49" s="1132">
        <f>IF(예산실적비교표!AQ49&lt;&gt;"",예산실적비교표!AQ49,0)</f>
        <v>0</v>
      </c>
      <c r="AV49" s="1120">
        <f t="shared" si="6"/>
        <v>0</v>
      </c>
      <c r="AW49" s="1121">
        <f>IF(AR49="","",ROUND((AT49*$AT$7)*데이터입력!$AE$14+(AT49*$AU$7)*데이터입력!$AE$14+(AT49*$AU$7*$AV$7)*데이터입력!$AE$14+(AT49*$AW$7)*데이터입력!$AE$14+(AT49*$AX$7)*데이터입력!$AE$14,-1))</f>
        <v>0</v>
      </c>
      <c r="AX49" s="1122">
        <f t="shared" si="7"/>
        <v>0</v>
      </c>
      <c r="AY49" s="1123">
        <f>IFERROR(IF(AR49+AS49=0,0,ROUND(IF(데이터입력!$AE$14=100%,ROUND(AR49*$AR$1,-3),ROUND(AR49*$AR$1,-3)-ROUND(((AR49*$AR$1)*$AT$4)*(데이터입력!$AE$14-100%)+((AR49*$AR$1)*$AU$4)*(데이터입력!$AE$14-100%)+((AR49*$AR$1)*$AU$4*$AV$4)*(데이터입력!$AE$14-100%)+((AR49*$AR$1)*$AW$4)*(데이터입력!$AE$14-100%),-1)),0)),0)</f>
        <v>0</v>
      </c>
      <c r="AZ49" s="1124">
        <f>IFERROR(IF(AR49+AS49=0,0,IF(데이터입력!$AE$12=100%,(AT49),(AT49)+ROUND(AT49*(데이터입력!$AE$12-100%),-1))),0)</f>
        <v>0</v>
      </c>
      <c r="BA49" s="1263" t="str">
        <f t="shared" si="8"/>
        <v/>
      </c>
      <c r="BB49" s="1284" t="str">
        <f>IF(BA49="","",IF(데이터입력!$O$68="",ROUND(AZ49/12,0),ROUND(데이터입력!$O$68/데이터입력!$Y$8/$BC$11,0)))</f>
        <v/>
      </c>
      <c r="BC49" s="1297" t="s">
        <v>768</v>
      </c>
      <c r="BD49" s="1295" t="s">
        <v>778</v>
      </c>
      <c r="BE49" s="1610" t="s">
        <v>782</v>
      </c>
      <c r="BF49" s="1611"/>
      <c r="BG49" s="1612"/>
    </row>
    <row r="50" spans="1:59" ht="17.25" thickBot="1">
      <c r="A50" s="1046">
        <f>IF($AM$1=TRUE,IF(K50="","",SUBTOTAL(2,$K$3:K50)),IF(AND(M50="",N50=""),"",IF(N50="",COUNT($M$3:M50),COUNT($N$3:N50)+200)))</f>
        <v>13</v>
      </c>
      <c r="B50" s="365" t="s">
        <v>48</v>
      </c>
      <c r="C50" s="365" t="s">
        <v>560</v>
      </c>
      <c r="D50" s="364">
        <v>501010601</v>
      </c>
      <c r="E50" s="364" t="s">
        <v>83</v>
      </c>
      <c r="F50" s="364" t="s">
        <v>80</v>
      </c>
      <c r="G50" s="366">
        <f>IFERROR(IF($E50="06",VLOOKUP($B50,예산실적비교표!$O$7:$R$200,2,FALSE),0),0)</f>
        <v>12379779</v>
      </c>
      <c r="H50" s="366">
        <f>IFERROR(IF($E50="06",VLOOKUP($C50,세출예산서!$K$3:$X$304,12,FALSE),0),0)</f>
        <v>13276370</v>
      </c>
      <c r="I50" s="366">
        <f>IFERROR(IF($E50="07",VLOOKUP($C50,세출예산서!$K$3:$X$304,13,FALSE),0),0)</f>
        <v>0</v>
      </c>
      <c r="J50" s="366">
        <f>IFERROR(IF($E50="05",VLOOKUP($C50,세출예산서!$K$3:$X$304,14,FALSE),0),0)</f>
        <v>0</v>
      </c>
      <c r="K50" s="366">
        <f t="shared" si="15"/>
        <v>896591</v>
      </c>
      <c r="L50" s="367">
        <f>IFERROR(IF($AB$2="",0,ROUNDUP(VLOOKUP($B50,예산실적비교표!$O$7:$R$200,3,FALSE)/$Y$9,-3)*$Y$8),0)</f>
        <v>11340000</v>
      </c>
      <c r="M50" s="708">
        <f>IF($AM$1=TRUE,IF(K50="","",IF(IF($AE$2="",IF(K50="","",SUBTOTAL(2,$K$3:K50)),IF(AND(G50&gt;=0,K50=""),"",IF(AND(G50&gt;0,OR(K50&gt;0,K50&lt;0)),SUBTOTAL(2,$K$3:K50),IF(AND(G50=0,OR(K50&gt;0,K50&lt;0)),SUBTOTAL(2,$K$3:K50)+200,""))))&gt;200,"",1)),IF(K50="","",IF(IF($AE$2="",IF(K50="","",SUBTOTAL(2,$K$3:K50)),IF(AND(G50&gt;=0,K50=""),"",IF(AND(G50&gt;0,OR(K50&gt;0,K50&lt;0)),SUBTOTAL(2,$K$3:K50),IF(AND(G50=0,OR(K50&gt;0,K50&lt;0)),SUBTOTAL(2,$K$3:K50)+200,""))))&gt;200,"",1)))</f>
        <v>1</v>
      </c>
      <c r="N50" s="214" t="str">
        <f>IF($AM$1=TRUE,IF(K50="","",IF(IF($AE$2="",IF(K50="","",SUBTOTAL(2,$K$3:K50)),IF(AND(G50&gt;=0,K50=""),"",IF(AND(G50&gt;0,OR(K50&gt;0,K50&lt;0)),SUBTOTAL(2,$K$3:K50),IF(AND(G50=0,OR(K50&gt;0,K50&lt;0)),SUBTOTAL(2,$K$3:K50)+200,""))))&lt;=200,"",2)),IF(K50="","",IF(IF($AE$2="",IF(K50="","",SUBTOTAL(2,$K$3:K50)),IF(AND(G50&gt;=0,K50=""),"",IF(AND(G50&gt;0,OR(K50&gt;0,K50&lt;0)),SUBTOTAL(2,$K$3:K50),IF(AND(G50=0,OR(K50&gt;0,K50&lt;0)),SUBTOTAL(2,$K$3:K50)+200,""))))&lt;=200,"",2)))</f>
        <v/>
      </c>
      <c r="O50" s="538"/>
      <c r="P50" s="435">
        <f>IFERROR(IF($AE$2="추경",IF(VLOOKUP(R50,$B$1:$L$28,11,FALSE)&gt;=VLOOKUP(R50,$B$1:$L$28,6,FALSE),ROUNDUP(VLOOKUP(R50,$B$1:$L$28,11,FALSE)/U50,-3)*U50,VLOOKUP(R50,$B$1:$L$28,6,FALSE)),IF(VLOOKUP(R50,$B$1:$L$28,11,FALSE)&gt;0,VLOOKUP(R50,$B$1:$L$28,11,FALSE),VLOOKUP(R50,예산평균!$B:$D,3,FALSE))),0)</f>
        <v>0</v>
      </c>
      <c r="Q50" s="552"/>
      <c r="R50" s="428" t="s">
        <v>35</v>
      </c>
      <c r="S50" s="364" t="s">
        <v>6</v>
      </c>
      <c r="T50" s="429">
        <f t="shared" si="14"/>
        <v>0</v>
      </c>
      <c r="U50" s="436">
        <f>IF(Q50=0,$Y$8,Q50)</f>
        <v>12</v>
      </c>
      <c r="V50" s="431" t="s">
        <v>127</v>
      </c>
      <c r="X50" s="448" t="s">
        <v>172</v>
      </c>
      <c r="Y50" s="882">
        <f>SUM(Y51:Y60)</f>
        <v>506000</v>
      </c>
      <c r="Z50" s="437" t="s">
        <v>185</v>
      </c>
      <c r="AA50" s="437" t="s">
        <v>215</v>
      </c>
      <c r="AB50" s="407" t="s">
        <v>186</v>
      </c>
      <c r="AC50" s="882">
        <f>ROUND(세출예산서!$Z$173/$Y$8,-3)</f>
        <v>100000</v>
      </c>
      <c r="AD50" s="407" t="s">
        <v>131</v>
      </c>
      <c r="AE50" s="882">
        <f>ROUND(세출예산서!Z206/$Y$8,-3)</f>
        <v>250000</v>
      </c>
      <c r="AF50" s="437" t="s">
        <v>215</v>
      </c>
      <c r="AH50" s="334" t="str">
        <f>세출예산서!L161</f>
        <v xml:space="preserve">  - </v>
      </c>
      <c r="AI50" s="1390">
        <f>세출예산서!V161</f>
        <v>0</v>
      </c>
      <c r="AJ50" s="1391"/>
      <c r="AP50" s="1128" t="str">
        <f>IF(예산실적비교표!AL50&lt;&gt;"",예산실적비교표!AL50,"")</f>
        <v/>
      </c>
      <c r="AQ50" s="1129" t="str">
        <f>IF(예산실적비교표!AM50&lt;&gt;"",예산실적비교표!AM50,"")</f>
        <v/>
      </c>
      <c r="AR50" s="1130">
        <f>IF(예산실적비교표!AN50&lt;&gt;"",예산실적비교표!AN50,0)</f>
        <v>0</v>
      </c>
      <c r="AS50" s="1131">
        <f>IF(예산실적비교표!AO50&lt;&gt;"",예산실적비교표!AO50,0)</f>
        <v>0</v>
      </c>
      <c r="AT50" s="1118">
        <f t="shared" si="5"/>
        <v>0</v>
      </c>
      <c r="AU50" s="1132">
        <f>IF(예산실적비교표!AQ50&lt;&gt;"",예산실적비교표!AQ50,0)</f>
        <v>0</v>
      </c>
      <c r="AV50" s="1120">
        <f t="shared" si="6"/>
        <v>0</v>
      </c>
      <c r="AW50" s="1121">
        <f>IF(AR50="","",ROUND((AT50*$AT$7)*데이터입력!$AE$14+(AT50*$AU$7)*데이터입력!$AE$14+(AT50*$AU$7*$AV$7)*데이터입력!$AE$14+(AT50*$AW$7)*데이터입력!$AE$14+(AT50*$AX$7)*데이터입력!$AE$14,-1))</f>
        <v>0</v>
      </c>
      <c r="AX50" s="1122">
        <f t="shared" si="7"/>
        <v>0</v>
      </c>
      <c r="AY50" s="1123">
        <f>IFERROR(IF(AR50+AS50=0,0,ROUND(IF(데이터입력!$AE$14=100%,ROUND(AR50*$AR$1,-3),ROUND(AR50*$AR$1,-3)-ROUND(((AR50*$AR$1)*$AT$4)*(데이터입력!$AE$14-100%)+((AR50*$AR$1)*$AU$4)*(데이터입력!$AE$14-100%)+((AR50*$AR$1)*$AU$4*$AV$4)*(데이터입력!$AE$14-100%)+((AR50*$AR$1)*$AW$4)*(데이터입력!$AE$14-100%),-1)),0)),0)</f>
        <v>0</v>
      </c>
      <c r="AZ50" s="1124">
        <f>IFERROR(IF(AR50+AS50=0,0,IF(데이터입력!$AE$12=100%,(AT50),(AT50)+ROUND(AT50*(데이터입력!$AE$12-100%),-1))),0)</f>
        <v>0</v>
      </c>
      <c r="BA50" s="1263" t="str">
        <f t="shared" si="8"/>
        <v/>
      </c>
      <c r="BB50" s="1284" t="str">
        <f>IF(BA50="","",IF(데이터입력!$O$68="",ROUND(AZ50/12,0),ROUND(데이터입력!$O$68/데이터입력!$Y$8/$BC$11,0)))</f>
        <v/>
      </c>
      <c r="BC50" s="1285" t="s">
        <v>762</v>
      </c>
      <c r="BD50" s="1287" t="s">
        <v>780</v>
      </c>
      <c r="BE50" s="388" t="s">
        <v>778</v>
      </c>
      <c r="BF50" s="388" t="s">
        <v>778</v>
      </c>
      <c r="BG50" s="1288" t="s">
        <v>784</v>
      </c>
    </row>
    <row r="51" spans="1:59">
      <c r="A51" s="1046">
        <f>IF($AM$1=TRUE,IF(K51="","",SUBTOTAL(2,$K$3:K51)),IF(AND(M51="",N51=""),"",IF(N51="",COUNT($M$3:M51),COUNT($N$3:N51)+200)))</f>
        <v>14</v>
      </c>
      <c r="B51" s="365" t="s">
        <v>49</v>
      </c>
      <c r="C51" s="365" t="s">
        <v>561</v>
      </c>
      <c r="D51" s="364">
        <v>501010602</v>
      </c>
      <c r="E51" s="364" t="s">
        <v>83</v>
      </c>
      <c r="F51" s="364" t="s">
        <v>80</v>
      </c>
      <c r="G51" s="366">
        <f>IFERROR(IF($E51="06",VLOOKUP($B51,예산실적비교표!$O$7:$R$200,2,FALSE),0),0)</f>
        <v>5864430</v>
      </c>
      <c r="H51" s="366">
        <f>IFERROR(IF($E51="06",VLOOKUP($C51,세출예산서!$K$3:$X$304,12,FALSE),0),0)</f>
        <v>8434220</v>
      </c>
      <c r="I51" s="366">
        <f>IFERROR(IF($E51="07",VLOOKUP($C51,세출예산서!$K$3:$X$304,13,FALSE),0),0)</f>
        <v>0</v>
      </c>
      <c r="J51" s="366">
        <f>IFERROR(IF($E51="05",VLOOKUP($C51,세출예산서!$K$3:$X$304,14,FALSE),0),0)</f>
        <v>0</v>
      </c>
      <c r="K51" s="366">
        <f t="shared" si="15"/>
        <v>2569790</v>
      </c>
      <c r="L51" s="367">
        <f>IFERROR(IF($AB$2="",0,ROUNDUP(VLOOKUP($B51,예산실적비교표!$O$7:$R$200,3,FALSE)/$Y$9,-3)*$Y$8),0)</f>
        <v>4404000</v>
      </c>
      <c r="M51" s="708">
        <f>IF($AM$1=TRUE,IF(K51="","",IF(IF($AE$2="",IF(K51="","",SUBTOTAL(2,$K$3:K51)),IF(AND(G51&gt;=0,K51=""),"",IF(AND(G51&gt;0,OR(K51&gt;0,K51&lt;0)),SUBTOTAL(2,$K$3:K51),IF(AND(G51=0,OR(K51&gt;0,K51&lt;0)),SUBTOTAL(2,$K$3:K51)+200,""))))&gt;200,"",1)),IF(K51="","",IF(IF($AE$2="",IF(K51="","",SUBTOTAL(2,$K$3:K51)),IF(AND(G51&gt;=0,K51=""),"",IF(AND(G51&gt;0,OR(K51&gt;0,K51&lt;0)),SUBTOTAL(2,$K$3:K51),IF(AND(G51=0,OR(K51&gt;0,K51&lt;0)),SUBTOTAL(2,$K$3:K51)+200,""))))&gt;200,"",1)))</f>
        <v>1</v>
      </c>
      <c r="N51" s="214" t="str">
        <f>IF($AM$1=TRUE,IF(K51="","",IF(IF($AE$2="",IF(K51="","",SUBTOTAL(2,$K$3:K51)),IF(AND(G51&gt;=0,K51=""),"",IF(AND(G51&gt;0,OR(K51&gt;0,K51&lt;0)),SUBTOTAL(2,$K$3:K51),IF(AND(G51=0,OR(K51&gt;0,K51&lt;0)),SUBTOTAL(2,$K$3:K51)+200,""))))&lt;=200,"",2)),IF(K51="","",IF(IF($AE$2="",IF(K51="","",SUBTOTAL(2,$K$3:K51)),IF(AND(G51&gt;=0,K51=""),"",IF(AND(G51&gt;0,OR(K51&gt;0,K51&lt;0)),SUBTOTAL(2,$K$3:K51),IF(AND(G51=0,OR(K51&gt;0,K51&lt;0)),SUBTOTAL(2,$K$3:K51)+200,""))))&lt;=200,"",2)))</f>
        <v/>
      </c>
      <c r="O51" s="538"/>
      <c r="P51" s="435">
        <f>IFERROR(IF($AE$2="추경",IF(VLOOKUP(R51,$B$1:$L$28,11,FALSE)&gt;=VLOOKUP(R51,$B$1:$L$28,6,FALSE),ROUNDUP(VLOOKUP(R51,$B$1:$L$28,11,FALSE),-4),VLOOKUP(R51,$B$1:$L$28,6,FALSE)),IF(VLOOKUP(R51,$B$1:$L$28,11,FALSE)&gt;=VLOOKUP(R51,$B$1:$L$28,6,FALSE),ROUNDUP(VLOOKUP(R51,$B$1:$L$28,6,FALSE),-3),10000)),0)</f>
        <v>20000</v>
      </c>
      <c r="Q51" s="566">
        <v>0</v>
      </c>
      <c r="R51" s="449" t="s">
        <v>36</v>
      </c>
      <c r="S51" s="450" t="s">
        <v>6</v>
      </c>
      <c r="T51" s="429">
        <f>IF(O51="",ROUNDUP(P51,-3),O51)</f>
        <v>20000</v>
      </c>
      <c r="U51" s="436">
        <f>IF(Q51=0,IF($Y$8&lt;7,1,2),Q51)</f>
        <v>2</v>
      </c>
      <c r="V51" s="431" t="s">
        <v>127</v>
      </c>
      <c r="X51" s="1056" t="str">
        <f>IF(예산실적비교표!A41="X","",예산실적비교표!A41)</f>
        <v>기타운영비</v>
      </c>
      <c r="Y51" s="877">
        <f>ROUND((AI43-SUM(AI45:AJ53))/AA51,-3)</f>
        <v>151000</v>
      </c>
      <c r="Z51" s="1057" t="str">
        <f>IF(예산실적비교표!C41="X","",예산실적비교표!C41)</f>
        <v/>
      </c>
      <c r="AA51" s="637">
        <f>IF($Y$8&lt;&gt;예산실적비교표!$B$3,$Y$8,예산실적비교표!D41)</f>
        <v>12</v>
      </c>
      <c r="AB51" s="1056" t="str">
        <f>IF(예산실적비교표!E41="X","",예산실적비교표!E41)</f>
        <v>비품구입비</v>
      </c>
      <c r="AC51" s="886">
        <f>AC50-SUM(AC52:AC60)</f>
        <v>100000</v>
      </c>
      <c r="AD51" s="1056" t="str">
        <f>IF(예산실적비교표!G41="X","",예산실적비교표!G41)</f>
        <v>기저귀 등</v>
      </c>
      <c r="AE51" s="886">
        <f>AE50-SUM(AE52:AE60)</f>
        <v>150000</v>
      </c>
      <c r="AF51" s="637">
        <f>IF($Y$8&lt;&gt;예산실적비교표!$B$3,$Y$8,예산실적비교표!I41)</f>
        <v>12</v>
      </c>
      <c r="AH51" s="334" t="str">
        <f>세출예산서!L162</f>
        <v xml:space="preserve">  - </v>
      </c>
      <c r="AI51" s="1390">
        <f>세출예산서!V162</f>
        <v>0</v>
      </c>
      <c r="AJ51" s="1391"/>
      <c r="AL51" s="1049" t="s">
        <v>721</v>
      </c>
      <c r="AM51" s="1049" t="s">
        <v>722</v>
      </c>
      <c r="AN51" s="1049" t="s">
        <v>723</v>
      </c>
      <c r="AP51" s="1128" t="str">
        <f>IF(예산실적비교표!AL51&lt;&gt;"",예산실적비교표!AL51,"")</f>
        <v/>
      </c>
      <c r="AQ51" s="1129" t="str">
        <f>IF(예산실적비교표!AM51&lt;&gt;"",예산실적비교표!AM51,"")</f>
        <v/>
      </c>
      <c r="AR51" s="1130">
        <f>IF(예산실적비교표!AN51&lt;&gt;"",예산실적비교표!AN51,0)</f>
        <v>0</v>
      </c>
      <c r="AS51" s="1131">
        <f>IF(예산실적비교표!AO51&lt;&gt;"",예산실적비교표!AO51,0)</f>
        <v>0</v>
      </c>
      <c r="AT51" s="1118">
        <f t="shared" si="5"/>
        <v>0</v>
      </c>
      <c r="AU51" s="1132">
        <f>IF(예산실적비교표!AQ51&lt;&gt;"",예산실적비교표!AQ51,0)</f>
        <v>0</v>
      </c>
      <c r="AV51" s="1120">
        <f t="shared" si="6"/>
        <v>0</v>
      </c>
      <c r="AW51" s="1121">
        <f>IF(AR51="","",ROUND((AT51*$AT$7)*데이터입력!$AE$14+(AT51*$AU$7)*데이터입력!$AE$14+(AT51*$AU$7*$AV$7)*데이터입력!$AE$14+(AT51*$AW$7)*데이터입력!$AE$14+(AT51*$AX$7)*데이터입력!$AE$14,-1))</f>
        <v>0</v>
      </c>
      <c r="AX51" s="1122">
        <f t="shared" si="7"/>
        <v>0</v>
      </c>
      <c r="AY51" s="1123">
        <f>IFERROR(IF(AR51+AS51=0,0,ROUND(IF(데이터입력!$AE$14=100%,ROUND(AR51*$AR$1,-3),ROUND(AR51*$AR$1,-3)-ROUND(((AR51*$AR$1)*$AT$4)*(데이터입력!$AE$14-100%)+((AR51*$AR$1)*$AU$4)*(데이터입력!$AE$14-100%)+((AR51*$AR$1)*$AU$4*$AV$4)*(데이터입력!$AE$14-100%)+((AR51*$AR$1)*$AW$4)*(데이터입력!$AE$14-100%),-1)),0)),0)</f>
        <v>0</v>
      </c>
      <c r="AZ51" s="1124">
        <f>IFERROR(IF(AR51+AS51=0,0,IF(데이터입력!$AE$12=100%,(AT51),(AT51)+ROUND(AT51*(데이터입력!$AE$12-100%),-1))),0)</f>
        <v>0</v>
      </c>
      <c r="BA51" s="1263" t="str">
        <f t="shared" si="8"/>
        <v/>
      </c>
      <c r="BB51" s="1284" t="str">
        <f>IF(BA51="","",IF(데이터입력!$O$68="",ROUND(AZ51/12,0),ROUND(데이터입력!$O$68/데이터입력!$Y$8/$BC$11,0)))</f>
        <v/>
      </c>
      <c r="BC51" s="1297" t="s">
        <v>764</v>
      </c>
      <c r="BD51" s="1613" t="s">
        <v>785</v>
      </c>
      <c r="BE51" s="1614"/>
      <c r="BF51" s="1614"/>
      <c r="BG51" s="1615"/>
    </row>
    <row r="52" spans="1:59">
      <c r="A52" s="1046">
        <f>IF($AM$1=TRUE,IF(K52="","",SUBTOTAL(2,$K$3:K52)),IF(AND(M52="",N52=""),"",IF(N52="",COUNT($M$3:M52),COUNT($N$3:N52)+200)))</f>
        <v>15</v>
      </c>
      <c r="B52" s="365" t="s">
        <v>50</v>
      </c>
      <c r="C52" s="365" t="s">
        <v>562</v>
      </c>
      <c r="D52" s="364">
        <v>501020101</v>
      </c>
      <c r="E52" s="364" t="s">
        <v>83</v>
      </c>
      <c r="F52" s="364" t="s">
        <v>80</v>
      </c>
      <c r="G52" s="366">
        <f>IFERROR(IF($E52="06",VLOOKUP($B52,예산실적비교표!$O$7:$R$200,2,FALSE),0),0)</f>
        <v>3600000</v>
      </c>
      <c r="H52" s="366">
        <f>IFERROR(IF($E52="06",VLOOKUP($C52,세출예산서!$K$3:$X$304,12,FALSE),0),0)</f>
        <v>1800000</v>
      </c>
      <c r="I52" s="366">
        <f>IFERROR(IF($E52="07",VLOOKUP($C52,세출예산서!$K$3:$X$304,13,FALSE),0),0)</f>
        <v>0</v>
      </c>
      <c r="J52" s="366">
        <f>IFERROR(IF($E52="05",VLOOKUP($C52,세출예산서!$K$3:$X$304,14,FALSE),0),0)</f>
        <v>0</v>
      </c>
      <c r="K52" s="366">
        <f t="shared" si="15"/>
        <v>-1800000</v>
      </c>
      <c r="L52" s="367">
        <f>IFERROR(IF($AB$2="",0,ROUNDUP(VLOOKUP($B52,예산실적비교표!$O$7:$R$200,3,FALSE)*$Y$7/$Y$9,-3)*$Y$8),0)</f>
        <v>720000</v>
      </c>
      <c r="M52" s="708">
        <f>IF($AM$1=TRUE,IF(K52="","",IF(IF($AE$2="",IF(K52="","",SUBTOTAL(2,$K$3:K52)),IF(AND(G52&gt;=0,K52=""),"",IF(AND(G52&gt;0,OR(K52&gt;0,K52&lt;0)),SUBTOTAL(2,$K$3:K52),IF(AND(G52=0,OR(K52&gt;0,K52&lt;0)),SUBTOTAL(2,$K$3:K52)+200,""))))&gt;200,"",1)),IF(K52="","",IF(IF($AE$2="",IF(K52="","",SUBTOTAL(2,$K$3:K52)),IF(AND(G52&gt;=0,K52=""),"",IF(AND(G52&gt;0,OR(K52&gt;0,K52&lt;0)),SUBTOTAL(2,$K$3:K52),IF(AND(G52=0,OR(K52&gt;0,K52&lt;0)),SUBTOTAL(2,$K$3:K52)+200,""))))&gt;200,"",1)))</f>
        <v>1</v>
      </c>
      <c r="N52" s="214" t="str">
        <f>IF($AM$1=TRUE,IF(K52="","",IF(IF($AE$2="",IF(K52="","",SUBTOTAL(2,$K$3:K52)),IF(AND(G52&gt;=0,K52=""),"",IF(AND(G52&gt;0,OR(K52&gt;0,K52&lt;0)),SUBTOTAL(2,$K$3:K52),IF(AND(G52=0,OR(K52&gt;0,K52&lt;0)),SUBTOTAL(2,$K$3:K52)+200,""))))&lt;=200,"",2)),IF(K52="","",IF(IF($AE$2="",IF(K52="","",SUBTOTAL(2,$K$3:K52)),IF(AND(G52&gt;=0,K52=""),"",IF(AND(G52&gt;0,OR(K52&gt;0,K52&lt;0)),SUBTOTAL(2,$K$3:K52),IF(AND(G52=0,OR(K52&gt;0,K52&lt;0)),SUBTOTAL(2,$K$3:K52)+200,""))))&lt;=200,"",2)))</f>
        <v/>
      </c>
      <c r="O52" s="538"/>
      <c r="P52" s="435">
        <f>IFERROR(IF(VLOOKUP(R52,$B$1:$L$28,11,FALSE)&gt;0,ROUNDUP(VLOOKUP(R52,$B$1:$L$28,11,FALSE)/U52/Y8,-3),IF(VLOOKUP(R52,$B$1:$L$28,6,FALSE)=0,0,VLOOKUP(R52,예산평균!$B:$D,3,FALSE))),0)</f>
        <v>0</v>
      </c>
      <c r="Q52" s="547">
        <v>0</v>
      </c>
      <c r="R52" s="451" t="s">
        <v>37</v>
      </c>
      <c r="S52" s="452" t="s">
        <v>6</v>
      </c>
      <c r="T52" s="429">
        <f>IF(O52="",P52,O52)</f>
        <v>0</v>
      </c>
      <c r="U52" s="453">
        <f>IF(Q52=0,$Y$27+$Y$28,Q52)</f>
        <v>8</v>
      </c>
      <c r="V52" s="447" t="s">
        <v>141</v>
      </c>
      <c r="X52" s="656" t="str">
        <f>IF(예산실적비교표!A42="X","",예산실적비교표!A42)</f>
        <v>직원상여금</v>
      </c>
      <c r="Y52" s="636">
        <f>IF($AB$2="",0,예산실적비교표!B42)</f>
        <v>50000</v>
      </c>
      <c r="Z52" s="1057">
        <f>IF(예산실적비교표!C42="X","",$Y$27+$Y$28)</f>
        <v>8</v>
      </c>
      <c r="AA52" s="637">
        <v>1</v>
      </c>
      <c r="AB52" s="656" t="str">
        <f>IF(예산실적비교표!E42="X","",예산실적비교표!E42)</f>
        <v/>
      </c>
      <c r="AC52" s="880">
        <f>IF($AB$2="",0,예산실적비교표!F42)</f>
        <v>0</v>
      </c>
      <c r="AD52" s="656" t="str">
        <f>IF(예산실적비교표!G42="X","",예산실적비교표!G42)</f>
        <v>욕실용품 등</v>
      </c>
      <c r="AE52" s="880">
        <f>IF($AB$2="",0,IF(예산실적비교표!H42=0,ROUND($AE$50*20%,-3),예산실적비교표!H42))</f>
        <v>50000</v>
      </c>
      <c r="AF52" s="637">
        <f>IF($Y$8&lt;&gt;예산실적비교표!$B$3,$Y$8,예산실적비교표!I42)</f>
        <v>12</v>
      </c>
      <c r="AH52" s="334" t="str">
        <f>세출예산서!L163</f>
        <v xml:space="preserve">  - </v>
      </c>
      <c r="AI52" s="1390">
        <f>세출예산서!V163</f>
        <v>0</v>
      </c>
      <c r="AJ52" s="1391"/>
      <c r="AL52" s="1049" t="s">
        <v>724</v>
      </c>
      <c r="AM52" s="1049" t="s">
        <v>724</v>
      </c>
      <c r="AN52" s="1049" t="s">
        <v>724</v>
      </c>
      <c r="AP52" s="1128" t="str">
        <f>IF(예산실적비교표!AL52&lt;&gt;"",예산실적비교표!AL52,"")</f>
        <v/>
      </c>
      <c r="AQ52" s="1129" t="str">
        <f>IF(예산실적비교표!AM52&lt;&gt;"",예산실적비교표!AM52,"")</f>
        <v/>
      </c>
      <c r="AR52" s="1130">
        <f>IF(예산실적비교표!AN52&lt;&gt;"",예산실적비교표!AN52,0)</f>
        <v>0</v>
      </c>
      <c r="AS52" s="1131">
        <f>IF(예산실적비교표!AO52&lt;&gt;"",예산실적비교표!AO52,0)</f>
        <v>0</v>
      </c>
      <c r="AT52" s="1118">
        <f t="shared" si="5"/>
        <v>0</v>
      </c>
      <c r="AU52" s="1132">
        <f>IF(예산실적비교표!AQ52&lt;&gt;"",예산실적비교표!AQ52,0)</f>
        <v>0</v>
      </c>
      <c r="AV52" s="1120">
        <f t="shared" si="6"/>
        <v>0</v>
      </c>
      <c r="AW52" s="1121">
        <f>IF(AR52="","",ROUND((AT52*$AT$7)*데이터입력!$AE$14+(AT52*$AU$7)*데이터입력!$AE$14+(AT52*$AU$7*$AV$7)*데이터입력!$AE$14+(AT52*$AW$7)*데이터입력!$AE$14+(AT52*$AX$7)*데이터입력!$AE$14,-1))</f>
        <v>0</v>
      </c>
      <c r="AX52" s="1122">
        <f t="shared" si="7"/>
        <v>0</v>
      </c>
      <c r="AY52" s="1123">
        <f>IFERROR(IF(AR52+AS52=0,0,ROUND(IF(데이터입력!$AE$14=100%,ROUND(AR52*$AR$1,-3),ROUND(AR52*$AR$1,-3)-ROUND(((AR52*$AR$1)*$AT$4)*(데이터입력!$AE$14-100%)+((AR52*$AR$1)*$AU$4)*(데이터입력!$AE$14-100%)+((AR52*$AR$1)*$AU$4*$AV$4)*(데이터입력!$AE$14-100%)+((AR52*$AR$1)*$AW$4)*(데이터입력!$AE$14-100%),-1)),0)),0)</f>
        <v>0</v>
      </c>
      <c r="AZ52" s="1124">
        <f>IFERROR(IF(AR52+AS52=0,0,IF(데이터입력!$AE$12=100%,(AT52),(AT52)+ROUND(AT52*(데이터입력!$AE$12-100%),-1))),0)</f>
        <v>0</v>
      </c>
      <c r="BA52" s="1263" t="str">
        <f t="shared" si="8"/>
        <v/>
      </c>
      <c r="BB52" s="1284" t="str">
        <f>IF(BA52="","",IF(데이터입력!$O$68="",ROUND(AZ52/12,0),ROUND(데이터입력!$O$68/데이터입력!$Y$8/$BC$11,0)))</f>
        <v/>
      </c>
      <c r="BC52" s="1285" t="s">
        <v>769</v>
      </c>
      <c r="BD52" s="1287" t="s">
        <v>780</v>
      </c>
      <c r="BE52" s="388" t="s">
        <v>780</v>
      </c>
      <c r="BF52" s="388" t="s">
        <v>778</v>
      </c>
      <c r="BG52" s="1288" t="s">
        <v>777</v>
      </c>
    </row>
    <row r="53" spans="1:59" ht="17.25" thickBot="1">
      <c r="A53" s="1046">
        <f>IF($AM$1=TRUE,IF(K53="","",SUBTOTAL(2,$K$3:K53)),IF(AND(M53="",N53=""),"",IF(N53="",COUNT($M$3:M53),COUNT($N$3:N53)+200)))</f>
        <v>16</v>
      </c>
      <c r="B53" s="365" t="s">
        <v>51</v>
      </c>
      <c r="C53" s="365" t="s">
        <v>563</v>
      </c>
      <c r="D53" s="364">
        <v>501020201</v>
      </c>
      <c r="E53" s="364" t="s">
        <v>83</v>
      </c>
      <c r="F53" s="364" t="s">
        <v>80</v>
      </c>
      <c r="G53" s="366">
        <f>IFERROR(IF($E53="06",VLOOKUP($B53,예산실적비교표!$O$7:$R$200,2,FALSE),0),0)</f>
        <v>8400000</v>
      </c>
      <c r="H53" s="366">
        <f>IFERROR(IF($E53="06",VLOOKUP($C53,세출예산서!$K$3:$X$304,12,FALSE),0),0)</f>
        <v>9000000</v>
      </c>
      <c r="I53" s="366">
        <f>IFERROR(IF($E53="07",VLOOKUP($C53,세출예산서!$K$3:$X$304,13,FALSE),0),0)</f>
        <v>0</v>
      </c>
      <c r="J53" s="366">
        <f>IFERROR(IF($E53="05",VLOOKUP($C53,세출예산서!$K$3:$X$304,14,FALSE),0),0)</f>
        <v>0</v>
      </c>
      <c r="K53" s="366">
        <f t="shared" si="15"/>
        <v>600000</v>
      </c>
      <c r="L53" s="367">
        <f>IFERROR(IF($AB$2="",0,ROUNDUP(VLOOKUP($B53,예산실적비교표!$O$7:$R$200,3,FALSE)*$Y$7/$Y$9,-3)*$Y$8),0)</f>
        <v>8400000</v>
      </c>
      <c r="M53" s="708">
        <f>IF($AM$1=TRUE,IF(K53="","",IF(IF($AE$2="",IF(K53="","",SUBTOTAL(2,$K$3:K53)),IF(AND(G53&gt;=0,K53=""),"",IF(AND(G53&gt;0,OR(K53&gt;0,K53&lt;0)),SUBTOTAL(2,$K$3:K53),IF(AND(G53=0,OR(K53&gt;0,K53&lt;0)),SUBTOTAL(2,$K$3:K53)+200,""))))&gt;200,"",1)),IF(K53="","",IF(IF($AE$2="",IF(K53="","",SUBTOTAL(2,$K$3:K53)),IF(AND(G53&gt;=0,K53=""),"",IF(AND(G53&gt;0,OR(K53&gt;0,K53&lt;0)),SUBTOTAL(2,$K$3:K53),IF(AND(G53=0,OR(K53&gt;0,K53&lt;0)),SUBTOTAL(2,$K$3:K53)+200,""))))&gt;200,"",1)))</f>
        <v>1</v>
      </c>
      <c r="N53" s="214" t="str">
        <f>IF($AM$1=TRUE,IF(K53="","",IF(IF($AE$2="",IF(K53="","",SUBTOTAL(2,$K$3:K53)),IF(AND(G53&gt;=0,K53=""),"",IF(AND(G53&gt;0,OR(K53&gt;0,K53&lt;0)),SUBTOTAL(2,$K$3:K53),IF(AND(G53=0,OR(K53&gt;0,K53&lt;0)),SUBTOTAL(2,$K$3:K53)+200,""))))&lt;=200,"",2)),IF(K53="","",IF(IF($AE$2="",IF(K53="","",SUBTOTAL(2,$K$3:K53)),IF(AND(G53&gt;=0,K53=""),"",IF(AND(G53&gt;0,OR(K53&gt;0,K53&lt;0)),SUBTOTAL(2,$K$3:K53),IF(AND(G53=0,OR(K53&gt;0,K53&lt;0)),SUBTOTAL(2,$K$3:K53)+200,""))))&lt;=200,"",2)))</f>
        <v/>
      </c>
      <c r="O53" s="539"/>
      <c r="P53" s="454">
        <f>IFERROR(IF($AE$2="추경",IF(VLOOKUP(R53,$B$1:$L$28,11,FALSE)&gt;=VLOOKUP(R53,$B$1:$L$28,6,FALSE),VLOOKUP(R53,$B$1:$L$28,6,FALSE),VLOOKUP(R53,예산평균!$B:$D,3,FALSE)),IF(VLOOKUP(R53,$B$1:$L$28,11,FALSE)&gt;0,IF(VLOOKUP(R53,$B$1:$L$28,11,FALSE)&lt;VLOOKUP(R53,예산평균!$B:$D,3,FALSE),VLOOKUP(R53,예산평균!$B:$D,3,FALSE),ROUNDUP(VLOOKUP(R53,$B$1:$L$28,6,FALSE),-4)),VLOOKUP(R53,예산평균!$B:$D,3,FALSE))),0)</f>
        <v>9600000</v>
      </c>
      <c r="Q53" s="926"/>
      <c r="R53" s="455" t="s">
        <v>128</v>
      </c>
      <c r="S53" s="456" t="s">
        <v>6</v>
      </c>
      <c r="T53" s="457">
        <f t="shared" si="14"/>
        <v>9600000</v>
      </c>
      <c r="U53" s="458">
        <f>IF(Q53=0,$Y$8,Q53)</f>
        <v>12</v>
      </c>
      <c r="V53" s="459" t="s">
        <v>142</v>
      </c>
      <c r="X53" s="656" t="str">
        <f>IF(예산실적비교표!A43="X","",예산실적비교표!A43)</f>
        <v>명절상여금</v>
      </c>
      <c r="Y53" s="636">
        <f>IF($AB$2="",0,예산실적비교표!B43)</f>
        <v>30000</v>
      </c>
      <c r="Z53" s="1057">
        <f>IF(예산실적비교표!C43="X","",$Y$27+$Y$28)</f>
        <v>8</v>
      </c>
      <c r="AA53" s="637">
        <v>2</v>
      </c>
      <c r="AB53" s="656" t="str">
        <f>IF(예산실적비교표!E43="X","",예산실적비교표!E43)</f>
        <v/>
      </c>
      <c r="AC53" s="880">
        <f>IF($AB$2="",0,예산실적비교표!F43)</f>
        <v>0</v>
      </c>
      <c r="AD53" s="656" t="str">
        <f>IF(예산실적비교표!G43="X","",예산실적비교표!G43)</f>
        <v>기타(이불,피복비 등)</v>
      </c>
      <c r="AE53" s="880">
        <f>IF($AB$2="",0,IF(예산실적비교표!H43=0,ROUND($AE$50*20%,-3),예산실적비교표!H43))</f>
        <v>50000</v>
      </c>
      <c r="AF53" s="637">
        <f>IF($Y$8&lt;&gt;예산실적비교표!$B$3,$Y$8,예산실적비교표!I43)</f>
        <v>12</v>
      </c>
      <c r="AH53" s="357" t="str">
        <f>세출예산서!L164</f>
        <v xml:space="preserve">  - </v>
      </c>
      <c r="AI53" s="1390">
        <f>세출예산서!V164</f>
        <v>0</v>
      </c>
      <c r="AJ53" s="1391"/>
      <c r="AL53" s="1049" t="s">
        <v>725</v>
      </c>
      <c r="AM53" s="1049" t="s">
        <v>725</v>
      </c>
      <c r="AN53" s="1049" t="s">
        <v>725</v>
      </c>
      <c r="AP53" s="1128" t="str">
        <f>IF(예산실적비교표!AL53&lt;&gt;"",예산실적비교표!AL53,"")</f>
        <v/>
      </c>
      <c r="AQ53" s="1129" t="str">
        <f>IF(예산실적비교표!AM53&lt;&gt;"",예산실적비교표!AM53,"")</f>
        <v/>
      </c>
      <c r="AR53" s="1130">
        <f>IF(예산실적비교표!AN53&lt;&gt;"",예산실적비교표!AN53,0)</f>
        <v>0</v>
      </c>
      <c r="AS53" s="1131">
        <f>IF(예산실적비교표!AO53&lt;&gt;"",예산실적비교표!AO53,0)</f>
        <v>0</v>
      </c>
      <c r="AT53" s="1118">
        <f t="shared" si="5"/>
        <v>0</v>
      </c>
      <c r="AU53" s="1132">
        <f>IF(예산실적비교표!AQ53&lt;&gt;"",예산실적비교표!AQ53,0)</f>
        <v>0</v>
      </c>
      <c r="AV53" s="1120">
        <f t="shared" si="6"/>
        <v>0</v>
      </c>
      <c r="AW53" s="1121">
        <f>IF(AR53="","",ROUND((AT53*$AT$7)*데이터입력!$AE$14+(AT53*$AU$7)*데이터입력!$AE$14+(AT53*$AU$7*$AV$7)*데이터입력!$AE$14+(AT53*$AW$7)*데이터입력!$AE$14+(AT53*$AX$7)*데이터입력!$AE$14,-1))</f>
        <v>0</v>
      </c>
      <c r="AX53" s="1122">
        <f t="shared" si="7"/>
        <v>0</v>
      </c>
      <c r="AY53" s="1123">
        <f>IFERROR(IF(AR53+AS53=0,0,ROUND(IF(데이터입력!$AE$14=100%,ROUND(AR53*$AR$1,-3),ROUND(AR53*$AR$1,-3)-ROUND(((AR53*$AR$1)*$AT$4)*(데이터입력!$AE$14-100%)+((AR53*$AR$1)*$AU$4)*(데이터입력!$AE$14-100%)+((AR53*$AR$1)*$AU$4*$AV$4)*(데이터입력!$AE$14-100%)+((AR53*$AR$1)*$AW$4)*(데이터입력!$AE$14-100%),-1)),0)),0)</f>
        <v>0</v>
      </c>
      <c r="AZ53" s="1124">
        <f>IFERROR(IF(AR53+AS53=0,0,IF(데이터입력!$AE$12=100%,(AT53),(AT53)+ROUND(AT53*(데이터입력!$AE$12-100%),-1))),0)</f>
        <v>0</v>
      </c>
      <c r="BA53" s="1263" t="str">
        <f t="shared" si="8"/>
        <v/>
      </c>
      <c r="BB53" s="1284" t="str">
        <f>IF(BA53="","",IF(데이터입력!$O$68="",ROUND(AZ53/12,0),ROUND(데이터입력!$O$68/데이터입력!$Y$8/$BC$11,0)))</f>
        <v/>
      </c>
      <c r="BC53" s="1285" t="s">
        <v>770</v>
      </c>
      <c r="BD53" s="1287" t="s">
        <v>780</v>
      </c>
      <c r="BE53" s="388" t="s">
        <v>780</v>
      </c>
      <c r="BF53" s="388" t="s">
        <v>778</v>
      </c>
      <c r="BG53" s="1288" t="s">
        <v>777</v>
      </c>
    </row>
    <row r="54" spans="1:59" ht="17.25" thickBot="1">
      <c r="A54" s="1046" t="str">
        <f>IF($AM$1=TRUE,IF(K54="","",SUBTOTAL(2,$K$3:K54)),IF(AND(M54="",N54=""),"",IF(N54="",COUNT($M$3:M54),COUNT($N$3:N54)+200)))</f>
        <v/>
      </c>
      <c r="B54" s="365" t="s">
        <v>52</v>
      </c>
      <c r="C54" s="365" t="s">
        <v>564</v>
      </c>
      <c r="D54" s="364">
        <v>501020301</v>
      </c>
      <c r="E54" s="364" t="s">
        <v>83</v>
      </c>
      <c r="F54" s="364" t="s">
        <v>80</v>
      </c>
      <c r="G54" s="366">
        <f>IFERROR(IF($E54="06",VLOOKUP($B54,예산실적비교표!$O$7:$R$200,2,FALSE),0),0)</f>
        <v>0</v>
      </c>
      <c r="H54" s="366">
        <f>IFERROR(IF($E54="06",VLOOKUP($C54,세출예산서!$K$3:$X$304,12,FALSE),0),0)</f>
        <v>0</v>
      </c>
      <c r="I54" s="366">
        <f>IFERROR(IF($E54="07",VLOOKUP($C54,세출예산서!$K$3:$X$304,13,FALSE),0),0)</f>
        <v>0</v>
      </c>
      <c r="J54" s="366">
        <f>IFERROR(IF($E54="05",VLOOKUP($C54,세출예산서!$K$3:$X$304,14,FALSE),0),0)</f>
        <v>0</v>
      </c>
      <c r="K54" s="366" t="str">
        <f t="shared" si="15"/>
        <v/>
      </c>
      <c r="L54" s="367">
        <f>IFERROR(IF($AB$2="",0,ROUNDUP(VLOOKUP($B54,예산실적비교표!$O$7:$R$200,3,FALSE)*$Y$7/$Y$9,-3)*$Y$8),0)</f>
        <v>0</v>
      </c>
      <c r="M54" s="708" t="str">
        <f>IF($AM$1=TRUE,IF(K54="","",IF(IF($AE$2="",IF(K54="","",SUBTOTAL(2,$K$3:K54)),IF(AND(G54&gt;=0,K54=""),"",IF(AND(G54&gt;0,OR(K54&gt;0,K54&lt;0)),SUBTOTAL(2,$K$3:K54),IF(AND(G54=0,OR(K54&gt;0,K54&lt;0)),SUBTOTAL(2,$K$3:K54)+200,""))))&gt;200,"",1)),IF(K54="","",IF(IF($AE$2="",IF(K54="","",SUBTOTAL(2,$K$3:K54)),IF(AND(G54&gt;=0,K54=""),"",IF(AND(G54&gt;0,OR(K54&gt;0,K54&lt;0)),SUBTOTAL(2,$K$3:K54),IF(AND(G54=0,OR(K54&gt;0,K54&lt;0)),SUBTOTAL(2,$K$3:K54)+200,""))))&gt;200,"",1)))</f>
        <v/>
      </c>
      <c r="N54" s="214" t="str">
        <f>IF($AM$1=TRUE,IF(K54="","",IF(IF($AE$2="",IF(K54="","",SUBTOTAL(2,$K$3:K54)),IF(AND(G54&gt;=0,K54=""),"",IF(AND(G54&gt;0,OR(K54&gt;0,K54&lt;0)),SUBTOTAL(2,$K$3:K54),IF(AND(G54=0,OR(K54&gt;0,K54&lt;0)),SUBTOTAL(2,$K$3:K54)+200,""))))&lt;=200,"",2)),IF(K54="","",IF(IF($AE$2="",IF(K54="","",SUBTOTAL(2,$K$3:K54)),IF(AND(G54&gt;=0,K54=""),"",IF(AND(G54&gt;0,OR(K54&gt;0,K54&lt;0)),SUBTOTAL(2,$K$3:K54),IF(AND(G54=0,OR(K54&gt;0,K54&lt;0)),SUBTOTAL(2,$K$3:K54)+200,""))))&lt;=200,"",2)))</f>
        <v/>
      </c>
      <c r="O54" s="540"/>
      <c r="P54" s="427">
        <f t="shared" ref="P54:P57" si="16">IFERROR(IF(VLOOKUP(R54,$B$29:$L$34,11,FALSE)&gt;0,VLOOKUP(R54,$B$29:$L$34,11,FALSE),0),0)</f>
        <v>0</v>
      </c>
      <c r="Q54" s="551">
        <v>0</v>
      </c>
      <c r="R54" s="460" t="s">
        <v>13</v>
      </c>
      <c r="S54" s="461" t="s">
        <v>14</v>
      </c>
      <c r="T54" s="462">
        <f t="shared" si="14"/>
        <v>0</v>
      </c>
      <c r="U54" s="463">
        <f>IF(Q54=0,$Y$8,Q54)</f>
        <v>12</v>
      </c>
      <c r="V54" s="464" t="s">
        <v>142</v>
      </c>
      <c r="X54" s="656" t="str">
        <f>IF(예산실적비교표!A44="X","",예산실적비교표!A44)</f>
        <v>직원교육비</v>
      </c>
      <c r="Y54" s="636">
        <f>IF($AB$2="",0,예산실적비교표!B44)</f>
        <v>50000</v>
      </c>
      <c r="Z54" s="1057" t="str">
        <f>IF(예산실적비교표!C44="X","",예산실적비교표!C44)</f>
        <v/>
      </c>
      <c r="AA54" s="637">
        <f>IF($Y$8&lt;&gt;예산실적비교표!$B$3,$Y$8,예산실적비교표!D44)</f>
        <v>12</v>
      </c>
      <c r="AB54" s="656" t="str">
        <f>IF(예산실적비교표!E44="X","",예산실적비교표!E44)</f>
        <v/>
      </c>
      <c r="AC54" s="880">
        <f>IF($AB$2="",0,예산실적비교표!F44)</f>
        <v>0</v>
      </c>
      <c r="AD54" s="656" t="str">
        <f>IF(예산실적비교표!G44="X","",예산실적비교표!G44)</f>
        <v/>
      </c>
      <c r="AE54" s="880">
        <f>IF($AB$2="",0,예산실적비교표!H44)</f>
        <v>0</v>
      </c>
      <c r="AF54" s="637">
        <f>IF($Y$8&lt;&gt;예산실적비교표!$B$3,$Y$8,예산실적비교표!I44)</f>
        <v>12</v>
      </c>
      <c r="AH54" s="648" t="str">
        <f>X61</f>
        <v>프로그램사업비</v>
      </c>
      <c r="AI54" s="1422">
        <f>세출예산서!$Z$238</f>
        <v>8396000</v>
      </c>
      <c r="AJ54" s="1423"/>
      <c r="AL54" s="1049" t="s">
        <v>726</v>
      </c>
      <c r="AM54" s="1049" t="s">
        <v>726</v>
      </c>
      <c r="AN54" s="1049" t="s">
        <v>726</v>
      </c>
      <c r="AP54" s="1128" t="str">
        <f>IF(예산실적비교표!AL54&lt;&gt;"",예산실적비교표!AL54,"")</f>
        <v/>
      </c>
      <c r="AQ54" s="1129" t="str">
        <f>IF(예산실적비교표!AM54&lt;&gt;"",예산실적비교표!AM54,"")</f>
        <v/>
      </c>
      <c r="AR54" s="1130">
        <f>IF(예산실적비교표!AN54&lt;&gt;"",예산실적비교표!AN54,0)</f>
        <v>0</v>
      </c>
      <c r="AS54" s="1131">
        <f>IF(예산실적비교표!AO54&lt;&gt;"",예산실적비교표!AO54,0)</f>
        <v>0</v>
      </c>
      <c r="AT54" s="1118">
        <f t="shared" si="5"/>
        <v>0</v>
      </c>
      <c r="AU54" s="1132">
        <f>IF(예산실적비교표!AQ54&lt;&gt;"",예산실적비교표!AQ54,0)</f>
        <v>0</v>
      </c>
      <c r="AV54" s="1120">
        <f t="shared" si="6"/>
        <v>0</v>
      </c>
      <c r="AW54" s="1121">
        <f>IF(AR54="","",ROUND((AT54*$AT$7)*데이터입력!$AE$14+(AT54*$AU$7)*데이터입력!$AE$14+(AT54*$AU$7*$AV$7)*데이터입력!$AE$14+(AT54*$AW$7)*데이터입력!$AE$14+(AT54*$AX$7)*데이터입력!$AE$14,-1))</f>
        <v>0</v>
      </c>
      <c r="AX54" s="1122">
        <f t="shared" si="7"/>
        <v>0</v>
      </c>
      <c r="AY54" s="1123">
        <f>IFERROR(IF(AR54+AS54=0,0,ROUND(IF(데이터입력!$AE$14=100%,ROUND(AR54*$AR$1,-3),ROUND(AR54*$AR$1,-3)-ROUND(((AR54*$AR$1)*$AT$4)*(데이터입력!$AE$14-100%)+((AR54*$AR$1)*$AU$4)*(데이터입력!$AE$14-100%)+((AR54*$AR$1)*$AU$4*$AV$4)*(데이터입력!$AE$14-100%)+((AR54*$AR$1)*$AW$4)*(데이터입력!$AE$14-100%),-1)),0)),0)</f>
        <v>0</v>
      </c>
      <c r="AZ54" s="1124">
        <f>IFERROR(IF(AR54+AS54=0,0,IF(데이터입력!$AE$12=100%,(AT54),(AT54)+ROUND(AT54*(데이터입력!$AE$12-100%),-1))),0)</f>
        <v>0</v>
      </c>
      <c r="BA54" s="1263" t="str">
        <f t="shared" si="8"/>
        <v/>
      </c>
      <c r="BB54" s="1284" t="str">
        <f>IF(BA54="","",IF(데이터입력!$O$68="",ROUND(AZ54/12,0),ROUND(데이터입력!$O$68/데이터입력!$Y$8/$BC$11,0)))</f>
        <v/>
      </c>
      <c r="BC54" s="1297" t="s">
        <v>771</v>
      </c>
      <c r="BD54" s="1295" t="s">
        <v>778</v>
      </c>
      <c r="BE54" s="1610" t="s">
        <v>782</v>
      </c>
      <c r="BF54" s="1611"/>
      <c r="BG54" s="1612"/>
    </row>
    <row r="55" spans="1:59">
      <c r="A55" s="1046" t="str">
        <f>IF($AM$1=TRUE,IF(K55="","",SUBTOTAL(2,$K$3:K55)),IF(AND(M55="",N55=""),"",IF(N55="",COUNT($M$3:M55),COUNT($N$3:N55)+200)))</f>
        <v/>
      </c>
      <c r="B55" s="365" t="s">
        <v>53</v>
      </c>
      <c r="C55" s="365" t="s">
        <v>565</v>
      </c>
      <c r="D55" s="364">
        <v>501030101</v>
      </c>
      <c r="E55" s="364" t="s">
        <v>83</v>
      </c>
      <c r="F55" s="364" t="s">
        <v>80</v>
      </c>
      <c r="G55" s="366">
        <f>IFERROR(IF($E55="06",VLOOKUP($B55,예산실적비교표!$O$7:$R$200,2,FALSE),0),0)</f>
        <v>0</v>
      </c>
      <c r="H55" s="366">
        <f>IFERROR(IF($E55="06",VLOOKUP($C55,세출예산서!$K$3:$X$304,12,FALSE),0),0)</f>
        <v>0</v>
      </c>
      <c r="I55" s="366">
        <f>IFERROR(IF($E55="07",VLOOKUP($C55,세출예산서!$K$3:$X$304,13,FALSE),0),0)</f>
        <v>0</v>
      </c>
      <c r="J55" s="366">
        <f>IFERROR(IF($E55="05",VLOOKUP($C55,세출예산서!$K$3:$X$304,14,FALSE),0),0)</f>
        <v>0</v>
      </c>
      <c r="K55" s="366" t="str">
        <f t="shared" si="15"/>
        <v/>
      </c>
      <c r="L55" s="367">
        <f>IFERROR(IF($AB$2="",0,ROUNDUP(VLOOKUP($B55,예산실적비교표!$O$7:$R$200,3,FALSE)*$Y$7/$Y$9,-3)*$Y$8),0)</f>
        <v>0</v>
      </c>
      <c r="M55" s="708" t="str">
        <f>IF($AM$1=TRUE,IF(K55="","",IF(IF($AE$2="",IF(K55="","",SUBTOTAL(2,$K$3:K55)),IF(AND(G55&gt;=0,K55=""),"",IF(AND(G55&gt;0,OR(K55&gt;0,K55&lt;0)),SUBTOTAL(2,$K$3:K55),IF(AND(G55=0,OR(K55&gt;0,K55&lt;0)),SUBTOTAL(2,$K$3:K55)+200,""))))&gt;200,"",1)),IF(K55="","",IF(IF($AE$2="",IF(K55="","",SUBTOTAL(2,$K$3:K55)),IF(AND(G55&gt;=0,K55=""),"",IF(AND(G55&gt;0,OR(K55&gt;0,K55&lt;0)),SUBTOTAL(2,$K$3:K55),IF(AND(G55=0,OR(K55&gt;0,K55&lt;0)),SUBTOTAL(2,$K$3:K55)+200,""))))&gt;200,"",1)))</f>
        <v/>
      </c>
      <c r="N55" s="214" t="str">
        <f>IF($AM$1=TRUE,IF(K55="","",IF(IF($AE$2="",IF(K55="","",SUBTOTAL(2,$K$3:K55)),IF(AND(G55&gt;=0,K55=""),"",IF(AND(G55&gt;0,OR(K55&gt;0,K55&lt;0)),SUBTOTAL(2,$K$3:K55),IF(AND(G55=0,OR(K55&gt;0,K55&lt;0)),SUBTOTAL(2,$K$3:K55)+200,""))))&lt;=200,"",2)),IF(K55="","",IF(IF($AE$2="",IF(K55="","",SUBTOTAL(2,$K$3:K55)),IF(AND(G55&gt;=0,K55=""),"",IF(AND(G55&gt;0,OR(K55&gt;0,K55&lt;0)),SUBTOTAL(2,$K$3:K55),IF(AND(G55=0,OR(K55&gt;0,K55&lt;0)),SUBTOTAL(2,$K$3:K55)+200,""))))&lt;=200,"",2)))</f>
        <v/>
      </c>
      <c r="O55" s="541"/>
      <c r="P55" s="435">
        <f t="shared" si="16"/>
        <v>0</v>
      </c>
      <c r="Q55" s="566">
        <v>0</v>
      </c>
      <c r="R55" s="467" t="s">
        <v>15</v>
      </c>
      <c r="S55" s="410" t="s">
        <v>14</v>
      </c>
      <c r="T55" s="468">
        <f t="shared" si="14"/>
        <v>0</v>
      </c>
      <c r="U55" s="469">
        <f>IF(Q55=0,$Y$8,Q55)</f>
        <v>12</v>
      </c>
      <c r="V55" s="470" t="s">
        <v>142</v>
      </c>
      <c r="X55" s="656" t="str">
        <f>IF(예산실적비교표!A45="X","",예산실적비교표!A45)</f>
        <v>경조사지원</v>
      </c>
      <c r="Y55" s="636">
        <f>IF($AB$2="",0,예산실적비교표!B45)</f>
        <v>100000</v>
      </c>
      <c r="Z55" s="1057" t="str">
        <f>IF(예산실적비교표!C45="X","",예산실적비교표!C45)</f>
        <v/>
      </c>
      <c r="AA55" s="637">
        <f>IF($Y$8&lt;&gt;예산실적비교표!$B$3,$Y$8,예산실적비교표!D45)</f>
        <v>3</v>
      </c>
      <c r="AB55" s="656" t="str">
        <f>IF(예산실적비교표!E45="X","",예산실적비교표!E45)</f>
        <v/>
      </c>
      <c r="AC55" s="880">
        <f>IF($AB$2="",0,예산실적비교표!F45)</f>
        <v>0</v>
      </c>
      <c r="AD55" s="656" t="str">
        <f>IF(예산실적비교표!G45="X","",예산실적비교표!G45)</f>
        <v/>
      </c>
      <c r="AE55" s="880">
        <f>IF($AB$2="",0,예산실적비교표!H45)</f>
        <v>0</v>
      </c>
      <c r="AF55" s="637">
        <f>IF($Y$8&lt;&gt;예산실적비교표!$B$3,$Y$8,예산실적비교표!I45)</f>
        <v>12</v>
      </c>
      <c r="AH55" s="356" t="str">
        <f>세출예산서!L239</f>
        <v xml:space="preserve">  - 재료비 등</v>
      </c>
      <c r="AI55" s="1388">
        <f>세출예산서!V239</f>
        <v>996000</v>
      </c>
      <c r="AJ55" s="1389"/>
      <c r="AL55" s="1049" t="s">
        <v>727</v>
      </c>
      <c r="AM55" s="1049" t="s">
        <v>727</v>
      </c>
      <c r="AN55" s="1049" t="s">
        <v>727</v>
      </c>
      <c r="AP55" s="1128" t="str">
        <f>IF(예산실적비교표!AL55&lt;&gt;"",예산실적비교표!AL55,"")</f>
        <v/>
      </c>
      <c r="AQ55" s="1129" t="str">
        <f>IF(예산실적비교표!AM55&lt;&gt;"",예산실적비교표!AM55,"")</f>
        <v/>
      </c>
      <c r="AR55" s="1130">
        <f>IF(예산실적비교표!AN55&lt;&gt;"",예산실적비교표!AN55,0)</f>
        <v>0</v>
      </c>
      <c r="AS55" s="1131">
        <f>IF(예산실적비교표!AO55&lt;&gt;"",예산실적비교표!AO55,0)</f>
        <v>0</v>
      </c>
      <c r="AT55" s="1118">
        <f t="shared" si="5"/>
        <v>0</v>
      </c>
      <c r="AU55" s="1132">
        <f>IF(예산실적비교표!AQ55&lt;&gt;"",예산실적비교표!AQ55,0)</f>
        <v>0</v>
      </c>
      <c r="AV55" s="1120">
        <f t="shared" si="6"/>
        <v>0</v>
      </c>
      <c r="AW55" s="1121">
        <f>IF(AR55="","",ROUND((AT55*$AT$7)*데이터입력!$AE$14+(AT55*$AU$7)*데이터입력!$AE$14+(AT55*$AU$7*$AV$7)*데이터입력!$AE$14+(AT55*$AW$7)*데이터입력!$AE$14+(AT55*$AX$7)*데이터입력!$AE$14,-1))</f>
        <v>0</v>
      </c>
      <c r="AX55" s="1122">
        <f t="shared" si="7"/>
        <v>0</v>
      </c>
      <c r="AY55" s="1123">
        <f>IFERROR(IF(AR55+AS55=0,0,ROUND(IF(데이터입력!$AE$14=100%,ROUND(AR55*$AR$1,-3),ROUND(AR55*$AR$1,-3)-ROUND(((AR55*$AR$1)*$AT$4)*(데이터입력!$AE$14-100%)+((AR55*$AR$1)*$AU$4)*(데이터입력!$AE$14-100%)+((AR55*$AR$1)*$AU$4*$AV$4)*(데이터입력!$AE$14-100%)+((AR55*$AR$1)*$AW$4)*(데이터입력!$AE$14-100%),-1)),0)),0)</f>
        <v>0</v>
      </c>
      <c r="AZ55" s="1124">
        <f>IFERROR(IF(AR55+AS55=0,0,IF(데이터입력!$AE$12=100%,(AT55),(AT55)+ROUND(AT55*(데이터입력!$AE$12-100%),-1))),0)</f>
        <v>0</v>
      </c>
      <c r="BA55" s="1263" t="str">
        <f t="shared" si="8"/>
        <v/>
      </c>
      <c r="BB55" s="1284" t="str">
        <f>IF(BA55="","",IF(데이터입력!$O$68="",ROUND(AZ55/12,0),ROUND(데이터입력!$O$68/데이터입력!$Y$8/$BC$11,0)))</f>
        <v/>
      </c>
      <c r="BC55" s="1285" t="s">
        <v>772</v>
      </c>
      <c r="BD55" s="1287" t="s">
        <v>780</v>
      </c>
      <c r="BE55" s="388" t="s">
        <v>778</v>
      </c>
      <c r="BF55" s="388" t="s">
        <v>778</v>
      </c>
      <c r="BG55" s="1288" t="s">
        <v>784</v>
      </c>
    </row>
    <row r="56" spans="1:59" ht="17.25" thickBot="1">
      <c r="A56" s="1046">
        <f>IF($AM$1=TRUE,IF(K56="","",SUBTOTAL(2,$K$3:K56)),IF(AND(M56="",N56=""),"",IF(N56="",COUNT($M$3:M56),COUNT($N$3:N56)+200)))</f>
        <v>17</v>
      </c>
      <c r="B56" s="365" t="s">
        <v>54</v>
      </c>
      <c r="C56" s="365" t="s">
        <v>566</v>
      </c>
      <c r="D56" s="364">
        <v>501030201</v>
      </c>
      <c r="E56" s="364" t="s">
        <v>83</v>
      </c>
      <c r="F56" s="364" t="s">
        <v>80</v>
      </c>
      <c r="G56" s="366">
        <f>IFERROR(IF($E56="06",VLOOKUP($B56,예산실적비교표!$O$7:$R$200,2,FALSE),0),0)</f>
        <v>4800000</v>
      </c>
      <c r="H56" s="366">
        <f>IFERROR(IF($E56="06",VLOOKUP($C56,세출예산서!$K$3:$X$304,12,FALSE),0),0)</f>
        <v>6600000</v>
      </c>
      <c r="I56" s="366">
        <f>IFERROR(IF($E56="07",VLOOKUP($C56,세출예산서!$K$3:$X$304,13,FALSE),0),0)</f>
        <v>0</v>
      </c>
      <c r="J56" s="366">
        <f>IFERROR(IF($E56="05",VLOOKUP($C56,세출예산서!$K$3:$X$304,14,FALSE),0),0)</f>
        <v>0</v>
      </c>
      <c r="K56" s="366">
        <f t="shared" si="15"/>
        <v>1800000</v>
      </c>
      <c r="L56" s="367">
        <f>IFERROR(IF($AB$2="",0,ROUNDUP(VLOOKUP($B56,예산실적비교표!$O$7:$R$200,3,FALSE)*$Y$7/$Y$9,-3)*$Y$8),0)</f>
        <v>5364000</v>
      </c>
      <c r="M56" s="708">
        <f>IF($AM$1=TRUE,IF(K56="","",IF(IF($AE$2="",IF(K56="","",SUBTOTAL(2,$K$3:K56)),IF(AND(G56&gt;=0,K56=""),"",IF(AND(G56&gt;0,OR(K56&gt;0,K56&lt;0)),SUBTOTAL(2,$K$3:K56),IF(AND(G56=0,OR(K56&gt;0,K56&lt;0)),SUBTOTAL(2,$K$3:K56)+200,""))))&gt;200,"",1)),IF(K56="","",IF(IF($AE$2="",IF(K56="","",SUBTOTAL(2,$K$3:K56)),IF(AND(G56&gt;=0,K56=""),"",IF(AND(G56&gt;0,OR(K56&gt;0,K56&lt;0)),SUBTOTAL(2,$K$3:K56),IF(AND(G56=0,OR(K56&gt;0,K56&lt;0)),SUBTOTAL(2,$K$3:K56)+200,""))))&gt;200,"",1)))</f>
        <v>1</v>
      </c>
      <c r="N56" s="214" t="str">
        <f>IF($AM$1=TRUE,IF(K56="","",IF(IF($AE$2="",IF(K56="","",SUBTOTAL(2,$K$3:K56)),IF(AND(G56&gt;=0,K56=""),"",IF(AND(G56&gt;0,OR(K56&gt;0,K56&lt;0)),SUBTOTAL(2,$K$3:K56),IF(AND(G56=0,OR(K56&gt;0,K56&lt;0)),SUBTOTAL(2,$K$3:K56)+200,""))))&lt;=200,"",2)),IF(K56="","",IF(IF($AE$2="",IF(K56="","",SUBTOTAL(2,$K$3:K56)),IF(AND(G56&gt;=0,K56=""),"",IF(AND(G56&gt;0,OR(K56&gt;0,K56&lt;0)),SUBTOTAL(2,$K$3:K56),IF(AND(G56=0,OR(K56&gt;0,K56&lt;0)),SUBTOTAL(2,$K$3:K56)+200,""))))&lt;=200,"",2)))</f>
        <v/>
      </c>
      <c r="O56" s="542"/>
      <c r="P56" s="435">
        <f t="shared" si="16"/>
        <v>0</v>
      </c>
      <c r="Q56" s="552"/>
      <c r="R56" s="467" t="s">
        <v>16</v>
      </c>
      <c r="S56" s="410" t="s">
        <v>14</v>
      </c>
      <c r="T56" s="471">
        <f>I31</f>
        <v>0</v>
      </c>
      <c r="U56" s="469">
        <v>1</v>
      </c>
      <c r="V56" s="472" t="s">
        <v>657</v>
      </c>
      <c r="X56" s="656" t="str">
        <f>IF(예산실적비교표!A46="X","",예산실적비교표!A46)</f>
        <v>직원중식지원</v>
      </c>
      <c r="Y56" s="636">
        <f>IF($AB$2="",0,예산실적비교표!B46)</f>
        <v>125000</v>
      </c>
      <c r="Z56" s="1057" t="str">
        <f>IF(예산실적비교표!C46="X","",$Y$27+$Y$28)</f>
        <v/>
      </c>
      <c r="AA56" s="637">
        <f>IF($Y$8&lt;&gt;예산실적비교표!$B$3,$Y$8,예산실적비교표!D46)</f>
        <v>12</v>
      </c>
      <c r="AB56" s="656" t="str">
        <f>IF(예산실적비교표!E46="X","",예산실적비교표!E46)</f>
        <v/>
      </c>
      <c r="AC56" s="880">
        <f>IF($AB$2="",0,예산실적비교표!F46)</f>
        <v>0</v>
      </c>
      <c r="AD56" s="656" t="str">
        <f>IF(예산실적비교표!G46="X","",예산실적비교표!G46)</f>
        <v/>
      </c>
      <c r="AE56" s="880">
        <f>IF($AB$2="",0,예산실적비교표!H46)</f>
        <v>0</v>
      </c>
      <c r="AF56" s="637">
        <f>IF($Y$8&lt;&gt;예산실적비교표!$B$3,$Y$8,예산실적비교표!I46)</f>
        <v>12</v>
      </c>
      <c r="AH56" s="334" t="str">
        <f>세출예산서!L240</f>
        <v xml:space="preserve">  - 인지기능 등</v>
      </c>
      <c r="AI56" s="1390">
        <f>세출예산서!V240</f>
        <v>3000000</v>
      </c>
      <c r="AJ56" s="1391"/>
      <c r="AL56" s="1049" t="s">
        <v>728</v>
      </c>
      <c r="AM56" s="1049" t="s">
        <v>728</v>
      </c>
      <c r="AN56" s="1049" t="s">
        <v>728</v>
      </c>
      <c r="AP56" s="1128" t="str">
        <f>IF(예산실적비교표!AL56&lt;&gt;"",예산실적비교표!AL56,"")</f>
        <v/>
      </c>
      <c r="AQ56" s="1129" t="str">
        <f>IF(예산실적비교표!AM56&lt;&gt;"",예산실적비교표!AM56,"")</f>
        <v/>
      </c>
      <c r="AR56" s="1130">
        <f>IF(예산실적비교표!AN56&lt;&gt;"",예산실적비교표!AN56,0)</f>
        <v>0</v>
      </c>
      <c r="AS56" s="1131">
        <f>IF(예산실적비교표!AO56&lt;&gt;"",예산실적비교표!AO56,0)</f>
        <v>0</v>
      </c>
      <c r="AT56" s="1118">
        <f t="shared" si="5"/>
        <v>0</v>
      </c>
      <c r="AU56" s="1132">
        <f>IF(예산실적비교표!AQ56&lt;&gt;"",예산실적비교표!AQ56,0)</f>
        <v>0</v>
      </c>
      <c r="AV56" s="1120">
        <f t="shared" si="6"/>
        <v>0</v>
      </c>
      <c r="AW56" s="1121">
        <f>IF(AR56="","",ROUND((AT56*$AT$7)*데이터입력!$AE$14+(AT56*$AU$7)*데이터입력!$AE$14+(AT56*$AU$7*$AV$7)*데이터입력!$AE$14+(AT56*$AW$7)*데이터입력!$AE$14+(AT56*$AX$7)*데이터입력!$AE$14,-1))</f>
        <v>0</v>
      </c>
      <c r="AX56" s="1122">
        <f t="shared" si="7"/>
        <v>0</v>
      </c>
      <c r="AY56" s="1123">
        <f>IFERROR(IF(AR56+AS56=0,0,ROUND(IF(데이터입력!$AE$14=100%,ROUND(AR56*$AR$1,-3),ROUND(AR56*$AR$1,-3)-ROUND(((AR56*$AR$1)*$AT$4)*(데이터입력!$AE$14-100%)+((AR56*$AR$1)*$AU$4)*(데이터입력!$AE$14-100%)+((AR56*$AR$1)*$AU$4*$AV$4)*(데이터입력!$AE$14-100%)+((AR56*$AR$1)*$AW$4)*(데이터입력!$AE$14-100%),-1)),0)),0)</f>
        <v>0</v>
      </c>
      <c r="AZ56" s="1124">
        <f>IFERROR(IF(AR56+AS56=0,0,IF(데이터입력!$AE$12=100%,(AT56),(AT56)+ROUND(AT56*(데이터입력!$AE$12-100%),-1))),0)</f>
        <v>0</v>
      </c>
      <c r="BA56" s="1263" t="str">
        <f t="shared" si="8"/>
        <v/>
      </c>
      <c r="BB56" s="1284" t="str">
        <f>IF(BA56="","",IF(데이터입력!$O$68="",ROUND(AZ56/12,0),ROUND(데이터입력!$O$68/데이터입력!$Y$8/$BC$11,0)))</f>
        <v/>
      </c>
      <c r="BC56" s="1286" t="s">
        <v>773</v>
      </c>
      <c r="BD56" s="1293" t="s">
        <v>780</v>
      </c>
      <c r="BE56" s="927" t="s">
        <v>780</v>
      </c>
      <c r="BF56" s="927" t="s">
        <v>778</v>
      </c>
      <c r="BG56" s="1294" t="s">
        <v>777</v>
      </c>
    </row>
    <row r="57" spans="1:59" ht="22.5">
      <c r="A57" s="1046">
        <f>IF($AM$1=TRUE,IF(K57="","",SUBTOTAL(2,$K$3:K57)),IF(AND(M57="",N57=""),"",IF(N57="",COUNT($M$3:M57),COUNT($N$3:N57)+200)))</f>
        <v>18</v>
      </c>
      <c r="B57" s="365" t="str">
        <f>$R$76</f>
        <v>공공요금 및 각종 세금공과금</v>
      </c>
      <c r="C57" s="365" t="str">
        <f>B57&amp;"(수익사업)"</f>
        <v>공공요금 및 각종 세금공과금(수익사업)</v>
      </c>
      <c r="D57" s="364">
        <v>501030301</v>
      </c>
      <c r="E57" s="364" t="s">
        <v>83</v>
      </c>
      <c r="F57" s="364" t="s">
        <v>80</v>
      </c>
      <c r="G57" s="366">
        <f>IFERROR(IF($E57="06",VLOOKUP($B57,예산실적비교표!$O$7:$R$200,2,FALSE),0),0)</f>
        <v>9000000</v>
      </c>
      <c r="H57" s="366">
        <f>IFERROR(IF($E57="06",VLOOKUP($C57,세출예산서!$K$3:$X$304,12,FALSE),0),0)</f>
        <v>6840000</v>
      </c>
      <c r="I57" s="366">
        <f>IFERROR(IF($E57="07",VLOOKUP($C57,세출예산서!$K$3:$X$304,13,FALSE),0),0)</f>
        <v>0</v>
      </c>
      <c r="J57" s="366">
        <f>IFERROR(IF($E57="05",VLOOKUP($C57,세출예산서!$K$3:$X$304,14,FALSE),0),0)</f>
        <v>0</v>
      </c>
      <c r="K57" s="366">
        <f t="shared" si="15"/>
        <v>-2160000</v>
      </c>
      <c r="L57" s="367">
        <f>IFERROR(IF($AB$2="",0,ROUNDUP(VLOOKUP($B57,예산실적비교표!$O$7:$R$200,3,FALSE)*$Y$7/$Y$9,-3)*$Y$8),0)</f>
        <v>5340000</v>
      </c>
      <c r="M57" s="708">
        <f>IF($AM$1=TRUE,IF(K57="","",IF(IF($AE$2="",IF(K57="","",SUBTOTAL(2,$K$3:K57)),IF(AND(G57&gt;=0,K57=""),"",IF(AND(G57&gt;0,OR(K57&gt;0,K57&lt;0)),SUBTOTAL(2,$K$3:K57),IF(AND(G57=0,OR(K57&gt;0,K57&lt;0)),SUBTOTAL(2,$K$3:K57)+200,""))))&gt;200,"",1)),IF(K57="","",IF(IF($AE$2="",IF(K57="","",SUBTOTAL(2,$K$3:K57)),IF(AND(G57&gt;=0,K57=""),"",IF(AND(G57&gt;0,OR(K57&gt;0,K57&lt;0)),SUBTOTAL(2,$K$3:K57),IF(AND(G57=0,OR(K57&gt;0,K57&lt;0)),SUBTOTAL(2,$K$3:K57)+200,""))))&gt;200,"",1)))</f>
        <v>1</v>
      </c>
      <c r="N57" s="214" t="str">
        <f>IF($AM$1=TRUE,IF(K57="","",IF(IF($AE$2="",IF(K57="","",SUBTOTAL(2,$K$3:K57)),IF(AND(G57&gt;=0,K57=""),"",IF(AND(G57&gt;0,OR(K57&gt;0,K57&lt;0)),SUBTOTAL(2,$K$3:K57),IF(AND(G57=0,OR(K57&gt;0,K57&lt;0)),SUBTOTAL(2,$K$3:K57)+200,""))))&lt;=200,"",2)),IF(K57="","",IF(IF($AE$2="",IF(K57="","",SUBTOTAL(2,$K$3:K57)),IF(AND(G57&gt;=0,K57=""),"",IF(AND(G57&gt;0,OR(K57&gt;0,K57&lt;0)),SUBTOTAL(2,$K$3:K57),IF(AND(G57=0,OR(K57&gt;0,K57&lt;0)),SUBTOTAL(2,$K$3:K57)+200,""))))&lt;=200,"",2)))</f>
        <v/>
      </c>
      <c r="O57" s="541"/>
      <c r="P57" s="435">
        <f t="shared" si="16"/>
        <v>0</v>
      </c>
      <c r="Q57" s="566">
        <v>0</v>
      </c>
      <c r="R57" s="467" t="s">
        <v>17</v>
      </c>
      <c r="S57" s="410" t="s">
        <v>14</v>
      </c>
      <c r="T57" s="468">
        <f t="shared" si="14"/>
        <v>0</v>
      </c>
      <c r="U57" s="469">
        <f>IF(Q57=0,$Y$8,Q57)</f>
        <v>12</v>
      </c>
      <c r="V57" s="470" t="s">
        <v>142</v>
      </c>
      <c r="X57" s="656" t="str">
        <f>IF(예산실적비교표!A47="X","",예산실적비교표!A47)</f>
        <v/>
      </c>
      <c r="Y57" s="636">
        <f>IF($AB$2="",0,예산실적비교표!B47)</f>
        <v>0</v>
      </c>
      <c r="Z57" s="1057" t="str">
        <f>IF(예산실적비교표!C47="X","",예산실적비교표!C47)</f>
        <v/>
      </c>
      <c r="AA57" s="637">
        <f>IF($Y$8&lt;&gt;예산실적비교표!$B$3,$Y$8,예산실적비교표!D47)</f>
        <v>12</v>
      </c>
      <c r="AB57" s="656" t="str">
        <f>IF(예산실적비교표!E47="X","",예산실적비교표!E47)</f>
        <v/>
      </c>
      <c r="AC57" s="880">
        <f>IF($AB$2="",0,예산실적비교표!F47)</f>
        <v>0</v>
      </c>
      <c r="AD57" s="656" t="str">
        <f>IF(예산실적비교표!G47="X","",예산실적비교표!G47)</f>
        <v/>
      </c>
      <c r="AE57" s="880">
        <f>IF($AB$2="",0,예산실적비교표!H47)</f>
        <v>0</v>
      </c>
      <c r="AF57" s="637">
        <f>IF($Y$8&lt;&gt;예산실적비교표!$B$3,$Y$8,예산실적비교표!I47)</f>
        <v>12</v>
      </c>
      <c r="AH57" s="334" t="str">
        <f>세출예산서!L241</f>
        <v xml:space="preserve">  - 신체기능 등</v>
      </c>
      <c r="AI57" s="1390">
        <f>세출예산서!V241</f>
        <v>3000000</v>
      </c>
      <c r="AJ57" s="1391"/>
      <c r="AL57" s="1049"/>
      <c r="AM57" s="1049" t="s">
        <v>729</v>
      </c>
      <c r="AN57" s="1049"/>
      <c r="AP57" s="1128" t="str">
        <f>IF(예산실적비교표!AL57&lt;&gt;"",예산실적비교표!AL57,"")</f>
        <v/>
      </c>
      <c r="AQ57" s="1129" t="str">
        <f>IF(예산실적비교표!AM57&lt;&gt;"",예산실적비교표!AM57,"")</f>
        <v/>
      </c>
      <c r="AR57" s="1130">
        <f>IF(예산실적비교표!AN57&lt;&gt;"",예산실적비교표!AN57,0)</f>
        <v>0</v>
      </c>
      <c r="AS57" s="1131">
        <f>IF(예산실적비교표!AO57&lt;&gt;"",예산실적비교표!AO57,0)</f>
        <v>0</v>
      </c>
      <c r="AT57" s="1118">
        <f t="shared" si="5"/>
        <v>0</v>
      </c>
      <c r="AU57" s="1132">
        <f>IF(예산실적비교표!AQ57&lt;&gt;"",예산실적비교표!AQ57,0)</f>
        <v>0</v>
      </c>
      <c r="AV57" s="1120">
        <f t="shared" si="6"/>
        <v>0</v>
      </c>
      <c r="AW57" s="1121">
        <f>IF(AR57="","",ROUND((AT57*$AT$7)*데이터입력!$AE$14+(AT57*$AU$7)*데이터입력!$AE$14+(AT57*$AU$7*$AV$7)*데이터입력!$AE$14+(AT57*$AW$7)*데이터입력!$AE$14+(AT57*$AX$7)*데이터입력!$AE$14,-1))</f>
        <v>0</v>
      </c>
      <c r="AX57" s="1122">
        <f t="shared" si="7"/>
        <v>0</v>
      </c>
      <c r="AY57" s="1123">
        <f>IFERROR(IF(AR57+AS57=0,0,ROUND(IF(데이터입력!$AE$14=100%,ROUND(AR57*$AR$1,-3),ROUND(AR57*$AR$1,-3)-ROUND(((AR57*$AR$1)*$AT$4)*(데이터입력!$AE$14-100%)+((AR57*$AR$1)*$AU$4)*(데이터입력!$AE$14-100%)+((AR57*$AR$1)*$AU$4*$AV$4)*(데이터입력!$AE$14-100%)+((AR57*$AR$1)*$AW$4)*(데이터입력!$AE$14-100%),-1)),0)),0)</f>
        <v>0</v>
      </c>
      <c r="AZ57" s="1124">
        <f>IFERROR(IF(AR57+AS57=0,0,IF(데이터입력!$AE$12=100%,(AT57),(AT57)+ROUND(AT57*(데이터입력!$AE$12-100%),-1))),0)</f>
        <v>0</v>
      </c>
      <c r="BA57" s="1263" t="str">
        <f t="shared" si="8"/>
        <v/>
      </c>
      <c r="BB57" s="1264" t="str">
        <f>IF(BA57="","",IF(데이터입력!$O$68="",ROUND(AZ57/12,0),ROUND(데이터입력!$O$68/데이터입력!$Y$8/$BC$11,0)))</f>
        <v/>
      </c>
    </row>
    <row r="58" spans="1:59">
      <c r="A58" s="1046">
        <f>IF($AM$1=TRUE,IF(K58="","",SUBTOTAL(2,$K$3:K58)),IF(AND(M58="",N58=""),"",IF(N58="",COUNT($M$3:M58),COUNT($N$3:N58)+200)))</f>
        <v>19</v>
      </c>
      <c r="B58" s="365" t="s">
        <v>55</v>
      </c>
      <c r="C58" s="365" t="s">
        <v>567</v>
      </c>
      <c r="D58" s="364">
        <v>501030501</v>
      </c>
      <c r="E58" s="364" t="s">
        <v>83</v>
      </c>
      <c r="F58" s="364" t="s">
        <v>80</v>
      </c>
      <c r="G58" s="366">
        <f>IFERROR(IF($E58="06",VLOOKUP($B58,예산실적비교표!$O$7:$R$200,2,FALSE),0),0)</f>
        <v>6600000</v>
      </c>
      <c r="H58" s="366">
        <f>IFERROR(IF($E58="06",VLOOKUP($C58,세출예산서!$K$3:$X$304,12,FALSE),0),0)</f>
        <v>7200000</v>
      </c>
      <c r="I58" s="366">
        <f>IFERROR(IF($E58="07",VLOOKUP($C58,세출예산서!$K$3:$X$304,13,FALSE),0),0)</f>
        <v>0</v>
      </c>
      <c r="J58" s="366">
        <f>IFERROR(IF($E58="05",VLOOKUP($C58,세출예산서!$K$3:$X$304,14,FALSE),0),0)</f>
        <v>0</v>
      </c>
      <c r="K58" s="366">
        <f t="shared" si="15"/>
        <v>600000</v>
      </c>
      <c r="L58" s="367">
        <f>IFERROR(IF($AB$2="",0,ROUNDUP(VLOOKUP($B58,예산실적비교표!$O$7:$R$200,3,FALSE)*$Y$7/$Y$9,-3)*$Y$8),0)</f>
        <v>4488000</v>
      </c>
      <c r="M58" s="708">
        <f>IF($AM$1=TRUE,IF(K58="","",IF(IF($AE$2="",IF(K58="","",SUBTOTAL(2,$K$3:K58)),IF(AND(G58&gt;=0,K58=""),"",IF(AND(G58&gt;0,OR(K58&gt;0,K58&lt;0)),SUBTOTAL(2,$K$3:K58),IF(AND(G58=0,OR(K58&gt;0,K58&lt;0)),SUBTOTAL(2,$K$3:K58)+200,""))))&gt;200,"",1)),IF(K58="","",IF(IF($AE$2="",IF(K58="","",SUBTOTAL(2,$K$3:K58)),IF(AND(G58&gt;=0,K58=""),"",IF(AND(G58&gt;0,OR(K58&gt;0,K58&lt;0)),SUBTOTAL(2,$K$3:K58),IF(AND(G58=0,OR(K58&gt;0,K58&lt;0)),SUBTOTAL(2,$K$3:K58)+200,""))))&gt;200,"",1)))</f>
        <v>1</v>
      </c>
      <c r="N58" s="214" t="str">
        <f>IF($AM$1=TRUE,IF(K58="","",IF(IF($AE$2="",IF(K58="","",SUBTOTAL(2,$K$3:K58)),IF(AND(G58&gt;=0,K58=""),"",IF(AND(G58&gt;0,OR(K58&gt;0,K58&lt;0)),SUBTOTAL(2,$K$3:K58),IF(AND(G58=0,OR(K58&gt;0,K58&lt;0)),SUBTOTAL(2,$K$3:K58)+200,""))))&lt;=200,"",2)),IF(K58="","",IF(IF($AE$2="",IF(K58="","",SUBTOTAL(2,$K$3:K58)),IF(AND(G58&gt;=0,K58=""),"",IF(AND(G58&gt;0,OR(K58&gt;0,K58&lt;0)),SUBTOTAL(2,$K$3:K58),IF(AND(G58=0,OR(K58&gt;0,K58&lt;0)),SUBTOTAL(2,$K$3:K58)+200,""))))&lt;=200,"",2)))</f>
        <v/>
      </c>
      <c r="O58" s="541"/>
      <c r="P58" s="435">
        <f>IFERROR(IF(O58="",VLOOKUP(R58,$B$29:$L$34,11,FALSE),O58),0)</f>
        <v>0</v>
      </c>
      <c r="Q58" s="552"/>
      <c r="R58" s="467" t="s">
        <v>31</v>
      </c>
      <c r="S58" s="410" t="s">
        <v>81</v>
      </c>
      <c r="T58" s="468">
        <f t="shared" ref="T58" si="17">IF(O58="",P58,O58)</f>
        <v>0</v>
      </c>
      <c r="U58" s="469">
        <v>1</v>
      </c>
      <c r="V58" s="431" t="s">
        <v>127</v>
      </c>
      <c r="X58" s="656" t="str">
        <f>IF(예산실적비교표!A48="X","",예산실적비교표!A48)</f>
        <v/>
      </c>
      <c r="Y58" s="636">
        <f>IF($AB$2="",0,예산실적비교표!B48)</f>
        <v>0</v>
      </c>
      <c r="Z58" s="1057" t="str">
        <f>IF(예산실적비교표!C48="X","",예산실적비교표!C48)</f>
        <v/>
      </c>
      <c r="AA58" s="637">
        <f>IF($Y$8&lt;&gt;예산실적비교표!$B$3,$Y$8,예산실적비교표!D48)</f>
        <v>12</v>
      </c>
      <c r="AB58" s="656" t="str">
        <f>IF(예산실적비교표!E48="X","",예산실적비교표!E48)</f>
        <v/>
      </c>
      <c r="AC58" s="880">
        <f>IF($AB$2="",0,예산실적비교표!F48)</f>
        <v>0</v>
      </c>
      <c r="AD58" s="656" t="str">
        <f>IF(예산실적비교표!G48="X","",예산실적비교표!G48)</f>
        <v/>
      </c>
      <c r="AE58" s="880">
        <f>IF($AB$2="",0,예산실적비교표!H48)</f>
        <v>0</v>
      </c>
      <c r="AF58" s="637">
        <f>IF($Y$8&lt;&gt;예산실적비교표!$B$3,$Y$8,예산실적비교표!I48)</f>
        <v>12</v>
      </c>
      <c r="AH58" s="334" t="str">
        <f>세출예산서!L242</f>
        <v xml:space="preserve">  - 사회적응</v>
      </c>
      <c r="AI58" s="1390">
        <f>세출예산서!V242</f>
        <v>60000</v>
      </c>
      <c r="AJ58" s="1391"/>
      <c r="AP58" s="1128" t="str">
        <f>IF(예산실적비교표!AL58&lt;&gt;"",예산실적비교표!AL58,"")</f>
        <v/>
      </c>
      <c r="AQ58" s="1129" t="str">
        <f>IF(예산실적비교표!AM58&lt;&gt;"",예산실적비교표!AM58,"")</f>
        <v/>
      </c>
      <c r="AR58" s="1130">
        <f>IF(예산실적비교표!AN58&lt;&gt;"",예산실적비교표!AN58,0)</f>
        <v>0</v>
      </c>
      <c r="AS58" s="1131">
        <f>IF(예산실적비교표!AO58&lt;&gt;"",예산실적비교표!AO58,0)</f>
        <v>0</v>
      </c>
      <c r="AT58" s="1118">
        <f t="shared" si="5"/>
        <v>0</v>
      </c>
      <c r="AU58" s="1132">
        <f>IF(예산실적비교표!AQ58&lt;&gt;"",예산실적비교표!AQ58,0)</f>
        <v>0</v>
      </c>
      <c r="AV58" s="1120">
        <f t="shared" si="6"/>
        <v>0</v>
      </c>
      <c r="AW58" s="1121">
        <f>IF(AR58="","",ROUND((AT58*$AT$7)*데이터입력!$AE$14+(AT58*$AU$7)*데이터입력!$AE$14+(AT58*$AU$7*$AV$7)*데이터입력!$AE$14+(AT58*$AW$7)*데이터입력!$AE$14+(AT58*$AX$7)*데이터입력!$AE$14,-1))</f>
        <v>0</v>
      </c>
      <c r="AX58" s="1122">
        <f t="shared" si="7"/>
        <v>0</v>
      </c>
      <c r="AY58" s="1123">
        <f>IFERROR(IF(AR58+AS58=0,0,ROUND(IF(데이터입력!$AE$14=100%,ROUND(AR58*$AR$1,-3),ROUND(AR58*$AR$1,-3)-ROUND(((AR58*$AR$1)*$AT$4)*(데이터입력!$AE$14-100%)+((AR58*$AR$1)*$AU$4)*(데이터입력!$AE$14-100%)+((AR58*$AR$1)*$AU$4*$AV$4)*(데이터입력!$AE$14-100%)+((AR58*$AR$1)*$AW$4)*(데이터입력!$AE$14-100%),-1)),0)),0)</f>
        <v>0</v>
      </c>
      <c r="AZ58" s="1124">
        <f>IFERROR(IF(AR58+AS58=0,0,IF(데이터입력!$AE$12=100%,(AT58),(AT58)+ROUND(AT58*(데이터입력!$AE$12-100%),-1))),0)</f>
        <v>0</v>
      </c>
      <c r="BA58" s="1263" t="str">
        <f t="shared" si="8"/>
        <v/>
      </c>
      <c r="BB58" s="1264" t="str">
        <f>IF(BA58="","",IF(데이터입력!$O$68="",ROUND(AZ58/12,0),ROUND(데이터입력!$O$68/데이터입력!$Y$8/$BC$11,0)))</f>
        <v/>
      </c>
    </row>
    <row r="59" spans="1:59" ht="17.25" thickBot="1">
      <c r="A59" s="1046">
        <f>IF($AM$1=TRUE,IF(K59="","",SUBTOTAL(2,$K$3:K59)),IF(AND(M59="",N59=""),"",IF(N59="",COUNT($M$3:M59),COUNT($N$3:N59)+200)))</f>
        <v>20</v>
      </c>
      <c r="B59" s="365" t="s">
        <v>56</v>
      </c>
      <c r="C59" s="365" t="s">
        <v>568</v>
      </c>
      <c r="D59" s="364">
        <v>501030601</v>
      </c>
      <c r="E59" s="364" t="s">
        <v>83</v>
      </c>
      <c r="F59" s="364" t="s">
        <v>80</v>
      </c>
      <c r="G59" s="366">
        <f>IFERROR(IF($E59="06",VLOOKUP($B59,예산실적비교표!$O$7:$R$200,2,FALSE),0),0)</f>
        <v>13200000</v>
      </c>
      <c r="H59" s="366">
        <f>IFERROR(IF($E59="06",VLOOKUP($C59,세출예산서!$K$3:$X$304,12,FALSE),0),0)</f>
        <v>26400000</v>
      </c>
      <c r="I59" s="366">
        <f>IFERROR(IF($E59="07",VLOOKUP($C59,세출예산서!$K$3:$X$304,13,FALSE),0),0)</f>
        <v>0</v>
      </c>
      <c r="J59" s="366">
        <f>IFERROR(IF($E59="05",VLOOKUP($C59,세출예산서!$K$3:$X$304,14,FALSE),0),0)</f>
        <v>0</v>
      </c>
      <c r="K59" s="366">
        <f t="shared" si="15"/>
        <v>13200000</v>
      </c>
      <c r="L59" s="367">
        <f>IFERROR(IF($AB$2="",0,ROUNDUP(VLOOKUP($B59,예산실적비교표!$O$7:$R$200,3,FALSE)*$Y$7/$Y$9,-3)*$Y$8),0)</f>
        <v>24264000</v>
      </c>
      <c r="M59" s="708">
        <f>IF($AM$1=TRUE,IF(K59="","",IF(IF($AE$2="",IF(K59="","",SUBTOTAL(2,$K$3:K59)),IF(AND(G59&gt;=0,K59=""),"",IF(AND(G59&gt;0,OR(K59&gt;0,K59&lt;0)),SUBTOTAL(2,$K$3:K59),IF(AND(G59=0,OR(K59&gt;0,K59&lt;0)),SUBTOTAL(2,$K$3:K59)+200,""))))&gt;200,"",1)),IF(K59="","",IF(IF($AE$2="",IF(K59="","",SUBTOTAL(2,$K$3:K59)),IF(AND(G59&gt;=0,K59=""),"",IF(AND(G59&gt;0,OR(K59&gt;0,K59&lt;0)),SUBTOTAL(2,$K$3:K59),IF(AND(G59=0,OR(K59&gt;0,K59&lt;0)),SUBTOTAL(2,$K$3:K59)+200,""))))&gt;200,"",1)))</f>
        <v>1</v>
      </c>
      <c r="N59" s="214" t="str">
        <f>IF($AM$1=TRUE,IF(K59="","",IF(IF($AE$2="",IF(K59="","",SUBTOTAL(2,$K$3:K59)),IF(AND(G59&gt;=0,K59=""),"",IF(AND(G59&gt;0,OR(K59&gt;0,K59&lt;0)),SUBTOTAL(2,$K$3:K59),IF(AND(G59=0,OR(K59&gt;0,K59&lt;0)),SUBTOTAL(2,$K$3:K59)+200,""))))&lt;=200,"",2)),IF(K59="","",IF(IF($AE$2="",IF(K59="","",SUBTOTAL(2,$K$3:K59)),IF(AND(G59&gt;=0,K59=""),"",IF(AND(G59&gt;0,OR(K59&gt;0,K59&lt;0)),SUBTOTAL(2,$K$3:K59),IF(AND(G59=0,OR(K59&gt;0,K59&lt;0)),SUBTOTAL(2,$K$3:K59)+200,""))))&lt;=200,"",2)))</f>
        <v/>
      </c>
      <c r="O59" s="543"/>
      <c r="P59" s="454">
        <f>IFERROR(IF(VLOOKUP(R59,$B$29:$L$34,11,FALSE)&gt;0,VLOOKUP(R59,$B$29:$L$34,6,FALSE),IF(SUM(I29:I33)&gt;0,10000,0)),0)</f>
        <v>0</v>
      </c>
      <c r="Q59" s="567">
        <v>0</v>
      </c>
      <c r="R59" s="473" t="s">
        <v>36</v>
      </c>
      <c r="S59" s="474" t="s">
        <v>81</v>
      </c>
      <c r="T59" s="475">
        <f>IF(O59="",ROUNDUP(P59,-3),O59)</f>
        <v>0</v>
      </c>
      <c r="U59" s="469">
        <f>IF(Q59=0,IF($Y$8&lt;7,1,2),Q59)</f>
        <v>2</v>
      </c>
      <c r="V59" s="476" t="s">
        <v>127</v>
      </c>
      <c r="X59" s="656" t="str">
        <f>IF(예산실적비교표!A49="X","",예산실적비교표!A49)</f>
        <v/>
      </c>
      <c r="Y59" s="636">
        <f>IF($AB$2="",0,예산실적비교표!B49)</f>
        <v>0</v>
      </c>
      <c r="Z59" s="1057" t="str">
        <f>IF(예산실적비교표!C49="X","",예산실적비교표!C49)</f>
        <v/>
      </c>
      <c r="AA59" s="637">
        <f>IF($Y$8&lt;&gt;예산실적비교표!$B$3,$Y$8,예산실적비교표!D49)</f>
        <v>12</v>
      </c>
      <c r="AB59" s="656" t="str">
        <f>IF(예산실적비교표!E49="X","",예산실적비교표!E49)</f>
        <v/>
      </c>
      <c r="AC59" s="880">
        <f>IF($AB$2="",0,예산실적비교표!F49)</f>
        <v>0</v>
      </c>
      <c r="AD59" s="656" t="str">
        <f>IF(예산실적비교표!G49="X","",예산실적비교표!G49)</f>
        <v/>
      </c>
      <c r="AE59" s="880">
        <f>IF($AB$2="",0,예산실적비교표!H49)</f>
        <v>0</v>
      </c>
      <c r="AF59" s="637">
        <f>IF($Y$8&lt;&gt;예산실적비교표!$B$3,$Y$8,예산실적비교표!I49)</f>
        <v>12</v>
      </c>
      <c r="AH59" s="334" t="str">
        <f>세출예산서!L243</f>
        <v xml:space="preserve">  - 명절잔치(수급자)</v>
      </c>
      <c r="AI59" s="1390">
        <f>세출예산서!V243</f>
        <v>100000</v>
      </c>
      <c r="AJ59" s="1391"/>
      <c r="AP59" s="1128" t="str">
        <f>IF(예산실적비교표!AL59&lt;&gt;"",예산실적비교표!AL59,"")</f>
        <v/>
      </c>
      <c r="AQ59" s="1129" t="str">
        <f>IF(예산실적비교표!AM59&lt;&gt;"",예산실적비교표!AM59,"")</f>
        <v/>
      </c>
      <c r="AR59" s="1130">
        <f>IF(예산실적비교표!AN59&lt;&gt;"",예산실적비교표!AN59,0)</f>
        <v>0</v>
      </c>
      <c r="AS59" s="1131">
        <f>IF(예산실적비교표!AO59&lt;&gt;"",예산실적비교표!AO59,0)</f>
        <v>0</v>
      </c>
      <c r="AT59" s="1118">
        <f t="shared" si="5"/>
        <v>0</v>
      </c>
      <c r="AU59" s="1132">
        <f>IF(예산실적비교표!AQ59&lt;&gt;"",예산실적비교표!AQ59,0)</f>
        <v>0</v>
      </c>
      <c r="AV59" s="1120">
        <f t="shared" si="6"/>
        <v>0</v>
      </c>
      <c r="AW59" s="1121">
        <f>IF(AR59="","",ROUND((AT59*$AT$7)*데이터입력!$AE$14+(AT59*$AU$7)*데이터입력!$AE$14+(AT59*$AU$7*$AV$7)*데이터입력!$AE$14+(AT59*$AW$7)*데이터입력!$AE$14+(AT59*$AX$7)*데이터입력!$AE$14,-1))</f>
        <v>0</v>
      </c>
      <c r="AX59" s="1122">
        <f t="shared" si="7"/>
        <v>0</v>
      </c>
      <c r="AY59" s="1123">
        <f>IFERROR(IF(AR59+AS59=0,0,ROUND(IF(데이터입력!$AE$14=100%,ROUND(AR59*$AR$1,-3),ROUND(AR59*$AR$1,-3)-ROUND(((AR59*$AR$1)*$AT$4)*(데이터입력!$AE$14-100%)+((AR59*$AR$1)*$AU$4)*(데이터입력!$AE$14-100%)+((AR59*$AR$1)*$AU$4*$AV$4)*(데이터입력!$AE$14-100%)+((AR59*$AR$1)*$AW$4)*(데이터입력!$AE$14-100%),-1)),0)),0)</f>
        <v>0</v>
      </c>
      <c r="AZ59" s="1124">
        <f>IFERROR(IF(AR59+AS59=0,0,IF(데이터입력!$AE$12=100%,(AT59),(AT59)+ROUND(AT59*(데이터입력!$AE$12-100%),-1))),0)</f>
        <v>0</v>
      </c>
      <c r="BA59" s="1263" t="str">
        <f t="shared" si="8"/>
        <v/>
      </c>
      <c r="BB59" s="1264" t="str">
        <f>IF(BA59="","",IF(데이터입력!$O$68="",ROUND(AZ59/12,0),ROUND(데이터입력!$O$68/데이터입력!$Y$8/$BC$11,0)))</f>
        <v/>
      </c>
    </row>
    <row r="60" spans="1:59" ht="17.25" thickBot="1">
      <c r="A60" s="1046">
        <f>IF($AM$1=TRUE,IF(K60="","",SUBTOTAL(2,$K$3:K60)),IF(AND(M60="",N60=""),"",IF(N60="",COUNT($M$3:M60),COUNT($N$3:N60)+200)))</f>
        <v>21</v>
      </c>
      <c r="B60" s="365" t="s">
        <v>57</v>
      </c>
      <c r="C60" s="365" t="s">
        <v>569</v>
      </c>
      <c r="D60" s="364">
        <v>501030701</v>
      </c>
      <c r="E60" s="364" t="s">
        <v>83</v>
      </c>
      <c r="F60" s="364" t="s">
        <v>80</v>
      </c>
      <c r="G60" s="366">
        <f>IFERROR(IF($E60="06",VLOOKUP($B60,예산실적비교표!$O$7:$R$200,2,FALSE),0),0)</f>
        <v>5096000</v>
      </c>
      <c r="H60" s="366">
        <f>IFERROR(IF($E60="06",VLOOKUP($C60,세출예산서!$K$3:$X$304,12,FALSE),0),0)</f>
        <v>5092000</v>
      </c>
      <c r="I60" s="366">
        <f>IFERROR(IF($E60="07",VLOOKUP($C60,세출예산서!$K$3:$X$304,13,FALSE),0),0)</f>
        <v>0</v>
      </c>
      <c r="J60" s="366">
        <f>IFERROR(IF($E60="05",VLOOKUP($C60,세출예산서!$K$3:$X$304,14,FALSE),0),0)</f>
        <v>0</v>
      </c>
      <c r="K60" s="366">
        <f t="shared" si="15"/>
        <v>-4000</v>
      </c>
      <c r="L60" s="367">
        <f>IFERROR(IF($AB$2="",0,ROUNDUP(VLOOKUP($B60,예산실적비교표!$O$7:$R$200,3,FALSE)*$Y$7/$Y$9,-3)*$Y$8),0)</f>
        <v>2724000</v>
      </c>
      <c r="M60" s="708">
        <f>IF($AM$1=TRUE,IF(K60="","",IF(IF($AE$2="",IF(K60="","",SUBTOTAL(2,$K$3:K60)),IF(AND(G60&gt;=0,K60=""),"",IF(AND(G60&gt;0,OR(K60&gt;0,K60&lt;0)),SUBTOTAL(2,$K$3:K60),IF(AND(G60=0,OR(K60&gt;0,K60&lt;0)),SUBTOTAL(2,$K$3:K60)+200,""))))&gt;200,"",1)),IF(K60="","",IF(IF($AE$2="",IF(K60="","",SUBTOTAL(2,$K$3:K60)),IF(AND(G60&gt;=0,K60=""),"",IF(AND(G60&gt;0,OR(K60&gt;0,K60&lt;0)),SUBTOTAL(2,$K$3:K60),IF(AND(G60=0,OR(K60&gt;0,K60&lt;0)),SUBTOTAL(2,$K$3:K60)+200,""))))&gt;200,"",1)))</f>
        <v>1</v>
      </c>
      <c r="N60" s="214" t="str">
        <f>IF($AM$1=TRUE,IF(K60="","",IF(IF($AE$2="",IF(K60="","",SUBTOTAL(2,$K$3:K60)),IF(AND(G60&gt;=0,K60=""),"",IF(AND(G60&gt;0,OR(K60&gt;0,K60&lt;0)),SUBTOTAL(2,$K$3:K60),IF(AND(G60=0,OR(K60&gt;0,K60&lt;0)),SUBTOTAL(2,$K$3:K60)+200,""))))&lt;=200,"",2)),IF(K60="","",IF(IF($AE$2="",IF(K60="","",SUBTOTAL(2,$K$3:K60)),IF(AND(G60&gt;=0,K60=""),"",IF(AND(G60&gt;0,OR(K60&gt;0,K60&lt;0)),SUBTOTAL(2,$K$3:K60),IF(AND(G60=0,OR(K60&gt;0,K60&lt;0)),SUBTOTAL(2,$K$3:K60)+200,""))))&lt;=200,"",2)))</f>
        <v/>
      </c>
      <c r="O60" s="540"/>
      <c r="P60" s="427">
        <f t="shared" ref="P60:P64" si="18">IFERROR(IF(VLOOKUP(R60,$B$35:$L$40,11,FALSE)&gt;0,VLOOKUP(R60,$B$35:$L$40,11,FALSE),0),0)</f>
        <v>0</v>
      </c>
      <c r="Q60" s="551">
        <v>0</v>
      </c>
      <c r="R60" s="477" t="s">
        <v>18</v>
      </c>
      <c r="S60" s="478" t="s">
        <v>19</v>
      </c>
      <c r="T60" s="479">
        <f t="shared" ref="T60:T64" si="19">IF(O60="",P60,O60)</f>
        <v>0</v>
      </c>
      <c r="U60" s="480">
        <f>IF(Q60=0,$Y$8,Q60)</f>
        <v>12</v>
      </c>
      <c r="V60" s="481" t="s">
        <v>142</v>
      </c>
      <c r="X60" s="656" t="str">
        <f>IF(예산실적비교표!A50="X","",예산실적비교표!A50)</f>
        <v/>
      </c>
      <c r="Y60" s="636">
        <f>IF($AB$2="",0,예산실적비교표!B50)</f>
        <v>0</v>
      </c>
      <c r="Z60" s="1057" t="str">
        <f>IF(예산실적비교표!C50="X","",예산실적비교표!C50)</f>
        <v/>
      </c>
      <c r="AA60" s="637">
        <f>IF($Y$8&lt;&gt;예산실적비교표!$B$3,$Y$8,예산실적비교표!D50)</f>
        <v>12</v>
      </c>
      <c r="AB60" s="656" t="str">
        <f>IF(예산실적비교표!E50="X","",예산실적비교표!E50)</f>
        <v/>
      </c>
      <c r="AC60" s="881">
        <f>IF($AB$2="",0,예산실적비교표!F50)</f>
        <v>0</v>
      </c>
      <c r="AD60" s="656" t="str">
        <f>IF(예산실적비교표!G50="X","",예산실적비교표!G50)</f>
        <v/>
      </c>
      <c r="AE60" s="881">
        <f>IF($AB$2="",0,예산실적비교표!H50)</f>
        <v>0</v>
      </c>
      <c r="AF60" s="637">
        <f>IF($Y$8&lt;&gt;예산실적비교표!$B$3,$Y$8,예산실적비교표!I50)</f>
        <v>12</v>
      </c>
      <c r="AH60" s="334" t="str">
        <f>세출예산서!L244</f>
        <v xml:space="preserve">  - 생일잔치(수급자)</v>
      </c>
      <c r="AI60" s="1390">
        <f>세출예산서!V244</f>
        <v>840000</v>
      </c>
      <c r="AJ60" s="1391"/>
      <c r="AP60" s="1128" t="str">
        <f>IF(예산실적비교표!AL60&lt;&gt;"",예산실적비교표!AL60,"")</f>
        <v/>
      </c>
      <c r="AQ60" s="1129" t="str">
        <f>IF(예산실적비교표!AM60&lt;&gt;"",예산실적비교표!AM60,"")</f>
        <v/>
      </c>
      <c r="AR60" s="1130">
        <f>IF(예산실적비교표!AN60&lt;&gt;"",예산실적비교표!AN60,0)</f>
        <v>0</v>
      </c>
      <c r="AS60" s="1131">
        <f>IF(예산실적비교표!AO60&lt;&gt;"",예산실적비교표!AO60,0)</f>
        <v>0</v>
      </c>
      <c r="AT60" s="1118">
        <f t="shared" si="5"/>
        <v>0</v>
      </c>
      <c r="AU60" s="1132">
        <f>IF(예산실적비교표!AQ60&lt;&gt;"",예산실적비교표!AQ60,0)</f>
        <v>0</v>
      </c>
      <c r="AV60" s="1120">
        <f t="shared" si="6"/>
        <v>0</v>
      </c>
      <c r="AW60" s="1121">
        <f>IF(AR60="","",ROUND((AT60*$AT$7)*데이터입력!$AE$14+(AT60*$AU$7)*데이터입력!$AE$14+(AT60*$AU$7*$AV$7)*데이터입력!$AE$14+(AT60*$AW$7)*데이터입력!$AE$14+(AT60*$AX$7)*데이터입력!$AE$14,-1))</f>
        <v>0</v>
      </c>
      <c r="AX60" s="1122">
        <f t="shared" si="7"/>
        <v>0</v>
      </c>
      <c r="AY60" s="1123">
        <f>IFERROR(IF(AR60+AS60=0,0,ROUND(IF(데이터입력!$AE$14=100%,ROUND(AR60*$AR$1,-3),ROUND(AR60*$AR$1,-3)-ROUND(((AR60*$AR$1)*$AT$4)*(데이터입력!$AE$14-100%)+((AR60*$AR$1)*$AU$4)*(데이터입력!$AE$14-100%)+((AR60*$AR$1)*$AU$4*$AV$4)*(데이터입력!$AE$14-100%)+((AR60*$AR$1)*$AW$4)*(데이터입력!$AE$14-100%),-1)),0)),0)</f>
        <v>0</v>
      </c>
      <c r="AZ60" s="1124">
        <f>IFERROR(IF(AR60+AS60=0,0,IF(데이터입력!$AE$12=100%,(AT60),(AT60)+ROUND(AT60*(데이터입력!$AE$12-100%),-1))),0)</f>
        <v>0</v>
      </c>
      <c r="BA60" s="1263" t="str">
        <f t="shared" si="8"/>
        <v/>
      </c>
      <c r="BB60" s="1264" t="str">
        <f>IF(BA60="","",IF(데이터입력!$O$68="",ROUND(AZ60/12,0),ROUND(데이터입력!$O$68/데이터입력!$Y$8/$BC$11,0)))</f>
        <v/>
      </c>
    </row>
    <row r="61" spans="1:59" ht="18" thickTop="1" thickBot="1">
      <c r="A61" s="1046" t="str">
        <f>IF($AM$1=TRUE,IF(K61="","",SUBTOTAL(2,$K$3:K61)),IF(AND(M61="",N61=""),"",IF(N61="",COUNT($M$3:M61),COUNT($N$3:N61)+200)))</f>
        <v/>
      </c>
      <c r="B61" s="365" t="s">
        <v>58</v>
      </c>
      <c r="C61" s="365" t="s">
        <v>570</v>
      </c>
      <c r="D61" s="364">
        <v>502010101</v>
      </c>
      <c r="E61" s="364" t="s">
        <v>83</v>
      </c>
      <c r="F61" s="364" t="s">
        <v>80</v>
      </c>
      <c r="G61" s="366">
        <f>IFERROR(IF($E61="06",VLOOKUP($B61,예산실적비교표!$O$7:$R$200,2,FALSE),0),0)</f>
        <v>0</v>
      </c>
      <c r="H61" s="366">
        <f>IFERROR(IF($E61="06",VLOOKUP($C61,세출예산서!$K$3:$X$304,12,FALSE),0),0)</f>
        <v>0</v>
      </c>
      <c r="I61" s="366">
        <f>IFERROR(IF($E61="07",VLOOKUP($C61,세출예산서!$K$3:$X$304,13,FALSE),0),0)</f>
        <v>0</v>
      </c>
      <c r="J61" s="366">
        <f>IFERROR(IF($E61="05",VLOOKUP($C61,세출예산서!$K$3:$X$304,14,FALSE),0),0)</f>
        <v>0</v>
      </c>
      <c r="K61" s="366" t="str">
        <f t="shared" si="15"/>
        <v/>
      </c>
      <c r="L61" s="367">
        <f>IFERROR(IF($AB$2="",0,ROUNDUP(VLOOKUP($B61,예산실적비교표!$O$7:$R$200,3,FALSE)*$Y$7/$Y$9,-3)*$Y$8),0)</f>
        <v>0</v>
      </c>
      <c r="M61" s="708" t="str">
        <f>IF($AM$1=TRUE,IF(K61="","",IF(IF($AE$2="",IF(K61="","",SUBTOTAL(2,$K$3:K61)),IF(AND(G61&gt;=0,K61=""),"",IF(AND(G61&gt;0,OR(K61&gt;0,K61&lt;0)),SUBTOTAL(2,$K$3:K61),IF(AND(G61=0,OR(K61&gt;0,K61&lt;0)),SUBTOTAL(2,$K$3:K61)+200,""))))&gt;200,"",1)),IF(K61="","",IF(IF($AE$2="",IF(K61="","",SUBTOTAL(2,$K$3:K61)),IF(AND(G61&gt;=0,K61=""),"",IF(AND(G61&gt;0,OR(K61&gt;0,K61&lt;0)),SUBTOTAL(2,$K$3:K61),IF(AND(G61=0,OR(K61&gt;0,K61&lt;0)),SUBTOTAL(2,$K$3:K61)+200,""))))&gt;200,"",1)))</f>
        <v/>
      </c>
      <c r="N61" s="214" t="str">
        <f>IF($AM$1=TRUE,IF(K61="","",IF(IF($AE$2="",IF(K61="","",SUBTOTAL(2,$K$3:K61)),IF(AND(G61&gt;=0,K61=""),"",IF(AND(G61&gt;0,OR(K61&gt;0,K61&lt;0)),SUBTOTAL(2,$K$3:K61),IF(AND(G61=0,OR(K61&gt;0,K61&lt;0)),SUBTOTAL(2,$K$3:K61)+200,""))))&lt;=200,"",2)),IF(K61="","",IF(IF($AE$2="",IF(K61="","",SUBTOTAL(2,$K$3:K61)),IF(AND(G61&gt;=0,K61=""),"",IF(AND(G61&gt;0,OR(K61&gt;0,K61&lt;0)),SUBTOTAL(2,$K$3:K61),IF(AND(G61=0,OR(K61&gt;0,K61&lt;0)),SUBTOTAL(2,$K$3:K61)+200,""))))&lt;=200,"",2)))</f>
        <v/>
      </c>
      <c r="O61" s="541"/>
      <c r="P61" s="435">
        <f t="shared" si="18"/>
        <v>0</v>
      </c>
      <c r="Q61" s="566">
        <v>0</v>
      </c>
      <c r="R61" s="482" t="s">
        <v>20</v>
      </c>
      <c r="S61" s="438" t="s">
        <v>19</v>
      </c>
      <c r="T61" s="483">
        <f t="shared" si="19"/>
        <v>0</v>
      </c>
      <c r="U61" s="484">
        <f>IF(Q61=0,$Y$8,Q61)</f>
        <v>12</v>
      </c>
      <c r="V61" s="485" t="s">
        <v>142</v>
      </c>
      <c r="X61" s="448" t="s">
        <v>243</v>
      </c>
      <c r="Y61" s="882">
        <f>SUM(Y62:Y71)</f>
        <v>933000</v>
      </c>
      <c r="Z61" s="437" t="s">
        <v>185</v>
      </c>
      <c r="AA61" s="437" t="s">
        <v>215</v>
      </c>
      <c r="AB61" s="407" t="s">
        <v>188</v>
      </c>
      <c r="AC61" s="878">
        <f>ROUND(세출예산서!$Z$219/$Y$8,-3)</f>
        <v>150000</v>
      </c>
      <c r="AD61" s="407" t="s">
        <v>173</v>
      </c>
      <c r="AE61" s="878">
        <f>SUM(AE62:AE71)</f>
        <v>1462994</v>
      </c>
      <c r="AF61" s="437" t="s">
        <v>215</v>
      </c>
      <c r="AH61" s="334" t="str">
        <f>세출예산서!L245</f>
        <v xml:space="preserve">  - 가족내방참여</v>
      </c>
      <c r="AI61" s="1390">
        <f>세출예산서!V245</f>
        <v>200000</v>
      </c>
      <c r="AJ61" s="1391"/>
      <c r="AP61" s="1562" t="s">
        <v>487</v>
      </c>
      <c r="AQ61" s="1563"/>
      <c r="AR61" s="1156">
        <f>SUM(AR11:AR60)</f>
        <v>4800000</v>
      </c>
      <c r="AS61" s="1156">
        <f>SUM(AS11:AS60)</f>
        <v>0</v>
      </c>
      <c r="AT61" s="1157">
        <f>IF(AR61+AS61=0,0,SUM(AT11:AT60))</f>
        <v>4800000</v>
      </c>
      <c r="AU61" s="1158">
        <f>SUM(AU11:AU60)</f>
        <v>0</v>
      </c>
      <c r="AV61" s="1159">
        <f>SUM(AV11:AV60)</f>
        <v>400000</v>
      </c>
      <c r="AW61" s="1159">
        <f>SUM(AW11:AW60)</f>
        <v>702860</v>
      </c>
      <c r="AX61" s="1157">
        <f>IF(AR61+AS61=0,0,SUM(AX11:AX60))</f>
        <v>5902860</v>
      </c>
      <c r="AY61" s="1160">
        <f>SUM(AY11:AY53)</f>
        <v>4619540</v>
      </c>
      <c r="AZ61" s="1160">
        <f>SUM(AZ11:AZ53)</f>
        <v>4800000</v>
      </c>
      <c r="BA61" s="1161"/>
      <c r="BB61" s="1161"/>
      <c r="BC61" s="214"/>
      <c r="BD61" s="214"/>
    </row>
    <row r="62" spans="1:59" ht="25.5" thickTop="1" thickBot="1">
      <c r="A62" s="1046">
        <f>IF($AM$1=TRUE,IF(K62="","",SUBTOTAL(2,$K$3:K62)),IF(AND(M62="",N62=""),"",IF(N62="",COUNT($M$3:M62),COUNT($N$3:N62)+200)))</f>
        <v>22</v>
      </c>
      <c r="B62" s="365" t="s">
        <v>59</v>
      </c>
      <c r="C62" s="365" t="s">
        <v>571</v>
      </c>
      <c r="D62" s="364">
        <v>502010201</v>
      </c>
      <c r="E62" s="364" t="s">
        <v>83</v>
      </c>
      <c r="F62" s="364" t="s">
        <v>80</v>
      </c>
      <c r="G62" s="366">
        <f>IFERROR(IF($E62="06",VLOOKUP($B62,예산실적비교표!$O$7:$R$200,2,FALSE),0),0)</f>
        <v>3600000</v>
      </c>
      <c r="H62" s="366">
        <f>IFERROR(IF($E62="06",VLOOKUP($C62,세출예산서!$K$3:$X$304,12,FALSE),0),0)</f>
        <v>1200000</v>
      </c>
      <c r="I62" s="366">
        <f>IFERROR(IF($E62="07",VLOOKUP($C62,세출예산서!$K$3:$X$304,13,FALSE),0),0)</f>
        <v>0</v>
      </c>
      <c r="J62" s="366">
        <f>IFERROR(IF($E62="05",VLOOKUP($C62,세출예산서!$K$3:$X$304,14,FALSE),0),0)</f>
        <v>0</v>
      </c>
      <c r="K62" s="366">
        <f t="shared" si="15"/>
        <v>-2400000</v>
      </c>
      <c r="L62" s="367">
        <f>IFERROR(IF($AB$2="",0,ROUNDUP(VLOOKUP($B62,예산실적비교표!$O$7:$R$200,3,FALSE)*$Y$7/$Y$9,-3)*$Y$8),0)</f>
        <v>444000</v>
      </c>
      <c r="M62" s="708">
        <f>IF($AM$1=TRUE,IF(K62="","",IF(IF($AE$2="",IF(K62="","",SUBTOTAL(2,$K$3:K62)),IF(AND(G62&gt;=0,K62=""),"",IF(AND(G62&gt;0,OR(K62&gt;0,K62&lt;0)),SUBTOTAL(2,$K$3:K62),IF(AND(G62=0,OR(K62&gt;0,K62&lt;0)),SUBTOTAL(2,$K$3:K62)+200,""))))&gt;200,"",1)),IF(K62="","",IF(IF($AE$2="",IF(K62="","",SUBTOTAL(2,$K$3:K62)),IF(AND(G62&gt;=0,K62=""),"",IF(AND(G62&gt;0,OR(K62&gt;0,K62&lt;0)),SUBTOTAL(2,$K$3:K62),IF(AND(G62=0,OR(K62&gt;0,K62&lt;0)),SUBTOTAL(2,$K$3:K62)+200,""))))&gt;200,"",1)))</f>
        <v>1</v>
      </c>
      <c r="N62" s="214" t="str">
        <f>IF($AM$1=TRUE,IF(K62="","",IF(IF($AE$2="",IF(K62="","",SUBTOTAL(2,$K$3:K62)),IF(AND(G62&gt;=0,K62=""),"",IF(AND(G62&gt;0,OR(K62&gt;0,K62&lt;0)),SUBTOTAL(2,$K$3:K62),IF(AND(G62=0,OR(K62&gt;0,K62&lt;0)),SUBTOTAL(2,$K$3:K62)+200,""))))&lt;=200,"",2)),IF(K62="","",IF(IF($AE$2="",IF(K62="","",SUBTOTAL(2,$K$3:K62)),IF(AND(G62&gt;=0,K62=""),"",IF(AND(G62&gt;0,OR(K62&gt;0,K62&lt;0)),SUBTOTAL(2,$K$3:K62),IF(AND(G62=0,OR(K62&gt;0,K62&lt;0)),SUBTOTAL(2,$K$3:K62)+200,""))))&lt;=200,"",2)))</f>
        <v/>
      </c>
      <c r="O62" s="541"/>
      <c r="P62" s="435">
        <f t="shared" si="18"/>
        <v>0</v>
      </c>
      <c r="Q62" s="566">
        <v>0</v>
      </c>
      <c r="R62" s="482" t="s">
        <v>28</v>
      </c>
      <c r="S62" s="438" t="s">
        <v>19</v>
      </c>
      <c r="T62" s="483">
        <f t="shared" si="19"/>
        <v>0</v>
      </c>
      <c r="U62" s="484">
        <f>IF(Q62=0,$Y$8,Q62)</f>
        <v>12</v>
      </c>
      <c r="V62" s="431" t="s">
        <v>127</v>
      </c>
      <c r="X62" s="1056" t="str">
        <f>IF(예산실적비교표!A52="X","",예산실적비교표!A52)</f>
        <v>재료비 등</v>
      </c>
      <c r="Y62" s="877">
        <f>ROUND((AI54-SUM(AI56:AJ64))/AA62,-3)</f>
        <v>83000</v>
      </c>
      <c r="Z62" s="1057" t="str">
        <f>IF(예산실적비교표!C52="X","",예산실적비교표!C52)</f>
        <v/>
      </c>
      <c r="AA62" s="637">
        <f>IF($Y$8&lt;&gt;예산실적비교표!$B$3,$Y$8,예산실적비교표!D52)</f>
        <v>12</v>
      </c>
      <c r="AB62" s="1056" t="str">
        <f>IF(예산실적비교표!E52="X","",예산실적비교표!E52)</f>
        <v>진료비 등</v>
      </c>
      <c r="AC62" s="886">
        <f>AC61-SUM(AC63:AC71)</f>
        <v>82000</v>
      </c>
      <c r="AD62" s="1056" t="str">
        <f>IF(예산실적비교표!G52="X","",예산실적비교표!G52)</f>
        <v>잡지출</v>
      </c>
      <c r="AE62" s="886">
        <f>ROUND((AI65-SUM(AI67:AJ75)),0)</f>
        <v>1212994</v>
      </c>
      <c r="AF62" s="645"/>
      <c r="AH62" s="334" t="str">
        <f>세출예산서!L246</f>
        <v xml:space="preserve">  - 외부나들이</v>
      </c>
      <c r="AI62" s="1390">
        <f>세출예산서!V246</f>
        <v>200000</v>
      </c>
      <c r="AJ62" s="1391"/>
      <c r="AP62" s="1162" t="s">
        <v>472</v>
      </c>
      <c r="AQ62" s="1163" t="s">
        <v>744</v>
      </c>
      <c r="AR62" s="1163" t="s">
        <v>251</v>
      </c>
      <c r="AS62" s="1164" t="s">
        <v>435</v>
      </c>
      <c r="AT62" s="1165" t="s">
        <v>477</v>
      </c>
      <c r="AU62" s="1166" t="s">
        <v>436</v>
      </c>
      <c r="AV62" s="1163" t="s">
        <v>475</v>
      </c>
      <c r="AW62" s="1164" t="s">
        <v>476</v>
      </c>
      <c r="AX62" s="1165" t="s">
        <v>478</v>
      </c>
      <c r="AY62" s="1165" t="s">
        <v>714</v>
      </c>
      <c r="AZ62" s="1165" t="s">
        <v>715</v>
      </c>
      <c r="BA62" s="1167" t="s">
        <v>479</v>
      </c>
      <c r="BB62" s="1168" t="s">
        <v>480</v>
      </c>
      <c r="BC62" s="1169" t="s">
        <v>481</v>
      </c>
      <c r="BD62" s="1113" t="s">
        <v>482</v>
      </c>
    </row>
    <row r="63" spans="1:59" ht="18" thickTop="1" thickBot="1">
      <c r="A63" s="1046">
        <f>IF($AM$1=TRUE,IF(K63="","",SUBTOTAL(2,$K$3:K63)),IF(AND(M63="",N63=""),"",IF(N63="",COUNT($M$3:M63),COUNT($N$3:N63)+200)))</f>
        <v>23</v>
      </c>
      <c r="B63" s="365" t="s">
        <v>60</v>
      </c>
      <c r="C63" s="365" t="s">
        <v>572</v>
      </c>
      <c r="D63" s="364">
        <v>502010301</v>
      </c>
      <c r="E63" s="364" t="s">
        <v>83</v>
      </c>
      <c r="F63" s="364" t="s">
        <v>80</v>
      </c>
      <c r="G63" s="366">
        <f>IFERROR(IF($E63="06",VLOOKUP($B63,예산실적비교표!$O$7:$R$200,2,FALSE),0),0)</f>
        <v>2400000</v>
      </c>
      <c r="H63" s="366">
        <f>IFERROR(IF($E63="06",VLOOKUP($C63,세출예산서!$K$3:$X$304,12,FALSE),0),0)</f>
        <v>2400000</v>
      </c>
      <c r="I63" s="366">
        <f>IFERROR(IF($E63="07",VLOOKUP($C63,세출예산서!$K$3:$X$304,13,FALSE),0),0)</f>
        <v>0</v>
      </c>
      <c r="J63" s="366">
        <f>IFERROR(IF($E63="05",VLOOKUP($C63,세출예산서!$K$3:$X$304,14,FALSE),0),0)</f>
        <v>0</v>
      </c>
      <c r="K63" s="366">
        <f t="shared" si="15"/>
        <v>0</v>
      </c>
      <c r="L63" s="367">
        <f>IFERROR(IF($AB$2="",0,ROUNDUP(VLOOKUP($B63,예산실적비교표!$O$7:$R$200,3,FALSE)*$Y$7/$Y$9,-3)*$Y$8),0)</f>
        <v>1164000</v>
      </c>
      <c r="M63" s="708" t="str">
        <f>IF($AM$1=TRUE,IF(K63="","",IF(IF($AE$2="",IF(K63="","",SUBTOTAL(2,$K$3:K63)),IF(AND(G63&gt;=0,K63=""),"",IF(AND(G63&gt;0,OR(K63&gt;0,K63&lt;0)),SUBTOTAL(2,$K$3:K63),IF(AND(G63=0,OR(K63&gt;0,K63&lt;0)),SUBTOTAL(2,$K$3:K63)+200,""))))&gt;200,"",1)),IF(K63="","",IF(IF($AE$2="",IF(K63="","",SUBTOTAL(2,$K$3:K63)),IF(AND(G63&gt;=0,K63=""),"",IF(AND(G63&gt;0,OR(K63&gt;0,K63&lt;0)),SUBTOTAL(2,$K$3:K63),IF(AND(G63=0,OR(K63&gt;0,K63&lt;0)),SUBTOTAL(2,$K$3:K63)+200,""))))&gt;200,"",1)))</f>
        <v/>
      </c>
      <c r="N63" s="214">
        <f>IF($AM$1=TRUE,IF(K63="","",IF(IF($AE$2="",IF(K63="","",SUBTOTAL(2,$K$3:K63)),IF(AND(G63&gt;=0,K63=""),"",IF(AND(G63&gt;0,OR(K63&gt;0,K63&lt;0)),SUBTOTAL(2,$K$3:K63),IF(AND(G63=0,OR(K63&gt;0,K63&lt;0)),SUBTOTAL(2,$K$3:K63)+200,""))))&lt;=200,"",2)),IF(K63="","",IF(IF($AE$2="",IF(K63="","",SUBTOTAL(2,$K$3:K63)),IF(AND(G63&gt;=0,K63=""),"",IF(AND(G63&gt;0,OR(K63&gt;0,K63&lt;0)),SUBTOTAL(2,$K$3:K63),IF(AND(G63=0,OR(K63&gt;0,K63&lt;0)),SUBTOTAL(2,$K$3:K63)+200,""))))&lt;=200,"",2)))</f>
        <v>2</v>
      </c>
      <c r="O63" s="541"/>
      <c r="P63" s="435">
        <f t="shared" si="18"/>
        <v>0</v>
      </c>
      <c r="Q63" s="566">
        <v>0</v>
      </c>
      <c r="R63" s="482" t="s">
        <v>30</v>
      </c>
      <c r="S63" s="438" t="s">
        <v>19</v>
      </c>
      <c r="T63" s="483">
        <f t="shared" si="19"/>
        <v>0</v>
      </c>
      <c r="U63" s="484">
        <f>IF(Q63=0,$Y$8,Q63)</f>
        <v>12</v>
      </c>
      <c r="V63" s="431" t="s">
        <v>127</v>
      </c>
      <c r="X63" s="656" t="str">
        <f>IF(예산실적비교표!A53="X","",예산실적비교표!A53)</f>
        <v>인지기능 등</v>
      </c>
      <c r="Y63" s="880">
        <f>IF($AB$2="",0,IF(예산실적비교표!B53=0,ROUND($AI$54/AA63*40%,-3),예산실적비교표!B53))</f>
        <v>250000</v>
      </c>
      <c r="Z63" s="1057" t="str">
        <f>IF(예산실적비교표!C53="X","",예산실적비교표!C53)</f>
        <v/>
      </c>
      <c r="AA63" s="637">
        <f>IF($Y$8&lt;&gt;예산실적비교표!$B$3,$Y$8,예산실적비교표!D53)</f>
        <v>12</v>
      </c>
      <c r="AB63" s="656" t="str">
        <f>IF(예산실적비교표!E53="X","",예산실적비교표!E53)</f>
        <v>상비약구입 등</v>
      </c>
      <c r="AC63" s="880">
        <f>IF($AB$2="",0,IF(AND(AB63="",예산실적비교표!F53=0),0,IF(예산실적비교표!F53=0,ROUND($AC$61*30%,-3),예산실적비교표!F53)))</f>
        <v>45000</v>
      </c>
      <c r="AD63" s="656" t="str">
        <f>IF(예산실적비교표!G53="X","",예산실적비교표!G53)</f>
        <v>각종근로지원금</v>
      </c>
      <c r="AE63" s="887">
        <v>150000</v>
      </c>
      <c r="AF63" s="637">
        <f>IF($Y$8&lt;&gt;예산실적비교표!$B$3,$Y$8,예산실적비교표!I53)</f>
        <v>12</v>
      </c>
      <c r="AH63" s="334" t="str">
        <f>세출예산서!L247</f>
        <v xml:space="preserve">  - </v>
      </c>
      <c r="AI63" s="1390">
        <f>세출예산서!V247</f>
        <v>0</v>
      </c>
      <c r="AJ63" s="1391"/>
      <c r="AP63" s="1182" t="s">
        <v>835</v>
      </c>
      <c r="AQ63" s="1183" t="s">
        <v>757</v>
      </c>
      <c r="AR63" s="1184">
        <v>2100000</v>
      </c>
      <c r="AS63" s="1185">
        <f>IF(예산실적비교표!AO63&lt;&gt;"",예산실적비교표!AO63,0)</f>
        <v>0</v>
      </c>
      <c r="AT63" s="1118">
        <f>IFERROR(ROUND((AR63+AS63)*$AR$1,-3),0)</f>
        <v>2100000</v>
      </c>
      <c r="AU63" s="1186">
        <f>IF(예산실적비교표!AQ63&lt;&gt;"",예산실적비교표!AQ63,0)</f>
        <v>0</v>
      </c>
      <c r="AV63" s="1120">
        <f t="shared" ref="AV63" si="20">IF(BB63="",0,BB63)</f>
        <v>175000</v>
      </c>
      <c r="AW63" s="1121">
        <f>IF(AR63="",0,ROUND((AT63*$AT$7)*데이터입력!$AF$14+(AT63*$AU$7)*데이터입력!$AF$14+(AT63*$AU$7*$AV$7)*데이터입력!$AF$14+(AT63*$AW$7)*데이터입력!$AF$14+(AT63*$AX$7)*데이터입력!$AF$14,-1))</f>
        <v>219640</v>
      </c>
      <c r="AX63" s="1122">
        <f t="shared" ref="AX63" si="21">IF(SUM(AT63:AW63)=0,0,SUM(AT63:AW63))</f>
        <v>2494640</v>
      </c>
      <c r="AY63" s="1123">
        <f>IFERROR(IF(AR63+AS63=0,0,ROUND(IF(데이터입력!$AF$14=100%,ROUND(AR63*$AR$1,-3),ROUND(AR63*$AR$1,-3)-ROUND(((AR63*$AR$1)*$AT$4)*(데이터입력!$AF$14-100%)+((AR63*$AR$1)*$AU$4)*(데이터입력!$AF$14-100%)+((AR63*$AR$1)*$AU$4*$AV$4)*(데이터입력!$AF$14-100%)+((AR63*$AR$1)*$AW$4)*(데이터입력!$AF$14-100%),-1)),0)),0)</f>
        <v>2100000</v>
      </c>
      <c r="AZ63" s="1124">
        <f>IFERROR(IF(AR63+AS63=0,0,IF(데이터입력!$AF$12=100%,(AT63),(AT63)+ROUND(AT63*(데이터입력!$AF$12-100%),-1))),0)</f>
        <v>2100000</v>
      </c>
      <c r="BA63" s="1265">
        <f t="shared" ref="BA63:BA127" si="22">IFERROR(IF(AZ63=0,"",ROUND(AZ63/12,0)),"")</f>
        <v>175000</v>
      </c>
      <c r="BB63" s="1264">
        <f>IF(BA63="","",IF(데이터입력!$O$68="",ROUND(AZ63/12,0),ROUND(데이터입력!$O$68/데이터입력!$Y$8/$BC$63,0)))</f>
        <v>175000</v>
      </c>
      <c r="BC63" s="1127">
        <f>COUNT($BA$63:$BA$262)</f>
        <v>5</v>
      </c>
      <c r="BD63" s="1127">
        <f>IF((COUNTA(AP63:AP262)-COUNTIF(AP63:AP262,""))&lt;0,COUNTA(AP63:AP262),COUNTA(AP63:AP262)-COUNTIF(AP63:AP262,""))</f>
        <v>5</v>
      </c>
    </row>
    <row r="64" spans="1:59" ht="18" thickTop="1" thickBot="1">
      <c r="A64" s="1046">
        <f>IF($AM$1=TRUE,IF(K64="","",SUBTOTAL(2,$K$3:K64)),IF(AND(M64="",N64=""),"",IF(N64="",COUNT($M$3:M64),COUNT($N$3:N64)+200)))</f>
        <v>24</v>
      </c>
      <c r="B64" s="365" t="s">
        <v>61</v>
      </c>
      <c r="C64" s="365" t="s">
        <v>573</v>
      </c>
      <c r="D64" s="364">
        <v>503010101</v>
      </c>
      <c r="E64" s="364" t="s">
        <v>83</v>
      </c>
      <c r="F64" s="364" t="s">
        <v>80</v>
      </c>
      <c r="G64" s="366">
        <f>IFERROR(IF($E64="06",VLOOKUP($B64,예산실적비교표!$O$7:$R$200,2,FALSE),0),0)</f>
        <v>36720000</v>
      </c>
      <c r="H64" s="366">
        <f>IFERROR(IF($E64="06",VLOOKUP($C64,세출예산서!$K$3:$X$304,12,FALSE),0),0)</f>
        <v>36414000</v>
      </c>
      <c r="I64" s="366">
        <f>IFERROR(IF($E64="07",VLOOKUP($C64,세출예산서!$K$3:$X$304,13,FALSE),0),0)</f>
        <v>0</v>
      </c>
      <c r="J64" s="366">
        <f>IFERROR(IF($E64="05",VLOOKUP($C64,세출예산서!$K$3:$X$304,14,FALSE),0),0)</f>
        <v>0</v>
      </c>
      <c r="K64" s="366">
        <f t="shared" si="15"/>
        <v>-306000</v>
      </c>
      <c r="L64" s="367">
        <f>IFERROR(IF($AB$2="",0,ROUNDUP(VLOOKUP($B64,예산실적비교표!$O$7:$R$200,3,FALSE)/$Y$9,-3)*$Y$8),0)</f>
        <v>23100000</v>
      </c>
      <c r="M64" s="708">
        <f>IF($AM$1=TRUE,IF(K64="","",IF(IF($AE$2="",IF(K64="","",SUBTOTAL(2,$K$3:K64)),IF(AND(G64&gt;=0,K64=""),"",IF(AND(G64&gt;0,OR(K64&gt;0,K64&lt;0)),SUBTOTAL(2,$K$3:K64),IF(AND(G64=0,OR(K64&gt;0,K64&lt;0)),SUBTOTAL(2,$K$3:K64)+200,""))))&gt;200,"",1)),IF(K64="","",IF(IF($AE$2="",IF(K64="","",SUBTOTAL(2,$K$3:K64)),IF(AND(G64&gt;=0,K64=""),"",IF(AND(G64&gt;0,OR(K64&gt;0,K64&lt;0)),SUBTOTAL(2,$K$3:K64),IF(AND(G64=0,OR(K64&gt;0,K64&lt;0)),SUBTOTAL(2,$K$3:K64)+200,""))))&gt;200,"",1)))</f>
        <v>1</v>
      </c>
      <c r="N64" s="214" t="str">
        <f>IF($AM$1=TRUE,IF(K64="","",IF(IF($AE$2="",IF(K64="","",SUBTOTAL(2,$K$3:K64)),IF(AND(G64&gt;=0,K64=""),"",IF(AND(G64&gt;0,OR(K64&gt;0,K64&lt;0)),SUBTOTAL(2,$K$3:K64),IF(AND(G64=0,OR(K64&gt;0,K64&lt;0)),SUBTOTAL(2,$K$3:K64)+200,""))))&lt;=200,"",2)),IF(K64="","",IF(IF($AE$2="",IF(K64="","",SUBTOTAL(2,$K$3:K64)),IF(AND(G64&gt;=0,K64=""),"",IF(AND(G64&gt;0,OR(K64&gt;0,K64&lt;0)),SUBTOTAL(2,$K$3:K64),IF(AND(G64=0,OR(K64&gt;0,K64&lt;0)),SUBTOTAL(2,$K$3:K64)+200,""))))&lt;=200,"",2)))</f>
        <v/>
      </c>
      <c r="O64" s="541"/>
      <c r="P64" s="435">
        <f t="shared" si="18"/>
        <v>0</v>
      </c>
      <c r="Q64" s="552"/>
      <c r="R64" s="482" t="s">
        <v>32</v>
      </c>
      <c r="S64" s="438" t="s">
        <v>19</v>
      </c>
      <c r="T64" s="483">
        <f t="shared" si="19"/>
        <v>0</v>
      </c>
      <c r="U64" s="484">
        <v>1</v>
      </c>
      <c r="V64" s="431" t="s">
        <v>127</v>
      </c>
      <c r="X64" s="656" t="str">
        <f>IF(예산실적비교표!A54="X","",예산실적비교표!A54)</f>
        <v>신체기능 등</v>
      </c>
      <c r="Y64" s="880">
        <f>IF($AB$2="",0,IF(예산실적비교표!B54=0,ROUND($AI$54/AA64*40%,-3),예산실적비교표!B54))</f>
        <v>250000</v>
      </c>
      <c r="Z64" s="1057" t="str">
        <f>IF(예산실적비교표!C54="X","",예산실적비교표!C54)</f>
        <v/>
      </c>
      <c r="AA64" s="637">
        <f>IF($Y$8&lt;&gt;예산실적비교표!$B$3,$Y$8,예산실적비교표!D54)</f>
        <v>12</v>
      </c>
      <c r="AB64" s="656" t="str">
        <f>IF(예산실적비교표!E54="X","",예산실적비교표!E54)</f>
        <v>기타</v>
      </c>
      <c r="AC64" s="880">
        <f>IF($AB$2="",0,IF(AND(AB64="",예산실적비교표!F54=0),0,IF(예산실적비교표!F54=0,ROUND($AC$61*30%,-3),예산실적비교표!F54)))</f>
        <v>23000</v>
      </c>
      <c r="AD64" s="656" t="str">
        <f>IF(예산실적비교표!G54="X","",예산실적비교표!G54)</f>
        <v>의료비대납외</v>
      </c>
      <c r="AE64" s="887">
        <v>50000</v>
      </c>
      <c r="AF64" s="637">
        <f>IF($Y$8&lt;&gt;예산실적비교표!$B$3,$Y$8,예산실적비교표!I54)</f>
        <v>12</v>
      </c>
      <c r="AH64" s="357" t="str">
        <f>세출예산서!L248</f>
        <v xml:space="preserve">  - </v>
      </c>
      <c r="AI64" s="1398">
        <f>세출예산서!V248</f>
        <v>0</v>
      </c>
      <c r="AJ64" s="1399"/>
      <c r="AP64" s="1182" t="s">
        <v>836</v>
      </c>
      <c r="AQ64" s="1183" t="s">
        <v>837</v>
      </c>
      <c r="AR64" s="1184">
        <v>2100000</v>
      </c>
      <c r="AS64" s="1185">
        <f>IF(예산실적비교표!AO64&lt;&gt;"",예산실적비교표!AO64,0)</f>
        <v>0</v>
      </c>
      <c r="AT64" s="1118">
        <f t="shared" ref="AT64:AT127" si="23">IFERROR(ROUND((AR64+AS64)*$AR$1,-3),0)</f>
        <v>2100000</v>
      </c>
      <c r="AU64" s="1186">
        <f>IF(예산실적비교표!AQ64&lt;&gt;"",예산실적비교표!AQ64,0)</f>
        <v>0</v>
      </c>
      <c r="AV64" s="1120">
        <f t="shared" ref="AV64:AV127" si="24">IF(BB64="",0,BB64)</f>
        <v>175000</v>
      </c>
      <c r="AW64" s="1121">
        <f>IF(AR64="",0,ROUND((AT64*$AT$7)*데이터입력!$AF$14+(AT64*$AU$7)*데이터입력!$AF$14+(AT64*$AU$7*$AV$7)*데이터입력!$AF$14+(AT64*$AW$7)*데이터입력!$AF$14+(AT64*$AX$7)*데이터입력!$AF$14,-1))</f>
        <v>219640</v>
      </c>
      <c r="AX64" s="1122">
        <f t="shared" ref="AX64:AX127" si="25">IF(SUM(AT64:AW64)=0,0,SUM(AT64:AW64))</f>
        <v>2494640</v>
      </c>
      <c r="AY64" s="1123">
        <f>IFERROR(IF(AR64+AS64=0,0,ROUND(IF(데이터입력!$AF$14=100%,ROUND(AR64*$AR$1,-3),ROUND(AR64*$AR$1,-3)-ROUND(((AR64*$AR$1)*$AT$4)*(데이터입력!$AF$14-100%)+((AR64*$AR$1)*$AU$4)*(데이터입력!$AF$14-100%)+((AR64*$AR$1)*$AU$4*$AV$4)*(데이터입력!$AF$14-100%)+((AR64*$AR$1)*$AW$4)*(데이터입력!$AF$14-100%),-1)),0)),0)</f>
        <v>2100000</v>
      </c>
      <c r="AZ64" s="1124">
        <f>IFERROR(IF(AR64+AS64=0,0,IF(데이터입력!$AF$12=100%,(AT64),(AT64)+ROUND(AT64*(데이터입력!$AF$12-100%),-1))),0)</f>
        <v>2100000</v>
      </c>
      <c r="BA64" s="1265">
        <f t="shared" si="22"/>
        <v>175000</v>
      </c>
      <c r="BB64" s="1264">
        <f>IF(BA64="","",IF(데이터입력!$O$68="",ROUND(AZ64/12,0),ROUND(데이터입력!$O$68/데이터입력!$Y$8/$BC$63,0)))</f>
        <v>175000</v>
      </c>
      <c r="BC64" s="1135" t="s">
        <v>664</v>
      </c>
      <c r="BD64" s="1136" t="s">
        <v>129</v>
      </c>
      <c r="BE64" s="1136" t="s">
        <v>662</v>
      </c>
      <c r="BF64" s="1137" t="s">
        <v>663</v>
      </c>
    </row>
    <row r="65" spans="1:58" ht="17.25" thickBot="1">
      <c r="A65" s="1046">
        <f>IF($AM$1=TRUE,IF(K65="","",SUBTOTAL(2,$K$3:K65)),IF(AND(M65="",N65=""),"",IF(N65="",COUNT($M$3:M65),COUNT($N$3:N65)+200)))</f>
        <v>25</v>
      </c>
      <c r="B65" s="365" t="s">
        <v>62</v>
      </c>
      <c r="C65" s="365" t="s">
        <v>574</v>
      </c>
      <c r="D65" s="364">
        <v>503010201</v>
      </c>
      <c r="E65" s="364" t="s">
        <v>83</v>
      </c>
      <c r="F65" s="364" t="s">
        <v>80</v>
      </c>
      <c r="G65" s="366">
        <f>IFERROR(IF($E65="06",VLOOKUP($B65,예산실적비교표!$O$7:$R$200,2,FALSE),0),0)</f>
        <v>3000000</v>
      </c>
      <c r="H65" s="366">
        <f>IFERROR(IF($E65="06",VLOOKUP($C65,세출예산서!$K$3:$X$304,12,FALSE),0),0)</f>
        <v>3000000</v>
      </c>
      <c r="I65" s="366">
        <f>IFERROR(IF($E65="07",VLOOKUP($C65,세출예산서!$K$3:$X$304,13,FALSE),0),0)</f>
        <v>0</v>
      </c>
      <c r="J65" s="366">
        <f>IFERROR(IF($E65="05",VLOOKUP($C65,세출예산서!$K$3:$X$304,14,FALSE),0),0)</f>
        <v>0</v>
      </c>
      <c r="K65" s="366">
        <f t="shared" si="15"/>
        <v>0</v>
      </c>
      <c r="L65" s="367">
        <f>IFERROR(IF($AB$2="",0,ROUNDUP(VLOOKUP($B65,예산실적비교표!$O$7:$R$200,3,FALSE)*$Y$7/$Y$9,-3)*$Y$8),0)</f>
        <v>180000</v>
      </c>
      <c r="M65" s="708" t="str">
        <f>IF($AM$1=TRUE,IF(K65="","",IF(IF($AE$2="",IF(K65="","",SUBTOTAL(2,$K$3:K65)),IF(AND(G65&gt;=0,K65=""),"",IF(AND(G65&gt;0,OR(K65&gt;0,K65&lt;0)),SUBTOTAL(2,$K$3:K65),IF(AND(G65=0,OR(K65&gt;0,K65&lt;0)),SUBTOTAL(2,$K$3:K65)+200,""))))&gt;200,"",1)),IF(K65="","",IF(IF($AE$2="",IF(K65="","",SUBTOTAL(2,$K$3:K65)),IF(AND(G65&gt;=0,K65=""),"",IF(AND(G65&gt;0,OR(K65&gt;0,K65&lt;0)),SUBTOTAL(2,$K$3:K65),IF(AND(G65=0,OR(K65&gt;0,K65&lt;0)),SUBTOTAL(2,$K$3:K65)+200,""))))&gt;200,"",1)))</f>
        <v/>
      </c>
      <c r="N65" s="214">
        <f>IF($AM$1=TRUE,IF(K65="","",IF(IF($AE$2="",IF(K65="","",SUBTOTAL(2,$K$3:K65)),IF(AND(G65&gt;=0,K65=""),"",IF(AND(G65&gt;0,OR(K65&gt;0,K65&lt;0)),SUBTOTAL(2,$K$3:K65),IF(AND(G65=0,OR(K65&gt;0,K65&lt;0)),SUBTOTAL(2,$K$3:K65)+200,""))))&lt;=200,"",2)),IF(K65="","",IF(IF($AE$2="",IF(K65="","",SUBTOTAL(2,$K$3:K65)),IF(AND(G65&gt;=0,K65=""),"",IF(AND(G65&gt;0,OR(K65&gt;0,K65&lt;0)),SUBTOTAL(2,$K$3:K65),IF(AND(G65=0,OR(K65&gt;0,K65&lt;0)),SUBTOTAL(2,$K$3:K65)+200,""))))&lt;=200,"",2)))</f>
        <v>2</v>
      </c>
      <c r="O65" s="543"/>
      <c r="P65" s="454">
        <f>IFERROR(IF(VLOOKUP(R65,$B$35:$L$40,11,FALSE)&gt;0,VLOOKUP(R65,$B$35:$L$40,6,FALSE),IF(SUM(J35:J39)&gt;0,10000,0)),0)</f>
        <v>0</v>
      </c>
      <c r="Q65" s="566">
        <v>0</v>
      </c>
      <c r="R65" s="486" t="s">
        <v>36</v>
      </c>
      <c r="S65" s="487" t="s">
        <v>82</v>
      </c>
      <c r="T65" s="488">
        <f>IF(O65="",ROUNDUP(P65,-3),O65)</f>
        <v>0</v>
      </c>
      <c r="U65" s="484">
        <f>IF(Q65=0,IF($Y$8&lt;7,1,2),Q65)</f>
        <v>2</v>
      </c>
      <c r="V65" s="476" t="s">
        <v>127</v>
      </c>
      <c r="X65" s="656" t="str">
        <f>IF(예산실적비교표!A55="X","",예산실적비교표!A55)</f>
        <v>사회적응</v>
      </c>
      <c r="Y65" s="880">
        <f>IF($AB$2="",0,예산실적비교표!B55)</f>
        <v>30000</v>
      </c>
      <c r="Z65" s="1057" t="str">
        <f>IF(예산실적비교표!C55="X","",$Y$24)</f>
        <v/>
      </c>
      <c r="AA65" s="637">
        <v>2</v>
      </c>
      <c r="AB65" s="656" t="str">
        <f>IF(예산실적비교표!E55="X","",예산실적비교표!E55)</f>
        <v/>
      </c>
      <c r="AC65" s="880">
        <f>IF($AB$2="",0,예산실적비교표!F55)</f>
        <v>0</v>
      </c>
      <c r="AD65" s="656" t="str">
        <f>IF(예산실적비교표!G55="X","",예산실적비교표!G55)</f>
        <v>과태료외</v>
      </c>
      <c r="AE65" s="887">
        <f>IF($AB$2="",0,예산실적비교표!H55)</f>
        <v>50000</v>
      </c>
      <c r="AF65" s="637">
        <f>IF($Y$8&lt;&gt;예산실적비교표!$B$3,$Y$8,예산실적비교표!I55)</f>
        <v>6</v>
      </c>
      <c r="AH65" s="648" t="str">
        <f>AD61</f>
        <v>잡지출</v>
      </c>
      <c r="AI65" s="1422">
        <f>세출예산서!$Z$277</f>
        <v>3912994</v>
      </c>
      <c r="AJ65" s="1423"/>
      <c r="AP65" s="1182" t="s">
        <v>838</v>
      </c>
      <c r="AQ65" s="1183" t="s">
        <v>763</v>
      </c>
      <c r="AR65" s="1184">
        <v>2126020</v>
      </c>
      <c r="AS65" s="1185">
        <f>IF(예산실적비교표!AO65&lt;&gt;"",예산실적비교표!AO65,0)</f>
        <v>0</v>
      </c>
      <c r="AT65" s="1118">
        <f t="shared" si="23"/>
        <v>2126000</v>
      </c>
      <c r="AU65" s="1186">
        <f>IF(예산실적비교표!AQ65&lt;&gt;"",예산실적비교표!AQ65,0)</f>
        <v>0</v>
      </c>
      <c r="AV65" s="1120">
        <f t="shared" si="24"/>
        <v>177167</v>
      </c>
      <c r="AW65" s="1121">
        <f>IF(AR65="",0,ROUND((AT65*$AT$7)*데이터입력!$AF$14+(AT65*$AU$7)*데이터입력!$AF$14+(AT65*$AU$7*$AV$7)*데이터입력!$AF$14+(AT65*$AW$7)*데이터입력!$AF$14+(AT65*$AX$7)*데이터입력!$AF$14,-1))</f>
        <v>222360</v>
      </c>
      <c r="AX65" s="1122">
        <f t="shared" si="25"/>
        <v>2525527</v>
      </c>
      <c r="AY65" s="1123">
        <f>IFERROR(IF(AR65+AS65=0,0,ROUND(IF(데이터입력!$AF$14=100%,ROUND(AR65*$AR$1,-3),ROUND(AR65*$AR$1,-3)-ROUND(((AR65*$AR$1)*$AT$4)*(데이터입력!$AF$14-100%)+((AR65*$AR$1)*$AU$4)*(데이터입력!$AF$14-100%)+((AR65*$AR$1)*$AU$4*$AV$4)*(데이터입력!$AF$14-100%)+((AR65*$AR$1)*$AW$4)*(데이터입력!$AF$14-100%),-1)),0)),0)</f>
        <v>2126000</v>
      </c>
      <c r="AZ65" s="1124">
        <f>IFERROR(IF(AR65+AS65=0,0,IF(데이터입력!$AF$12=100%,(AT65),(AT65)+ROUND(AT65*(데이터입력!$AF$12-100%),-1))),0)</f>
        <v>2126000</v>
      </c>
      <c r="BA65" s="1265">
        <f t="shared" si="22"/>
        <v>177167</v>
      </c>
      <c r="BB65" s="1264">
        <f>IF(BA65="","",IF(데이터입력!$O$68="",ROUND(AZ65/12,0),ROUND(데이터입력!$O$68/데이터입력!$Y$8/$BC$63,0)))</f>
        <v>177167</v>
      </c>
      <c r="BC65" s="1138" t="str">
        <f>데이터입력!$B$42</f>
        <v>급여(직접비)</v>
      </c>
      <c r="BD65" s="1139">
        <f>보수일람표!$I$262</f>
        <v>126936000</v>
      </c>
      <c r="BE65" s="1139">
        <f>IFERROR(IF(데이터입력!$L$42=0,ROUNDUP($AR$6*VLOOKUP(데이터입력!$AB$2,데이터입력!$AH$17:$AI$23,2,FALSE),0)-SUM(보수일람표!$J$262:$M$262),데이터입력!$L$42),0)</f>
        <v>69360000</v>
      </c>
      <c r="BF65" s="1140">
        <f>IF((BE65-BD65)&lt;=0,0,BE65-BD65)</f>
        <v>0</v>
      </c>
    </row>
    <row r="66" spans="1:58" ht="17.25" thickBot="1">
      <c r="A66" s="1046">
        <f>IF($AM$1=TRUE,IF(K66="","",SUBTOTAL(2,$K$3:K66)),IF(AND(M66="",N66=""),"",IF(N66="",COUNT($M$3:M66),COUNT($N$3:N66)+200)))</f>
        <v>26</v>
      </c>
      <c r="B66" s="365" t="s">
        <v>63</v>
      </c>
      <c r="C66" s="365" t="s">
        <v>575</v>
      </c>
      <c r="D66" s="364">
        <v>503010401</v>
      </c>
      <c r="E66" s="364" t="s">
        <v>83</v>
      </c>
      <c r="F66" s="364" t="s">
        <v>80</v>
      </c>
      <c r="G66" s="366">
        <f>IFERROR(IF($E66="06",VLOOKUP($B66,예산실적비교표!$O$7:$R$200,2,FALSE),0),0)</f>
        <v>1800000</v>
      </c>
      <c r="H66" s="366">
        <f>IFERROR(IF($E66="06",VLOOKUP($C66,세출예산서!$K$3:$X$304,12,FALSE),0),0)</f>
        <v>1800000</v>
      </c>
      <c r="I66" s="366">
        <f>IFERROR(IF($E66="07",VLOOKUP($C66,세출예산서!$K$3:$X$304,13,FALSE),0),0)</f>
        <v>0</v>
      </c>
      <c r="J66" s="366">
        <f>IFERROR(IF($E66="05",VLOOKUP($C66,세출예산서!$K$3:$X$304,14,FALSE),0),0)</f>
        <v>0</v>
      </c>
      <c r="K66" s="366">
        <f t="shared" si="15"/>
        <v>0</v>
      </c>
      <c r="L66" s="367">
        <f>IFERROR(IF($AB$2="",0,ROUNDUP(VLOOKUP($B66,예산실적비교표!$O$7:$R$200,3,FALSE)*$Y$7/$Y$9,-3)*$Y$8),0)</f>
        <v>156000</v>
      </c>
      <c r="M66" s="708" t="str">
        <f>IF($AM$1=TRUE,IF(K66="","",IF(IF($AE$2="",IF(K66="","",SUBTOTAL(2,$K$3:K66)),IF(AND(G66&gt;=0,K66=""),"",IF(AND(G66&gt;0,OR(K66&gt;0,K66&lt;0)),SUBTOTAL(2,$K$3:K66),IF(AND(G66=0,OR(K66&gt;0,K66&lt;0)),SUBTOTAL(2,$K$3:K66)+200,""))))&gt;200,"",1)),IF(K66="","",IF(IF($AE$2="",IF(K66="","",SUBTOTAL(2,$K$3:K66)),IF(AND(G66&gt;=0,K66=""),"",IF(AND(G66&gt;0,OR(K66&gt;0,K66&lt;0)),SUBTOTAL(2,$K$3:K66),IF(AND(G66=0,OR(K66&gt;0,K66&lt;0)),SUBTOTAL(2,$K$3:K66)+200,""))))&gt;200,"",1)))</f>
        <v/>
      </c>
      <c r="N66" s="214">
        <f>IF($AM$1=TRUE,IF(K66="","",IF(IF($AE$2="",IF(K66="","",SUBTOTAL(2,$K$3:K66)),IF(AND(G66&gt;=0,K66=""),"",IF(AND(G66&gt;0,OR(K66&gt;0,K66&lt;0)),SUBTOTAL(2,$K$3:K66),IF(AND(G66=0,OR(K66&gt;0,K66&lt;0)),SUBTOTAL(2,$K$3:K66)+200,""))))&lt;=200,"",2)),IF(K66="","",IF(IF($AE$2="",IF(K66="","",SUBTOTAL(2,$K$3:K66)),IF(AND(G66&gt;=0,K66=""),"",IF(AND(G66&gt;0,OR(K66&gt;0,K66&lt;0)),SUBTOTAL(2,$K$3:K66),IF(AND(G66=0,OR(K66&gt;0,K66&lt;0)),SUBTOTAL(2,$K$3:K66)+200,""))))&lt;=200,"",2)))</f>
        <v>2</v>
      </c>
      <c r="O66" s="1440" t="s">
        <v>137</v>
      </c>
      <c r="P66" s="1441"/>
      <c r="Q66" s="1441"/>
      <c r="R66" s="1441"/>
      <c r="S66" s="1441"/>
      <c r="T66" s="1441"/>
      <c r="U66" s="1441"/>
      <c r="V66" s="1442"/>
      <c r="X66" s="656" t="str">
        <f>IF(예산실적비교표!A56="X","",예산실적비교표!A56)</f>
        <v>명절잔치(수급자)</v>
      </c>
      <c r="Y66" s="880">
        <f>IF($AB$2="",0,예산실적비교표!B56)</f>
        <v>50000</v>
      </c>
      <c r="Z66" s="1057" t="str">
        <f>IF(예산실적비교표!C56="X","",예산실적비교표!C56)</f>
        <v/>
      </c>
      <c r="AA66" s="637">
        <f>IF($Y$8&lt;&gt;예산실적비교표!$B$3,$Y$8,예산실적비교표!D56)</f>
        <v>2</v>
      </c>
      <c r="AB66" s="656" t="str">
        <f>IF(예산실적비교표!E56="X","",예산실적비교표!E56)</f>
        <v/>
      </c>
      <c r="AC66" s="880">
        <f>IF($AB$2="",0,예산실적비교표!F56)</f>
        <v>0</v>
      </c>
      <c r="AD66" s="656" t="str">
        <f>IF(예산실적비교표!G56="X","",예산실적비교표!G56)</f>
        <v/>
      </c>
      <c r="AE66" s="887">
        <f>IF($AB$2="",0,예산실적비교표!H56)</f>
        <v>0</v>
      </c>
      <c r="AF66" s="637">
        <f>IF($Y$8&lt;&gt;예산실적비교표!$B$3,$Y$8,예산실적비교표!I56)</f>
        <v>12</v>
      </c>
      <c r="AH66" s="356" t="str">
        <f>세출예산서!L278</f>
        <v xml:space="preserve">  - 잡지출</v>
      </c>
      <c r="AI66" s="1388">
        <f>세출예산서!V278</f>
        <v>1212994</v>
      </c>
      <c r="AJ66" s="1389"/>
      <c r="AP66" s="1182" t="s">
        <v>839</v>
      </c>
      <c r="AQ66" s="1183" t="s">
        <v>763</v>
      </c>
      <c r="AR66" s="1184">
        <v>2126020</v>
      </c>
      <c r="AS66" s="1185">
        <f>IF(예산실적비교표!AO66&lt;&gt;"",예산실적비교표!AO66,0)</f>
        <v>0</v>
      </c>
      <c r="AT66" s="1118">
        <f t="shared" si="23"/>
        <v>2126000</v>
      </c>
      <c r="AU66" s="1186">
        <f>IF(예산실적비교표!AQ66&lt;&gt;"",예산실적비교표!AQ66,0)</f>
        <v>0</v>
      </c>
      <c r="AV66" s="1120">
        <f t="shared" si="24"/>
        <v>177167</v>
      </c>
      <c r="AW66" s="1121">
        <f>IF(AR66="",0,ROUND((AT66*$AT$7)*데이터입력!$AF$14+(AT66*$AU$7)*데이터입력!$AF$14+(AT66*$AU$7*$AV$7)*데이터입력!$AF$14+(AT66*$AW$7)*데이터입력!$AF$14+(AT66*$AX$7)*데이터입력!$AF$14,-1))</f>
        <v>222360</v>
      </c>
      <c r="AX66" s="1122">
        <f t="shared" si="25"/>
        <v>2525527</v>
      </c>
      <c r="AY66" s="1123">
        <f>IFERROR(IF(AR66+AS66=0,0,ROUND(IF(데이터입력!$AF$14=100%,ROUND(AR66*$AR$1,-3),ROUND(AR66*$AR$1,-3)-ROUND(((AR66*$AR$1)*$AT$4)*(데이터입력!$AF$14-100%)+((AR66*$AR$1)*$AU$4)*(데이터입력!$AF$14-100%)+((AR66*$AR$1)*$AU$4*$AV$4)*(데이터입력!$AF$14-100%)+((AR66*$AR$1)*$AW$4)*(데이터입력!$AF$14-100%),-1)),0)),0)</f>
        <v>2126000</v>
      </c>
      <c r="AZ66" s="1124">
        <f>IFERROR(IF(AR66+AS66=0,0,IF(데이터입력!$AF$12=100%,(AT66),(AT66)+ROUND(AT66*(데이터입력!$AF$12-100%),-1))),0)</f>
        <v>2126000</v>
      </c>
      <c r="BA66" s="1265">
        <f t="shared" si="22"/>
        <v>177167</v>
      </c>
      <c r="BB66" s="1264">
        <f>IF(BA66="","",IF(데이터입력!$O$68="",ROUND(AZ66/12,0),ROUND(데이터입력!$O$68/데이터입력!$Y$8/$BC$63,0)))</f>
        <v>177167</v>
      </c>
      <c r="BC66" s="1138" t="str">
        <f>데이터입력!$B$43</f>
        <v>급여(간접비)</v>
      </c>
      <c r="BD66" s="1139">
        <f>보수일람표!$I$261</f>
        <v>55434480</v>
      </c>
      <c r="BE66" s="1139">
        <f>데이터입력!$L$43</f>
        <v>45648000</v>
      </c>
      <c r="BF66" s="1140">
        <f t="shared" ref="BF66:BF72" si="26">IF((BE66-BD66)&lt;=0,0,BE66-BD66)</f>
        <v>0</v>
      </c>
    </row>
    <row r="67" spans="1:58">
      <c r="A67" s="1046" t="str">
        <f>IF($AM$1=TRUE,IF(K67="","",SUBTOTAL(2,$K$3:K67)),IF(AND(M67="",N67=""),"",IF(N67="",COUNT($M$3:M67),COUNT($N$3:N67)+200)))</f>
        <v/>
      </c>
      <c r="B67" s="365" t="s">
        <v>64</v>
      </c>
      <c r="C67" s="365" t="s">
        <v>576</v>
      </c>
      <c r="D67" s="364">
        <v>503010501</v>
      </c>
      <c r="E67" s="364" t="s">
        <v>83</v>
      </c>
      <c r="F67" s="364" t="s">
        <v>80</v>
      </c>
      <c r="G67" s="366">
        <f>IFERROR(IF($E67="06",VLOOKUP($B67,예산실적비교표!$O$7:$R$200,2,FALSE),0),0)</f>
        <v>0</v>
      </c>
      <c r="H67" s="366">
        <f>IFERROR(IF($E67="06",VLOOKUP($C67,세출예산서!$K$3:$X$304,12,FALSE),0),0)</f>
        <v>0</v>
      </c>
      <c r="I67" s="366">
        <f>IFERROR(IF($E67="07",VLOOKUP($C67,세출예산서!$K$3:$X$304,13,FALSE),0),0)</f>
        <v>0</v>
      </c>
      <c r="J67" s="366">
        <f>IFERROR(IF($E67="05",VLOOKUP($C67,세출예산서!$K$3:$X$304,14,FALSE),0),0)</f>
        <v>0</v>
      </c>
      <c r="K67" s="366" t="str">
        <f t="shared" si="15"/>
        <v/>
      </c>
      <c r="L67" s="367">
        <f>IFERROR(IF($AB$2="",0,ROUNDUP(VLOOKUP($B67,예산실적비교표!$O$7:$R$200,3,FALSE)*$Y$7/$Y$9,-3)*$Y$8),0)</f>
        <v>0</v>
      </c>
      <c r="M67" s="708" t="str">
        <f>IF($AM$1=TRUE,IF(K67="","",IF(IF($AE$2="",IF(K67="","",SUBTOTAL(2,$K$3:K67)),IF(AND(G67&gt;=0,K67=""),"",IF(AND(G67&gt;0,OR(K67&gt;0,K67&lt;0)),SUBTOTAL(2,$K$3:K67),IF(AND(G67=0,OR(K67&gt;0,K67&lt;0)),SUBTOTAL(2,$K$3:K67)+200,""))))&gt;200,"",1)),IF(K67="","",IF(IF($AE$2="",IF(K67="","",SUBTOTAL(2,$K$3:K67)),IF(AND(G67&gt;=0,K67=""),"",IF(AND(G67&gt;0,OR(K67&gt;0,K67&lt;0)),SUBTOTAL(2,$K$3:K67),IF(AND(G67=0,OR(K67&gt;0,K67&lt;0)),SUBTOTAL(2,$K$3:K67)+200,""))))&gt;200,"",1)))</f>
        <v/>
      </c>
      <c r="N67" s="214" t="str">
        <f>IF($AM$1=TRUE,IF(K67="","",IF(IF($AE$2="",IF(K67="","",SUBTOTAL(2,$K$3:K67)),IF(AND(G67&gt;=0,K67=""),"",IF(AND(G67&gt;0,OR(K67&gt;0,K67&lt;0)),SUBTOTAL(2,$K$3:K67),IF(AND(G67=0,OR(K67&gt;0,K67&lt;0)),SUBTOTAL(2,$K$3:K67)+200,""))))&lt;=200,"",2)),IF(K67="","",IF(IF($AE$2="",IF(K67="","",SUBTOTAL(2,$K$3:K67)),IF(AND(G67&gt;=0,K67=""),"",IF(AND(G67&gt;0,OR(K67&gt;0,K67&lt;0)),SUBTOTAL(2,$K$3:K67),IF(AND(G67=0,OR(K67&gt;0,K67&lt;0)),SUBTOTAL(2,$K$3:K67)+200,""))))&lt;=200,"",2)))</f>
        <v/>
      </c>
      <c r="O67" s="560"/>
      <c r="P67" s="427">
        <f>IFERROR(IF(VLOOKUP(R67,$B$42:$L$80,11,FALSE)&gt;0,VLOOKUP(R67,$B$42:$L$80,11,FALSE),0),0)</f>
        <v>8484000</v>
      </c>
      <c r="Q67" s="564"/>
      <c r="R67" s="490" t="s">
        <v>46</v>
      </c>
      <c r="S67" s="491" t="s">
        <v>80</v>
      </c>
      <c r="T67" s="682">
        <f>O67</f>
        <v>0</v>
      </c>
      <c r="U67" s="568">
        <f>IF(Q67=0,$Y$8,Q67)</f>
        <v>12</v>
      </c>
      <c r="V67" s="492" t="s">
        <v>143</v>
      </c>
      <c r="X67" s="656" t="str">
        <f>IF(예산실적비교표!A57="X","",예산실적비교표!A57)</f>
        <v>생일잔치(수급자)</v>
      </c>
      <c r="Y67" s="880">
        <f>IF($AB$2="",0,예산실적비교표!B57)</f>
        <v>70000</v>
      </c>
      <c r="Z67" s="1057" t="str">
        <f>IF(예산실적비교표!C57="X","",예산실적비교표!C57)</f>
        <v/>
      </c>
      <c r="AA67" s="637">
        <f>IF($Y$8&lt;&gt;예산실적비교표!$B$3,$Y$8,예산실적비교표!D57)</f>
        <v>12</v>
      </c>
      <c r="AB67" s="656" t="str">
        <f>IF(예산실적비교표!E57="X","",예산실적비교표!E57)</f>
        <v/>
      </c>
      <c r="AC67" s="880">
        <f>IF($AB$2="",0,예산실적비교표!F57)</f>
        <v>0</v>
      </c>
      <c r="AD67" s="656" t="str">
        <f>IF(예산실적비교표!G57="X","",예산실적비교표!G57)</f>
        <v/>
      </c>
      <c r="AE67" s="887">
        <f>IF($AB$2="",0,예산실적비교표!H57)</f>
        <v>0</v>
      </c>
      <c r="AF67" s="637">
        <f>IF($Y$8&lt;&gt;예산실적비교표!$B$3,$Y$8,예산실적비교표!I57)</f>
        <v>12</v>
      </c>
      <c r="AH67" s="334" t="str">
        <f>세출예산서!L279</f>
        <v xml:space="preserve">  - 각종근로지원금</v>
      </c>
      <c r="AI67" s="1390">
        <f>세출예산서!V279</f>
        <v>1800000</v>
      </c>
      <c r="AJ67" s="1391"/>
      <c r="AP67" s="1182" t="s">
        <v>840</v>
      </c>
      <c r="AQ67" s="1183" t="s">
        <v>763</v>
      </c>
      <c r="AR67" s="1184">
        <v>2126020</v>
      </c>
      <c r="AS67" s="1185">
        <f>IF(예산실적비교표!AO67&lt;&gt;"",예산실적비교표!AO67,0)</f>
        <v>0</v>
      </c>
      <c r="AT67" s="1118">
        <f t="shared" si="23"/>
        <v>2126000</v>
      </c>
      <c r="AU67" s="1186">
        <f>IF(예산실적비교표!AQ67&lt;&gt;"",예산실적비교표!AQ67,0)</f>
        <v>0</v>
      </c>
      <c r="AV67" s="1120">
        <f t="shared" si="24"/>
        <v>177167</v>
      </c>
      <c r="AW67" s="1121">
        <f>IF(AR67="",0,ROUND((AT67*$AT$7)*데이터입력!$AF$14+(AT67*$AU$7)*데이터입력!$AF$14+(AT67*$AU$7*$AV$7)*데이터입력!$AF$14+(AT67*$AW$7)*데이터입력!$AF$14+(AT67*$AX$7)*데이터입력!$AF$14,-1))</f>
        <v>222360</v>
      </c>
      <c r="AX67" s="1122">
        <f t="shared" si="25"/>
        <v>2525527</v>
      </c>
      <c r="AY67" s="1123">
        <f>IFERROR(IF(AR67+AS67=0,0,ROUND(IF(데이터입력!$AF$14=100%,ROUND(AR67*$AR$1,-3),ROUND(AR67*$AR$1,-3)-ROUND(((AR67*$AR$1)*$AT$4)*(데이터입력!$AF$14-100%)+((AR67*$AR$1)*$AU$4)*(데이터입력!$AF$14-100%)+((AR67*$AR$1)*$AU$4*$AV$4)*(데이터입력!$AF$14-100%)+((AR67*$AR$1)*$AW$4)*(데이터입력!$AF$14-100%),-1)),0)),0)</f>
        <v>2126000</v>
      </c>
      <c r="AZ67" s="1124">
        <f>IFERROR(IF(AR67+AS67=0,0,IF(데이터입력!$AF$12=100%,(AT67),(AT67)+ROUND(AT67*(데이터입력!$AF$12-100%),-1))),0)</f>
        <v>2126000</v>
      </c>
      <c r="BA67" s="1265">
        <f t="shared" si="22"/>
        <v>177167</v>
      </c>
      <c r="BB67" s="1264">
        <f>IF(BA67="","",IF(데이터입력!$O$68="",ROUND(AZ67/12,0),ROUND(데이터입력!$O$68/데이터입력!$Y$8/$BC$63,0)))</f>
        <v>177167</v>
      </c>
      <c r="BC67" s="1138" t="str">
        <f>데이터입력!$B$44</f>
        <v>각종수당(직접비)</v>
      </c>
      <c r="BD67" s="1139">
        <f>보수일람표!$J$262</f>
        <v>0</v>
      </c>
      <c r="BE67" s="1139">
        <f>데이터입력!$L$44</f>
        <v>0</v>
      </c>
      <c r="BF67" s="1140">
        <f t="shared" si="26"/>
        <v>0</v>
      </c>
    </row>
    <row r="68" spans="1:58">
      <c r="A68" s="1046">
        <f>IF($AM$1=TRUE,IF(K68="","",SUBTOTAL(2,$K$3:K68)),IF(AND(M68="",N68=""),"",IF(N68="",COUNT($M$3:M68),COUNT($N$3:N68)+200)))</f>
        <v>27</v>
      </c>
      <c r="B68" s="365" t="s">
        <v>65</v>
      </c>
      <c r="C68" s="365" t="s">
        <v>577</v>
      </c>
      <c r="D68" s="364">
        <v>503030101</v>
      </c>
      <c r="E68" s="364" t="s">
        <v>83</v>
      </c>
      <c r="F68" s="364" t="s">
        <v>80</v>
      </c>
      <c r="G68" s="366">
        <f>IFERROR(IF($E68="06",VLOOKUP($B68,예산실적비교표!$O$7:$R$200,2,FALSE),0),0)</f>
        <v>8396000</v>
      </c>
      <c r="H68" s="366">
        <f>IFERROR(IF($E68="06",VLOOKUP($C68,세출예산서!$K$3:$X$304,12,FALSE),0),0)</f>
        <v>8396000</v>
      </c>
      <c r="I68" s="366">
        <f>IFERROR(IF($E68="07",VLOOKUP($C68,세출예산서!$K$3:$X$304,13,FALSE),0),0)</f>
        <v>0</v>
      </c>
      <c r="J68" s="366">
        <f>IFERROR(IF($E68="05",VLOOKUP($C68,세출예산서!$K$3:$X$304,14,FALSE),0),0)</f>
        <v>0</v>
      </c>
      <c r="K68" s="366">
        <f t="shared" si="15"/>
        <v>0</v>
      </c>
      <c r="L68" s="367">
        <f>IFERROR(IF($AB$2="",0,ROUNDUP(VLOOKUP($B68,예산실적비교표!$O$7:$R$200,3,FALSE)*$Y$7/$Y$9,-3)*$Y$8),0)</f>
        <v>4332000</v>
      </c>
      <c r="M68" s="708" t="str">
        <f>IF($AM$1=TRUE,IF(K68="","",IF(IF($AE$2="",IF(K68="","",SUBTOTAL(2,$K$3:K68)),IF(AND(G68&gt;=0,K68=""),"",IF(AND(G68&gt;0,OR(K68&gt;0,K68&lt;0)),SUBTOTAL(2,$K$3:K68),IF(AND(G68=0,OR(K68&gt;0,K68&lt;0)),SUBTOTAL(2,$K$3:K68)+200,""))))&gt;200,"",1)),IF(K68="","",IF(IF($AE$2="",IF(K68="","",SUBTOTAL(2,$K$3:K68)),IF(AND(G68&gt;=0,K68=""),"",IF(AND(G68&gt;0,OR(K68&gt;0,K68&lt;0)),SUBTOTAL(2,$K$3:K68),IF(AND(G68=0,OR(K68&gt;0,K68&lt;0)),SUBTOTAL(2,$K$3:K68)+200,""))))&gt;200,"",1)))</f>
        <v/>
      </c>
      <c r="N68" s="214">
        <f>IF($AM$1=TRUE,IF(K68="","",IF(IF($AE$2="",IF(K68="","",SUBTOTAL(2,$K$3:K68)),IF(AND(G68&gt;=0,K68=""),"",IF(AND(G68&gt;0,OR(K68&gt;0,K68&lt;0)),SUBTOTAL(2,$K$3:K68),IF(AND(G68=0,OR(K68&gt;0,K68&lt;0)),SUBTOTAL(2,$K$3:K68)+200,""))))&lt;=200,"",2)),IF(K68="","",IF(IF($AE$2="",IF(K68="","",SUBTOTAL(2,$K$3:K68)),IF(AND(G68&gt;=0,K68=""),"",IF(AND(G68&gt;0,OR(K68&gt;0,K68&lt;0)),SUBTOTAL(2,$K$3:K68),IF(AND(G68=0,OR(K68&gt;0,K68&lt;0)),SUBTOTAL(2,$K$3:K68)+200,""))))&lt;=200,"",2)))</f>
        <v>2</v>
      </c>
      <c r="O68" s="561"/>
      <c r="P68" s="435">
        <f>IFERROR(IF(VLOOKUP(R68,$B$42:$L$80,11,FALSE)&gt;0,VLOOKUP(R68,$B$42:$L$80,11,FALSE),0),0)</f>
        <v>1860000</v>
      </c>
      <c r="Q68" s="565"/>
      <c r="R68" s="493" t="s">
        <v>47</v>
      </c>
      <c r="S68" s="494" t="s">
        <v>80</v>
      </c>
      <c r="T68" s="683">
        <f>O68</f>
        <v>0</v>
      </c>
      <c r="U68" s="569">
        <f>IF(Q68=0,$Y$8,Q68)</f>
        <v>12</v>
      </c>
      <c r="V68" s="495" t="s">
        <v>143</v>
      </c>
      <c r="X68" s="656" t="str">
        <f>IF(예산실적비교표!A58="X","",예산실적비교표!A58)</f>
        <v>가족내방참여</v>
      </c>
      <c r="Y68" s="880">
        <f>IF($AB$2="",0,예산실적비교표!B58)</f>
        <v>100000</v>
      </c>
      <c r="Z68" s="1057" t="str">
        <f>IF(예산실적비교표!C58="X","",예산실적비교표!C58)</f>
        <v/>
      </c>
      <c r="AA68" s="637">
        <f>IF($Y$8&lt;&gt;예산실적비교표!$B$3,$Y$8,예산실적비교표!D58)</f>
        <v>2</v>
      </c>
      <c r="AB68" s="656" t="str">
        <f>IF(예산실적비교표!E58="X","",예산실적비교표!E58)</f>
        <v/>
      </c>
      <c r="AC68" s="880">
        <f>IF($AB$2="",0,예산실적비교표!F58)</f>
        <v>0</v>
      </c>
      <c r="AD68" s="656" t="str">
        <f>IF(예산실적비교표!G58="X","",예산실적비교표!G58)</f>
        <v/>
      </c>
      <c r="AE68" s="887">
        <f>IF($AB$2="",0,예산실적비교표!H58)</f>
        <v>0</v>
      </c>
      <c r="AF68" s="637">
        <f>IF($Y$8&lt;&gt;예산실적비교표!$B$3,$Y$8,예산실적비교표!I58)</f>
        <v>12</v>
      </c>
      <c r="AH68" s="334" t="str">
        <f>세출예산서!L280</f>
        <v xml:space="preserve">  - 의료비대납외</v>
      </c>
      <c r="AI68" s="1390">
        <f>세출예산서!V280</f>
        <v>600000</v>
      </c>
      <c r="AJ68" s="1391"/>
      <c r="AP68" s="1182" t="str">
        <f>IF(예산실적비교표!AL68&lt;&gt;"",예산실적비교표!AL68,"")</f>
        <v/>
      </c>
      <c r="AQ68" s="1183" t="str">
        <f>IF(예산실적비교표!AM68&lt;&gt;"",예산실적비교표!AM68,"")</f>
        <v/>
      </c>
      <c r="AR68" s="1184">
        <f>IF(예산실적비교표!AN68&lt;&gt;"",예산실적비교표!AN68,0)</f>
        <v>0</v>
      </c>
      <c r="AS68" s="1185">
        <f>IF(예산실적비교표!AO68&lt;&gt;"",예산실적비교표!AO68,0)</f>
        <v>0</v>
      </c>
      <c r="AT68" s="1118">
        <f t="shared" si="23"/>
        <v>0</v>
      </c>
      <c r="AU68" s="1186">
        <f>IF(예산실적비교표!AQ68&lt;&gt;"",예산실적비교표!AQ68,0)</f>
        <v>0</v>
      </c>
      <c r="AV68" s="1120">
        <f t="shared" si="24"/>
        <v>0</v>
      </c>
      <c r="AW68" s="1121">
        <f>IF(AR68="",0,ROUND((AT68*$AT$7)*데이터입력!$AF$14+(AT68*$AU$7)*데이터입력!$AF$14+(AT68*$AU$7*$AV$7)*데이터입력!$AF$14+(AT68*$AW$7)*데이터입력!$AF$14+(AT68*$AX$7)*데이터입력!$AF$14,-1))</f>
        <v>0</v>
      </c>
      <c r="AX68" s="1122">
        <f t="shared" si="25"/>
        <v>0</v>
      </c>
      <c r="AY68" s="1123">
        <f>IFERROR(IF(AR68+AS68=0,0,ROUND(IF(데이터입력!$AF$14=100%,ROUND(AR68*$AR$1,-3),ROUND(AR68*$AR$1,-3)-ROUND(((AR68*$AR$1)*$AT$4)*(데이터입력!$AF$14-100%)+((AR68*$AR$1)*$AU$4)*(데이터입력!$AF$14-100%)+((AR68*$AR$1)*$AU$4*$AV$4)*(데이터입력!$AF$14-100%)+((AR68*$AR$1)*$AW$4)*(데이터입력!$AF$14-100%),-1)),0)),0)</f>
        <v>0</v>
      </c>
      <c r="AZ68" s="1124">
        <f>IFERROR(IF(AR68+AS68=0,0,IF(데이터입력!$AF$12=100%,(AT68),(AT68)+ROUND(AT68*(데이터입력!$AF$12-100%),-1))),0)</f>
        <v>0</v>
      </c>
      <c r="BA68" s="1265" t="str">
        <f t="shared" si="22"/>
        <v/>
      </c>
      <c r="BB68" s="1264" t="str">
        <f>IF(BA68="","",IF(데이터입력!$O$68="",ROUND(AZ68/12,0),ROUND(데이터입력!$O$68/데이터입력!$Y$8/$BC$63,0)))</f>
        <v/>
      </c>
      <c r="BC68" s="1138" t="str">
        <f>데이터입력!$B$45</f>
        <v>각종수당(간접비)</v>
      </c>
      <c r="BD68" s="1139">
        <f>보수일람표!$J$261</f>
        <v>0</v>
      </c>
      <c r="BE68" s="1139">
        <f>데이터입력!$L$45</f>
        <v>0</v>
      </c>
      <c r="BF68" s="1140">
        <f t="shared" si="26"/>
        <v>0</v>
      </c>
    </row>
    <row r="69" spans="1:58">
      <c r="A69" s="1046" t="str">
        <f>IF($AM$1=TRUE,IF(K69="","",SUBTOTAL(2,$K$3:K69)),IF(AND(M69="",N69=""),"",IF(N69="",COUNT($M$3:M69),COUNT($N$3:N69)+200)))</f>
        <v/>
      </c>
      <c r="B69" s="365" t="s">
        <v>132</v>
      </c>
      <c r="C69" s="365" t="s">
        <v>578</v>
      </c>
      <c r="D69" s="364">
        <v>503040101</v>
      </c>
      <c r="E69" s="364" t="s">
        <v>83</v>
      </c>
      <c r="F69" s="364" t="s">
        <v>80</v>
      </c>
      <c r="G69" s="366">
        <f>IFERROR(IF($E69="06",VLOOKUP($B69,예산실적비교표!$O$7:$R$200,2,FALSE),0),0)</f>
        <v>0</v>
      </c>
      <c r="H69" s="366">
        <f>IFERROR(IF($E69="06",VLOOKUP($C69,세출예산서!$K$3:$X$304,12,FALSE),0),0)</f>
        <v>0</v>
      </c>
      <c r="I69" s="366">
        <f>IFERROR(IF($E69="07",VLOOKUP($C69,세출예산서!$K$3:$X$304,13,FALSE),0),0)</f>
        <v>0</v>
      </c>
      <c r="J69" s="366">
        <f>IFERROR(IF($E69="05",VLOOKUP($C69,세출예산서!$K$3:$X$304,14,FALSE),0),0)</f>
        <v>0</v>
      </c>
      <c r="K69" s="366" t="str">
        <f t="shared" si="15"/>
        <v/>
      </c>
      <c r="L69" s="367">
        <f>IFERROR(IF($AB$2="",0,ROUNDUP(VLOOKUP($B69,예산실적비교표!$O$7:$R$200,3,FALSE)*$Y$7/$Y$9,-3)*$Y$8),0)</f>
        <v>0</v>
      </c>
      <c r="M69" s="708" t="str">
        <f>IF($AM$1=TRUE,IF(K69="","",IF(IF($AE$2="",IF(K69="","",SUBTOTAL(2,$K$3:K69)),IF(AND(G69&gt;=0,K69=""),"",IF(AND(G69&gt;0,OR(K69&gt;0,K69&lt;0)),SUBTOTAL(2,$K$3:K69),IF(AND(G69=0,OR(K69&gt;0,K69&lt;0)),SUBTOTAL(2,$K$3:K69)+200,""))))&gt;200,"",1)),IF(K69="","",IF(IF($AE$2="",IF(K69="","",SUBTOTAL(2,$K$3:K69)),IF(AND(G69&gt;=0,K69=""),"",IF(AND(G69&gt;0,OR(K69&gt;0,K69&lt;0)),SUBTOTAL(2,$K$3:K69),IF(AND(G69=0,OR(K69&gt;0,K69&lt;0)),SUBTOTAL(2,$K$3:K69)+200,""))))&gt;200,"",1)))</f>
        <v/>
      </c>
      <c r="N69" s="214" t="str">
        <f>IF($AM$1=TRUE,IF(K69="","",IF(IF($AE$2="",IF(K69="","",SUBTOTAL(2,$K$3:K69)),IF(AND(G69&gt;=0,K69=""),"",IF(AND(G69&gt;0,OR(K69&gt;0,K69&lt;0)),SUBTOTAL(2,$K$3:K69),IF(AND(G69=0,OR(K69&gt;0,K69&lt;0)),SUBTOTAL(2,$K$3:K69)+200,""))))&lt;=200,"",2)),IF(K69="","",IF(IF($AE$2="",IF(K69="","",SUBTOTAL(2,$K$3:K69)),IF(AND(G69&gt;=0,K69=""),"",IF(AND(G69&gt;0,OR(K69&gt;0,K69&lt;0)),SUBTOTAL(2,$K$3:K69),IF(AND(G69=0,OR(K69&gt;0,K69&lt;0)),SUBTOTAL(2,$K$3:K69)+200,""))))&lt;=200,"",2)))</f>
        <v/>
      </c>
      <c r="O69" s="561"/>
      <c r="P69" s="435">
        <f>IFERROR(IF(VLOOKUP(R69,$B$42:$L$80,11,FALSE)&gt;0,VLOOKUP(R69,$B$42:$L$80,11,FALSE),0),0)</f>
        <v>11340000</v>
      </c>
      <c r="Q69" s="565"/>
      <c r="R69" s="493" t="s">
        <v>48</v>
      </c>
      <c r="S69" s="494" t="s">
        <v>80</v>
      </c>
      <c r="T69" s="494"/>
      <c r="U69" s="570"/>
      <c r="V69" s="495" t="s">
        <v>129</v>
      </c>
      <c r="X69" s="656" t="str">
        <f>IF(예산실적비교표!A59="X","",예산실적비교표!A59)</f>
        <v>외부나들이</v>
      </c>
      <c r="Y69" s="880">
        <f>IF($AB$2="",0,예산실적비교표!B59)</f>
        <v>100000</v>
      </c>
      <c r="Z69" s="1057" t="str">
        <f>IF(예산실적비교표!C59="X","",예산실적비교표!C59)</f>
        <v/>
      </c>
      <c r="AA69" s="637">
        <f>IF($Y$8&lt;&gt;예산실적비교표!$B$3,$Y$8,예산실적비교표!D59)</f>
        <v>2</v>
      </c>
      <c r="AB69" s="656" t="str">
        <f>IF(예산실적비교표!E59="X","",예산실적비교표!E59)</f>
        <v/>
      </c>
      <c r="AC69" s="880">
        <f>IF($AB$2="",0,예산실적비교표!F59)</f>
        <v>0</v>
      </c>
      <c r="AD69" s="656" t="str">
        <f>IF(예산실적비교표!G59="X","",예산실적비교표!G59)</f>
        <v/>
      </c>
      <c r="AE69" s="887">
        <f>IF($AB$2="",0,예산실적비교표!H59)</f>
        <v>0</v>
      </c>
      <c r="AF69" s="637">
        <f>IF($Y$8&lt;&gt;예산실적비교표!$B$3,$Y$8,예산실적비교표!I59)</f>
        <v>12</v>
      </c>
      <c r="AH69" s="334" t="str">
        <f>세출예산서!L281</f>
        <v xml:space="preserve">  - 과태료외</v>
      </c>
      <c r="AI69" s="1390">
        <f>세출예산서!V281</f>
        <v>300000</v>
      </c>
      <c r="AJ69" s="1391"/>
      <c r="AP69" s="1182" t="str">
        <f>IF(예산실적비교표!AL69&lt;&gt;"",예산실적비교표!AL69,"")</f>
        <v/>
      </c>
      <c r="AQ69" s="1183" t="str">
        <f>IF(예산실적비교표!AM69&lt;&gt;"",예산실적비교표!AM69,"")</f>
        <v/>
      </c>
      <c r="AR69" s="1184">
        <f>IF(예산실적비교표!AN69&lt;&gt;"",예산실적비교표!AN69,0)</f>
        <v>0</v>
      </c>
      <c r="AS69" s="1185">
        <f>IF(예산실적비교표!AO69&lt;&gt;"",예산실적비교표!AO69,0)</f>
        <v>0</v>
      </c>
      <c r="AT69" s="1118">
        <f t="shared" si="23"/>
        <v>0</v>
      </c>
      <c r="AU69" s="1186">
        <f>IF(예산실적비교표!AQ69&lt;&gt;"",예산실적비교표!AQ69,0)</f>
        <v>0</v>
      </c>
      <c r="AV69" s="1120">
        <f t="shared" si="24"/>
        <v>0</v>
      </c>
      <c r="AW69" s="1121">
        <f>IF(AR69="",0,ROUND((AT69*$AT$7)*데이터입력!$AF$14+(AT69*$AU$7)*데이터입력!$AF$14+(AT69*$AU$7*$AV$7)*데이터입력!$AF$14+(AT69*$AW$7)*데이터입력!$AF$14+(AT69*$AX$7)*데이터입력!$AF$14,-1))</f>
        <v>0</v>
      </c>
      <c r="AX69" s="1122">
        <f t="shared" si="25"/>
        <v>0</v>
      </c>
      <c r="AY69" s="1123">
        <f>IFERROR(IF(AR69+AS69=0,0,ROUND(IF(데이터입력!$AF$14=100%,ROUND(AR69*$AR$1,-3),ROUND(AR69*$AR$1,-3)-ROUND(((AR69*$AR$1)*$AT$4)*(데이터입력!$AF$14-100%)+((AR69*$AR$1)*$AU$4)*(데이터입력!$AF$14-100%)+((AR69*$AR$1)*$AU$4*$AV$4)*(데이터입력!$AF$14-100%)+((AR69*$AR$1)*$AW$4)*(데이터입력!$AF$14-100%),-1)),0)),0)</f>
        <v>0</v>
      </c>
      <c r="AZ69" s="1124">
        <f>IFERROR(IF(AR69+AS69=0,0,IF(데이터입력!$AF$12=100%,(AT69),(AT69)+ROUND(AT69*(데이터입력!$AF$12-100%),-1))),0)</f>
        <v>0</v>
      </c>
      <c r="BA69" s="1265" t="str">
        <f t="shared" si="22"/>
        <v/>
      </c>
      <c r="BB69" s="1264" t="str">
        <f>IF(BA69="","",IF(데이터입력!$O$68="",ROUND(AZ69/12,0),ROUND(데이터입력!$O$68/데이터입력!$Y$8/$BC$63,0)))</f>
        <v/>
      </c>
      <c r="BC69" s="1138" t="str">
        <f>데이터입력!$B$46</f>
        <v>일용잡급(직접비)</v>
      </c>
      <c r="BD69" s="1139">
        <f>보수일람표!$K$262</f>
        <v>0</v>
      </c>
      <c r="BE69" s="1139">
        <f>데이터입력!$L$46</f>
        <v>0</v>
      </c>
      <c r="BF69" s="1140">
        <f t="shared" si="26"/>
        <v>0</v>
      </c>
    </row>
    <row r="70" spans="1:58">
      <c r="A70" s="1046" t="str">
        <f>IF($AM$1=TRUE,IF(K70="","",SUBTOTAL(2,$K$3:K70)),IF(AND(M70="",N70=""),"",IF(N70="",COUNT($M$3:M70),COUNT($N$3:N70)+200)))</f>
        <v/>
      </c>
      <c r="B70" s="365" t="s">
        <v>133</v>
      </c>
      <c r="C70" s="365" t="s">
        <v>579</v>
      </c>
      <c r="D70" s="364">
        <v>503040201</v>
      </c>
      <c r="E70" s="364" t="s">
        <v>83</v>
      </c>
      <c r="F70" s="364" t="s">
        <v>80</v>
      </c>
      <c r="G70" s="366">
        <f>IFERROR(IF($E70="06",VLOOKUP($B70,예산실적비교표!$O$7:$R$200,2,FALSE),0),0)</f>
        <v>0</v>
      </c>
      <c r="H70" s="366">
        <f>IFERROR(IF($E70="06",VLOOKUP($C70,세출예산서!$K$3:$X$304,12,FALSE),0),0)</f>
        <v>0</v>
      </c>
      <c r="I70" s="366">
        <f>IFERROR(IF($E70="07",VLOOKUP($C70,세출예산서!$K$3:$X$304,13,FALSE),0),0)</f>
        <v>0</v>
      </c>
      <c r="J70" s="366">
        <f>IFERROR(IF($E70="05",VLOOKUP($C70,세출예산서!$K$3:$X$304,14,FALSE),0),0)</f>
        <v>0</v>
      </c>
      <c r="K70" s="366" t="str">
        <f t="shared" si="15"/>
        <v/>
      </c>
      <c r="L70" s="367">
        <f>IFERROR(IF($AB$2="",0,ROUNDUP(VLOOKUP($B70,예산실적비교표!$O$7:$R$200,3,FALSE)*$Y$7/$Y$9,-3)*$Y$8),0)</f>
        <v>0</v>
      </c>
      <c r="M70" s="708" t="str">
        <f>IF($AM$1=TRUE,IF(K70="","",IF(IF($AE$2="",IF(K70="","",SUBTOTAL(2,$K$3:K70)),IF(AND(G70&gt;=0,K70=""),"",IF(AND(G70&gt;0,OR(K70&gt;0,K70&lt;0)),SUBTOTAL(2,$K$3:K70),IF(AND(G70=0,OR(K70&gt;0,K70&lt;0)),SUBTOTAL(2,$K$3:K70)+200,""))))&gt;200,"",1)),IF(K70="","",IF(IF($AE$2="",IF(K70="","",SUBTOTAL(2,$K$3:K70)),IF(AND(G70&gt;=0,K70=""),"",IF(AND(G70&gt;0,OR(K70&gt;0,K70&lt;0)),SUBTOTAL(2,$K$3:K70),IF(AND(G70=0,OR(K70&gt;0,K70&lt;0)),SUBTOTAL(2,$K$3:K70)+200,""))))&gt;200,"",1)))</f>
        <v/>
      </c>
      <c r="N70" s="214" t="str">
        <f>IF($AM$1=TRUE,IF(K70="","",IF(IF($AE$2="",IF(K70="","",SUBTOTAL(2,$K$3:K70)),IF(AND(G70&gt;=0,K70=""),"",IF(AND(G70&gt;0,OR(K70&gt;0,K70&lt;0)),SUBTOTAL(2,$K$3:K70),IF(AND(G70=0,OR(K70&gt;0,K70&lt;0)),SUBTOTAL(2,$K$3:K70)+200,""))))&lt;=200,"",2)),IF(K70="","",IF(IF($AE$2="",IF(K70="","",SUBTOTAL(2,$K$3:K70)),IF(AND(G70&gt;=0,K70=""),"",IF(AND(G70&gt;0,OR(K70&gt;0,K70&lt;0)),SUBTOTAL(2,$K$3:K70),IF(AND(G70=0,OR(K70&gt;0,K70&lt;0)),SUBTOTAL(2,$K$3:K70)+200,""))))&lt;=200,"",2)))</f>
        <v/>
      </c>
      <c r="O70" s="561"/>
      <c r="P70" s="435">
        <f>IFERROR(IF(VLOOKUP(R70,$B$42:$L$80,11,FALSE)&gt;0,VLOOKUP(R70,$B$42:$L$80,11,FALSE),0),0)</f>
        <v>4404000</v>
      </c>
      <c r="Q70" s="565"/>
      <c r="R70" s="493" t="s">
        <v>49</v>
      </c>
      <c r="S70" s="494" t="s">
        <v>80</v>
      </c>
      <c r="T70" s="494"/>
      <c r="U70" s="570"/>
      <c r="V70" s="495" t="s">
        <v>129</v>
      </c>
      <c r="X70" s="656" t="str">
        <f>IF(예산실적비교표!A60="X","",예산실적비교표!A60)</f>
        <v/>
      </c>
      <c r="Y70" s="880">
        <f>IF($AB$2="",0,예산실적비교표!B60)</f>
        <v>0</v>
      </c>
      <c r="Z70" s="1057" t="str">
        <f>IF(예산실적비교표!C60="X","",예산실적비교표!C60)</f>
        <v/>
      </c>
      <c r="AA70" s="637">
        <f>IF($Y$8&lt;&gt;예산실적비교표!$B$3,$Y$8,예산실적비교표!D60)</f>
        <v>12</v>
      </c>
      <c r="AB70" s="656" t="str">
        <f>IF(예산실적비교표!E60="X","",예산실적비교표!E60)</f>
        <v/>
      </c>
      <c r="AC70" s="880">
        <f>IF($AB$2="",0,예산실적비교표!F60)</f>
        <v>0</v>
      </c>
      <c r="AD70" s="656" t="str">
        <f>IF(예산실적비교표!G60="X","",예산실적비교표!G60)</f>
        <v/>
      </c>
      <c r="AE70" s="887">
        <f>IF($AB$2="",0,예산실적비교표!H60)</f>
        <v>0</v>
      </c>
      <c r="AF70" s="637">
        <f>IF($Y$8&lt;&gt;예산실적비교표!$B$3,$Y$8,예산실적비교표!I60)</f>
        <v>12</v>
      </c>
      <c r="AH70" s="334" t="str">
        <f>세출예산서!L282</f>
        <v xml:space="preserve">  - </v>
      </c>
      <c r="AI70" s="1390">
        <f>세출예산서!V282</f>
        <v>0</v>
      </c>
      <c r="AJ70" s="1391"/>
      <c r="AP70" s="1182" t="str">
        <f>IF(예산실적비교표!AL70&lt;&gt;"",예산실적비교표!AL70,"")</f>
        <v/>
      </c>
      <c r="AQ70" s="1183" t="str">
        <f>IF(예산실적비교표!AM70&lt;&gt;"",예산실적비교표!AM70,"")</f>
        <v/>
      </c>
      <c r="AR70" s="1184">
        <f>IF(예산실적비교표!AN70&lt;&gt;"",예산실적비교표!AN70,0)</f>
        <v>0</v>
      </c>
      <c r="AS70" s="1185">
        <f>IF(예산실적비교표!AO70&lt;&gt;"",예산실적비교표!AO70,0)</f>
        <v>0</v>
      </c>
      <c r="AT70" s="1118">
        <f t="shared" si="23"/>
        <v>0</v>
      </c>
      <c r="AU70" s="1186">
        <f>IF(예산실적비교표!AQ70&lt;&gt;"",예산실적비교표!AQ70,0)</f>
        <v>0</v>
      </c>
      <c r="AV70" s="1120">
        <f t="shared" si="24"/>
        <v>0</v>
      </c>
      <c r="AW70" s="1121">
        <f>IF(AR70="",0,ROUND((AT70*$AT$7)*데이터입력!$AF$14+(AT70*$AU$7)*데이터입력!$AF$14+(AT70*$AU$7*$AV$7)*데이터입력!$AF$14+(AT70*$AW$7)*데이터입력!$AF$14+(AT70*$AX$7)*데이터입력!$AF$14,-1))</f>
        <v>0</v>
      </c>
      <c r="AX70" s="1122">
        <f t="shared" si="25"/>
        <v>0</v>
      </c>
      <c r="AY70" s="1123">
        <f>IFERROR(IF(AR70+AS70=0,0,ROUND(IF(데이터입력!$AF$14=100%,ROUND(AR70*$AR$1,-3),ROUND(AR70*$AR$1,-3)-ROUND(((AR70*$AR$1)*$AT$4)*(데이터입력!$AF$14-100%)+((AR70*$AR$1)*$AU$4)*(데이터입력!$AF$14-100%)+((AR70*$AR$1)*$AU$4*$AV$4)*(데이터입력!$AF$14-100%)+((AR70*$AR$1)*$AW$4)*(데이터입력!$AF$14-100%),-1)),0)),0)</f>
        <v>0</v>
      </c>
      <c r="AZ70" s="1124">
        <f>IFERROR(IF(AR70+AS70=0,0,IF(데이터입력!$AF$12=100%,(AT70),(AT70)+ROUND(AT70*(데이터입력!$AF$12-100%),-1))),0)</f>
        <v>0</v>
      </c>
      <c r="BA70" s="1265" t="str">
        <f t="shared" si="22"/>
        <v/>
      </c>
      <c r="BB70" s="1264" t="str">
        <f>IF(BA70="","",IF(데이터입력!$O$68="",ROUND(AZ70/12,0),ROUND(데이터입력!$O$68/데이터입력!$Y$8/$BC$63,0)))</f>
        <v/>
      </c>
      <c r="BC70" s="1138" t="str">
        <f>데이터입력!$B$47</f>
        <v>일용잡급(간접비)</v>
      </c>
      <c r="BD70" s="1139">
        <f>보수일람표!$K$261</f>
        <v>0</v>
      </c>
      <c r="BE70" s="1139">
        <f>데이터입력!$L$47</f>
        <v>0</v>
      </c>
      <c r="BF70" s="1140">
        <f t="shared" si="26"/>
        <v>0</v>
      </c>
    </row>
    <row r="71" spans="1:58" ht="17.25" thickBot="1">
      <c r="A71" s="1046" t="str">
        <f>IF($AM$1=TRUE,IF(K71="","",SUBTOTAL(2,$K$3:K71)),IF(AND(M71="",N71=""),"",IF(N71="",COUNT($M$3:M71),COUNT($N$3:N71)+200)))</f>
        <v/>
      </c>
      <c r="B71" s="365" t="s">
        <v>66</v>
      </c>
      <c r="C71" s="365" t="s">
        <v>580</v>
      </c>
      <c r="D71" s="364">
        <v>504010101</v>
      </c>
      <c r="E71" s="364" t="s">
        <v>83</v>
      </c>
      <c r="F71" s="364" t="s">
        <v>80</v>
      </c>
      <c r="G71" s="366">
        <f>IFERROR(IF($E71="06",VLOOKUP($B71,예산실적비교표!$O$7:$R$200,2,FALSE),0),0)</f>
        <v>0</v>
      </c>
      <c r="H71" s="366">
        <f>IFERROR(IF($E71="06",VLOOKUP($C71,세출예산서!$K$3:$X$304,12,FALSE),0),0)</f>
        <v>0</v>
      </c>
      <c r="I71" s="366">
        <f>IFERROR(IF($E71="07",VLOOKUP($C71,세출예산서!$K$3:$X$304,13,FALSE),0),0)</f>
        <v>0</v>
      </c>
      <c r="J71" s="366">
        <f>IFERROR(IF($E71="05",VLOOKUP($C71,세출예산서!$K$3:$X$304,14,FALSE),0),0)</f>
        <v>0</v>
      </c>
      <c r="K71" s="366" t="str">
        <f t="shared" si="15"/>
        <v/>
      </c>
      <c r="L71" s="367">
        <f>IFERROR(IF($AB$2="",0,ROUNDUP(VLOOKUP($B71,예산실적비교표!$O$7:$R$200,3,FALSE)/$Y$9,-3)*$Y$8),0)</f>
        <v>0</v>
      </c>
      <c r="M71" s="708" t="str">
        <f>IF($AM$1=TRUE,IF(K71="","",IF(IF($AE$2="",IF(K71="","",SUBTOTAL(2,$K$3:K71)),IF(AND(G71&gt;=0,K71=""),"",IF(AND(G71&gt;0,OR(K71&gt;0,K71&lt;0)),SUBTOTAL(2,$K$3:K71),IF(AND(G71=0,OR(K71&gt;0,K71&lt;0)),SUBTOTAL(2,$K$3:K71)+200,""))))&gt;200,"",1)),IF(K71="","",IF(IF($AE$2="",IF(K71="","",SUBTOTAL(2,$K$3:K71)),IF(AND(G71&gt;=0,K71=""),"",IF(AND(G71&gt;0,OR(K71&gt;0,K71&lt;0)),SUBTOTAL(2,$K$3:K71),IF(AND(G71=0,OR(K71&gt;0,K71&lt;0)),SUBTOTAL(2,$K$3:K71)+200,""))))&gt;200,"",1)))</f>
        <v/>
      </c>
      <c r="N71" s="214" t="str">
        <f>IF($AM$1=TRUE,IF(K71="","",IF(IF($AE$2="",IF(K71="","",SUBTOTAL(2,$K$3:K71)),IF(AND(G71&gt;=0,K71=""),"",IF(AND(G71&gt;0,OR(K71&gt;0,K71&lt;0)),SUBTOTAL(2,$K$3:K71),IF(AND(G71=0,OR(K71&gt;0,K71&lt;0)),SUBTOTAL(2,$K$3:K71)+200,""))))&lt;=200,"",2)),IF(K71="","",IF(IF($AE$2="",IF(K71="","",SUBTOTAL(2,$K$3:K71)),IF(AND(G71&gt;=0,K71=""),"",IF(AND(G71&gt;0,OR(K71&gt;0,K71&lt;0)),SUBTOTAL(2,$K$3:K71),IF(AND(G71=0,OR(K71&gt;0,K71&lt;0)),SUBTOTAL(2,$K$3:K71)+200,""))))&lt;=200,"",2)))</f>
        <v/>
      </c>
      <c r="O71" s="561">
        <v>1800000</v>
      </c>
      <c r="P71" s="435">
        <f>IFERROR(IF($AE$2="추경",IF(VLOOKUP(R71,$B$42:$L$80,6,FALSE)&gt;=VLOOKUP(R71,$B$42:$L$80,11,FALSE),VLOOKUP(R71,$B$42:$L$80,6,FALSE),VLOOKUP(R71,예산평균!$B:$D,3,FALSE)),IF(VLOOKUP(R71,$B$42:$L$80,11,FALSE)&gt;0,IF(VLOOKUP(R71,$B$42:$L$80,6,FALSE)&gt;=VLOOKUP(R71,$B$42:$L$80,11,FALSE),VLOOKUP(R71,$B$42:$L$80,6,FALSE),ROUNDUP(VLOOKUP(R71,$B$42:$L$80,11,FALSE)/U71,-4)*U71),VLOOKUP(R71,예산평균!$B:$D,3,FALSE))),0)</f>
        <v>3600000</v>
      </c>
      <c r="Q71" s="566">
        <v>0</v>
      </c>
      <c r="R71" s="493" t="s">
        <v>50</v>
      </c>
      <c r="S71" s="494" t="s">
        <v>80</v>
      </c>
      <c r="T71" s="429">
        <f t="shared" ref="T71:T134" si="27">IF(O71="",P71,O71)</f>
        <v>1800000</v>
      </c>
      <c r="U71" s="569">
        <f>IF(Q71=0,$Y$8,Q71)</f>
        <v>12</v>
      </c>
      <c r="V71" s="431" t="s">
        <v>127</v>
      </c>
      <c r="X71" s="656" t="str">
        <f>IF(예산실적비교표!A61="X","",예산실적비교표!A61)</f>
        <v/>
      </c>
      <c r="Y71" s="881">
        <f>IF($AB$2="",0,예산실적비교표!B61)</f>
        <v>0</v>
      </c>
      <c r="Z71" s="1057" t="str">
        <f>IF(예산실적비교표!C61="X","",예산실적비교표!C61)</f>
        <v/>
      </c>
      <c r="AA71" s="637">
        <f>IF($Y$8&lt;&gt;예산실적비교표!$B$3,$Y$8,예산실적비교표!D61)</f>
        <v>12</v>
      </c>
      <c r="AB71" s="656" t="str">
        <f>IF(예산실적비교표!E61="X","",예산실적비교표!E61)</f>
        <v/>
      </c>
      <c r="AC71" s="881">
        <f>IF($AB$2="",0,예산실적비교표!F61)</f>
        <v>0</v>
      </c>
      <c r="AD71" s="656" t="str">
        <f>IF(예산실적비교표!G61="X","",예산실적비교표!G61)</f>
        <v/>
      </c>
      <c r="AE71" s="887">
        <f>IF($AB$2="",0,예산실적비교표!H61)</f>
        <v>0</v>
      </c>
      <c r="AF71" s="637">
        <f>IF($Y$8&lt;&gt;예산실적비교표!$B$3,$Y$8,예산실적비교표!I61)</f>
        <v>12</v>
      </c>
      <c r="AH71" s="334" t="str">
        <f>세출예산서!L283</f>
        <v xml:space="preserve">  - </v>
      </c>
      <c r="AI71" s="1390">
        <f>세출예산서!V283</f>
        <v>0</v>
      </c>
      <c r="AJ71" s="1391"/>
      <c r="AP71" s="1182" t="str">
        <f>IF(예산실적비교표!AL71&lt;&gt;"",예산실적비교표!AL71,"")</f>
        <v/>
      </c>
      <c r="AQ71" s="1183" t="str">
        <f>IF(예산실적비교표!AM71&lt;&gt;"",예산실적비교표!AM71,"")</f>
        <v/>
      </c>
      <c r="AR71" s="1184">
        <f>IF(예산실적비교표!AN71&lt;&gt;"",예산실적비교표!AN71,0)</f>
        <v>0</v>
      </c>
      <c r="AS71" s="1185">
        <f>IF(예산실적비교표!AO71&lt;&gt;"",예산실적비교표!AO71,0)</f>
        <v>0</v>
      </c>
      <c r="AT71" s="1118">
        <f t="shared" si="23"/>
        <v>0</v>
      </c>
      <c r="AU71" s="1186">
        <f>IF(예산실적비교표!AQ71&lt;&gt;"",예산실적비교표!AQ71,0)</f>
        <v>0</v>
      </c>
      <c r="AV71" s="1120">
        <f t="shared" si="24"/>
        <v>0</v>
      </c>
      <c r="AW71" s="1121">
        <f>IF(AR71="",0,ROUND((AT71*$AT$7)*데이터입력!$AF$14+(AT71*$AU$7)*데이터입력!$AF$14+(AT71*$AU$7*$AV$7)*데이터입력!$AF$14+(AT71*$AW$7)*데이터입력!$AF$14+(AT71*$AX$7)*데이터입력!$AF$14,-1))</f>
        <v>0</v>
      </c>
      <c r="AX71" s="1122">
        <f t="shared" si="25"/>
        <v>0</v>
      </c>
      <c r="AY71" s="1123">
        <f>IFERROR(IF(AR71+AS71=0,0,ROUND(IF(데이터입력!$AF$14=100%,ROUND(AR71*$AR$1,-3),ROUND(AR71*$AR$1,-3)-ROUND(((AR71*$AR$1)*$AT$4)*(데이터입력!$AF$14-100%)+((AR71*$AR$1)*$AU$4)*(데이터입력!$AF$14-100%)+((AR71*$AR$1)*$AU$4*$AV$4)*(데이터입력!$AF$14-100%)+((AR71*$AR$1)*$AW$4)*(데이터입력!$AF$14-100%),-1)),0)),0)</f>
        <v>0</v>
      </c>
      <c r="AZ71" s="1124">
        <f>IFERROR(IF(AR71+AS71=0,0,IF(데이터입력!$AF$12=100%,(AT71),(AT71)+ROUND(AT71*(데이터입력!$AF$12-100%),-1))),0)</f>
        <v>0</v>
      </c>
      <c r="BA71" s="1265" t="str">
        <f t="shared" si="22"/>
        <v/>
      </c>
      <c r="BB71" s="1264" t="str">
        <f>IF(BA71="","",IF(데이터입력!$O$68="",ROUND(AZ71/12,0),ROUND(데이터입력!$O$68/데이터입력!$Y$8/$BC$63,0)))</f>
        <v/>
      </c>
      <c r="BC71" s="1138" t="str">
        <f>데이터입력!$B$48</f>
        <v>퇴직금 및 퇴직적립금(직접비)</v>
      </c>
      <c r="BD71" s="1139">
        <f>보수일람표!$L$262</f>
        <v>10578012</v>
      </c>
      <c r="BE71" s="1139">
        <f>데이터입력!$L$48</f>
        <v>8484000</v>
      </c>
      <c r="BF71" s="1140">
        <f t="shared" si="26"/>
        <v>0</v>
      </c>
    </row>
    <row r="72" spans="1:58" ht="17.25" thickBot="1">
      <c r="A72" s="1046">
        <f>IF($AM$1=TRUE,IF(K72="","",SUBTOTAL(2,$K$3:K72)),IF(AND(M72="",N72=""),"",IF(N72="",COUNT($M$3:M72),COUNT($N$3:N72)+200)))</f>
        <v>28</v>
      </c>
      <c r="B72" s="365" t="s">
        <v>67</v>
      </c>
      <c r="C72" s="365" t="s">
        <v>581</v>
      </c>
      <c r="D72" s="364">
        <v>504010201</v>
      </c>
      <c r="E72" s="364" t="s">
        <v>83</v>
      </c>
      <c r="F72" s="364" t="s">
        <v>80</v>
      </c>
      <c r="G72" s="366">
        <f>IFERROR(IF($E72="06",VLOOKUP($B72,예산실적비교표!$O$7:$R$200,2,FALSE),0),0)</f>
        <v>33000000</v>
      </c>
      <c r="H72" s="366">
        <f>IFERROR(IF($E72="06",VLOOKUP($C72,세출예산서!$K$3:$X$304,12,FALSE),0),0)</f>
        <v>30000000</v>
      </c>
      <c r="I72" s="366">
        <f>IFERROR(IF($E72="07",VLOOKUP($C72,세출예산서!$K$3:$X$304,13,FALSE),0),0)</f>
        <v>0</v>
      </c>
      <c r="J72" s="366">
        <f>IFERROR(IF($E72="05",VLOOKUP($C72,세출예산서!$K$3:$X$304,14,FALSE),0),0)</f>
        <v>0</v>
      </c>
      <c r="K72" s="366">
        <f t="shared" si="15"/>
        <v>-3000000</v>
      </c>
      <c r="L72" s="367">
        <f>IFERROR(IF($AB$2="",0,ROUNDUP(VLOOKUP($B72,예산실적비교표!$O$7:$R$200,3,FALSE)/$Y$9,-3)*$Y$8),0)</f>
        <v>26676000</v>
      </c>
      <c r="M72" s="708">
        <f>IF($AM$1=TRUE,IF(K72="","",IF(IF($AE$2="",IF(K72="","",SUBTOTAL(2,$K$3:K72)),IF(AND(G72&gt;=0,K72=""),"",IF(AND(G72&gt;0,OR(K72&gt;0,K72&lt;0)),SUBTOTAL(2,$K$3:K72),IF(AND(G72=0,OR(K72&gt;0,K72&lt;0)),SUBTOTAL(2,$K$3:K72)+200,""))))&gt;200,"",1)),IF(K72="","",IF(IF($AE$2="",IF(K72="","",SUBTOTAL(2,$K$3:K72)),IF(AND(G72&gt;=0,K72=""),"",IF(AND(G72&gt;0,OR(K72&gt;0,K72&lt;0)),SUBTOTAL(2,$K$3:K72),IF(AND(G72=0,OR(K72&gt;0,K72&lt;0)),SUBTOTAL(2,$K$3:K72)+200,""))))&gt;200,"",1)))</f>
        <v>1</v>
      </c>
      <c r="N72" s="214" t="str">
        <f>IF($AM$1=TRUE,IF(K72="","",IF(IF($AE$2="",IF(K72="","",SUBTOTAL(2,$K$3:K72)),IF(AND(G72&gt;=0,K72=""),"",IF(AND(G72&gt;0,OR(K72&gt;0,K72&lt;0)),SUBTOTAL(2,$K$3:K72),IF(AND(G72=0,OR(K72&gt;0,K72&lt;0)),SUBTOTAL(2,$K$3:K72)+200,""))))&lt;=200,"",2)),IF(K72="","",IF(IF($AE$2="",IF(K72="","",SUBTOTAL(2,$K$3:K72)),IF(AND(G72&gt;=0,K72=""),"",IF(AND(G72&gt;0,OR(K72&gt;0,K72&lt;0)),SUBTOTAL(2,$K$3:K72),IF(AND(G72=0,OR(K72&gt;0,K72&lt;0)),SUBTOTAL(2,$K$3:K72)+200,""))))&lt;=200,"",2)))</f>
        <v/>
      </c>
      <c r="O72" s="561">
        <v>9000000</v>
      </c>
      <c r="P72" s="435">
        <f>IFERROR(IF($AE$2="추경",IF(VLOOKUP(R72,$B$42:$L$80,6,FALSE)&gt;=VLOOKUP(R72,$B$42:$L$80,11,FALSE),VLOOKUP(R72,$B$42:$L$80,6,FALSE),VLOOKUP(R72,예산평균!$B:$D,3,FALSE)),IF(VLOOKUP(R72,$B$42:$L$80,11,FALSE)&gt;0,IF(VLOOKUP(R72,$B$42:$L$80,6,FALSE)&gt;=VLOOKUP(R72,$B$42:$L$80,11,FALSE),VLOOKUP(R72,$B$42:$L$80,6,FALSE),ROUNDUP(VLOOKUP(R72,$B$42:$L$80,11,FALSE)/U72,-4)*U72),VLOOKUP(R72,예산평균!$B:$D,3,FALSE))),0)</f>
        <v>8400000</v>
      </c>
      <c r="Q72" s="566">
        <v>0</v>
      </c>
      <c r="R72" s="493" t="s">
        <v>51</v>
      </c>
      <c r="S72" s="494" t="s">
        <v>80</v>
      </c>
      <c r="T72" s="429">
        <f t="shared" si="27"/>
        <v>9000000</v>
      </c>
      <c r="U72" s="569">
        <f>IF(Q72=0,$Y$8,Q72)</f>
        <v>12</v>
      </c>
      <c r="V72" s="431" t="s">
        <v>127</v>
      </c>
      <c r="X72" s="1380" t="s">
        <v>373</v>
      </c>
      <c r="Y72" s="1381"/>
      <c r="Z72" s="1381"/>
      <c r="AA72" s="1381"/>
      <c r="AB72" s="1381"/>
      <c r="AC72" s="1382"/>
      <c r="AD72" s="1315" t="s">
        <v>213</v>
      </c>
      <c r="AE72" s="1316">
        <f>SUM(AE73:AE78)</f>
        <v>0</v>
      </c>
      <c r="AF72" s="1317" t="s">
        <v>215</v>
      </c>
      <c r="AH72" s="334" t="str">
        <f>세출예산서!L284</f>
        <v xml:space="preserve">  - </v>
      </c>
      <c r="AI72" s="1390">
        <f>세출예산서!V284</f>
        <v>0</v>
      </c>
      <c r="AJ72" s="1391"/>
      <c r="AP72" s="1182" t="str">
        <f>IF(예산실적비교표!AL72&lt;&gt;"",예산실적비교표!AL72,"")</f>
        <v/>
      </c>
      <c r="AQ72" s="1183" t="str">
        <f>IF(예산실적비교표!AM72&lt;&gt;"",예산실적비교표!AM72,"")</f>
        <v/>
      </c>
      <c r="AR72" s="1184">
        <f>IF(예산실적비교표!AN72&lt;&gt;"",예산실적비교표!AN72,0)</f>
        <v>0</v>
      </c>
      <c r="AS72" s="1185">
        <f>IF(예산실적비교표!AO72&lt;&gt;"",예산실적비교표!AO72,0)</f>
        <v>0</v>
      </c>
      <c r="AT72" s="1118">
        <f t="shared" si="23"/>
        <v>0</v>
      </c>
      <c r="AU72" s="1186">
        <f>IF(예산실적비교표!AQ72&lt;&gt;"",예산실적비교표!AQ72,0)</f>
        <v>0</v>
      </c>
      <c r="AV72" s="1120">
        <f t="shared" si="24"/>
        <v>0</v>
      </c>
      <c r="AW72" s="1121">
        <f>IF(AR72="",0,ROUND((AT72*$AT$7)*데이터입력!$AF$14+(AT72*$AU$7)*데이터입력!$AF$14+(AT72*$AU$7*$AV$7)*데이터입력!$AF$14+(AT72*$AW$7)*데이터입력!$AF$14+(AT72*$AX$7)*데이터입력!$AF$14,-1))</f>
        <v>0</v>
      </c>
      <c r="AX72" s="1122">
        <f t="shared" si="25"/>
        <v>0</v>
      </c>
      <c r="AY72" s="1123">
        <f>IFERROR(IF(AR72+AS72=0,0,ROUND(IF(데이터입력!$AF$14=100%,ROUND(AR72*$AR$1,-3),ROUND(AR72*$AR$1,-3)-ROUND(((AR72*$AR$1)*$AT$4)*(데이터입력!$AF$14-100%)+((AR72*$AR$1)*$AU$4)*(데이터입력!$AF$14-100%)+((AR72*$AR$1)*$AU$4*$AV$4)*(데이터입력!$AF$14-100%)+((AR72*$AR$1)*$AW$4)*(데이터입력!$AF$14-100%),-1)),0)),0)</f>
        <v>0</v>
      </c>
      <c r="AZ72" s="1124">
        <f>IFERROR(IF(AR72+AS72=0,0,IF(데이터입력!$AF$12=100%,(AT72),(AT72)+ROUND(AT72*(데이터입력!$AF$12-100%),-1))),0)</f>
        <v>0</v>
      </c>
      <c r="BA72" s="1265" t="str">
        <f t="shared" si="22"/>
        <v/>
      </c>
      <c r="BB72" s="1264" t="str">
        <f>IF(BA72="","",IF(데이터입력!$O$68="",ROUND(AZ72/12,0),ROUND(데이터입력!$O$68/데이터입력!$Y$8/$BC$63,0)))</f>
        <v/>
      </c>
      <c r="BC72" s="1141" t="str">
        <f>데이터입력!$B$49</f>
        <v>퇴직금 및 퇴직적립금(간접비)</v>
      </c>
      <c r="BD72" s="1142">
        <f>보수일람표!$L$261</f>
        <v>4800000</v>
      </c>
      <c r="BE72" s="1142">
        <f>데이터입력!$L$49</f>
        <v>1860000</v>
      </c>
      <c r="BF72" s="1143">
        <f t="shared" si="26"/>
        <v>0</v>
      </c>
    </row>
    <row r="73" spans="1:58" ht="17.25" thickBot="1">
      <c r="A73" s="1046" t="str">
        <f>IF($AM$1=TRUE,IF(K73="","",SUBTOTAL(2,$K$3:K73)),IF(AND(M73="",N73=""),"",IF(N73="",COUNT($M$3:M73),COUNT($N$3:N73)+200)))</f>
        <v/>
      </c>
      <c r="B73" s="365" t="s">
        <v>68</v>
      </c>
      <c r="C73" s="365" t="s">
        <v>582</v>
      </c>
      <c r="D73" s="364">
        <v>505010101</v>
      </c>
      <c r="E73" s="364" t="s">
        <v>83</v>
      </c>
      <c r="F73" s="364" t="s">
        <v>80</v>
      </c>
      <c r="G73" s="366">
        <f>IFERROR(IF($E73="06",VLOOKUP($B73,예산실적비교표!$O$7:$R$200,2,FALSE),0),0)</f>
        <v>0</v>
      </c>
      <c r="H73" s="366">
        <f>IFERROR(IF($E73="06",VLOOKUP($C73,세출예산서!$K$3:$X$304,12,FALSE),0),0)</f>
        <v>0</v>
      </c>
      <c r="I73" s="366">
        <f>IFERROR(IF($E73="07",VLOOKUP($C73,세출예산서!$K$3:$X$304,13,FALSE),0),0)</f>
        <v>0</v>
      </c>
      <c r="J73" s="366">
        <f>IFERROR(IF($E73="05",VLOOKUP($C73,세출예산서!$K$3:$X$304,14,FALSE),0),0)</f>
        <v>0</v>
      </c>
      <c r="K73" s="366" t="str">
        <f t="shared" si="15"/>
        <v/>
      </c>
      <c r="L73" s="367">
        <f>IFERROR(IF($AB$2="",0,ROUNDUP(VLOOKUP($B73,예산실적비교표!$O$7:$R$200,3,FALSE)*$Y$7/$Y$9,-3)*$Y$8),0)</f>
        <v>0</v>
      </c>
      <c r="M73" s="708" t="str">
        <f>IF($AM$1=TRUE,IF(K73="","",IF(IF($AE$2="",IF(K73="","",SUBTOTAL(2,$K$3:K73)),IF(AND(G73&gt;=0,K73=""),"",IF(AND(G73&gt;0,OR(K73&gt;0,K73&lt;0)),SUBTOTAL(2,$K$3:K73),IF(AND(G73=0,OR(K73&gt;0,K73&lt;0)),SUBTOTAL(2,$K$3:K73)+200,""))))&gt;200,"",1)),IF(K73="","",IF(IF($AE$2="",IF(K73="","",SUBTOTAL(2,$K$3:K73)),IF(AND(G73&gt;=0,K73=""),"",IF(AND(G73&gt;0,OR(K73&gt;0,K73&lt;0)),SUBTOTAL(2,$K$3:K73),IF(AND(G73=0,OR(K73&gt;0,K73&lt;0)),SUBTOTAL(2,$K$3:K73)+200,""))))&gt;200,"",1)))</f>
        <v/>
      </c>
      <c r="N73" s="214" t="str">
        <f>IF($AM$1=TRUE,IF(K73="","",IF(IF($AE$2="",IF(K73="","",SUBTOTAL(2,$K$3:K73)),IF(AND(G73&gt;=0,K73=""),"",IF(AND(G73&gt;0,OR(K73&gt;0,K73&lt;0)),SUBTOTAL(2,$K$3:K73),IF(AND(G73=0,OR(K73&gt;0,K73&lt;0)),SUBTOTAL(2,$K$3:K73)+200,""))))&lt;=200,"",2)),IF(K73="","",IF(IF($AE$2="",IF(K73="","",SUBTOTAL(2,$K$3:K73)),IF(AND(G73&gt;=0,K73=""),"",IF(AND(G73&gt;0,OR(K73&gt;0,K73&lt;0)),SUBTOTAL(2,$K$3:K73),IF(AND(G73=0,OR(K73&gt;0,K73&lt;0)),SUBTOTAL(2,$K$3:K73)+200,""))))&lt;=200,"",2)))</f>
        <v/>
      </c>
      <c r="O73" s="561"/>
      <c r="P73" s="435">
        <f>IFERROR(IF($AE$2="추경",IF(VLOOKUP(R73,$B$42:$L$80,6,FALSE)&gt;=VLOOKUP(R73,$B$42:$L$80,11,FALSE),VLOOKUP(R73,$B$42:$L$80,6,FALSE),VLOOKUP(R73,예산평균!$B:$D,3,FALSE)),IF(VLOOKUP(R73,$B$42:$L$80,11,FALSE)&gt;0,IF(VLOOKUP(R73,$B$42:$L$80,6,FALSE)&gt;=VLOOKUP(R73,$B$42:$L$80,11,FALSE),VLOOKUP(R73,$B$42:$L$80,6,FALSE),ROUNDUP(VLOOKUP(R73,$B$42:$L$80,11,FALSE)/U73,-3)*U73),VLOOKUP(R73,예산평균!$B:$D,3,FALSE))),0)</f>
        <v>0</v>
      </c>
      <c r="Q73" s="566">
        <v>0</v>
      </c>
      <c r="R73" s="493" t="s">
        <v>52</v>
      </c>
      <c r="S73" s="494" t="s">
        <v>80</v>
      </c>
      <c r="T73" s="429">
        <f t="shared" si="27"/>
        <v>0</v>
      </c>
      <c r="U73" s="569">
        <f>IF(Q73=0,IF(ROUND($Y$8/3,0)=0,1,ROUND($Y$8/3,0)),Q73)</f>
        <v>4</v>
      </c>
      <c r="V73" s="431" t="s">
        <v>127</v>
      </c>
      <c r="X73" s="1383"/>
      <c r="Y73" s="1384"/>
      <c r="Z73" s="1384"/>
      <c r="AA73" s="1384"/>
      <c r="AB73" s="1384"/>
      <c r="AC73" s="1385"/>
      <c r="AD73" s="1059" t="s">
        <v>16</v>
      </c>
      <c r="AE73" s="1305"/>
      <c r="AF73" s="645"/>
      <c r="AH73" s="334" t="str">
        <f>세출예산서!L285</f>
        <v xml:space="preserve">  - </v>
      </c>
      <c r="AI73" s="1390">
        <f>세출예산서!V285</f>
        <v>0</v>
      </c>
      <c r="AJ73" s="1391"/>
      <c r="AP73" s="1182" t="str">
        <f>IF(예산실적비교표!AL73&lt;&gt;"",예산실적비교표!AL73,"")</f>
        <v/>
      </c>
      <c r="AQ73" s="1183" t="str">
        <f>IF(예산실적비교표!AM73&lt;&gt;"",예산실적비교표!AM73,"")</f>
        <v/>
      </c>
      <c r="AR73" s="1184">
        <f>IF(예산실적비교표!AN73&lt;&gt;"",예산실적비교표!AN73,0)</f>
        <v>0</v>
      </c>
      <c r="AS73" s="1185">
        <f>IF(예산실적비교표!AO73&lt;&gt;"",예산실적비교표!AO73,0)</f>
        <v>0</v>
      </c>
      <c r="AT73" s="1118">
        <f t="shared" si="23"/>
        <v>0</v>
      </c>
      <c r="AU73" s="1186">
        <f>IF(예산실적비교표!AQ73&lt;&gt;"",예산실적비교표!AQ73,0)</f>
        <v>0</v>
      </c>
      <c r="AV73" s="1120">
        <f t="shared" si="24"/>
        <v>0</v>
      </c>
      <c r="AW73" s="1121">
        <f>IF(AR73="",0,ROUND((AT73*$AT$7)*데이터입력!$AF$14+(AT73*$AU$7)*데이터입력!$AF$14+(AT73*$AU$7*$AV$7)*데이터입력!$AF$14+(AT73*$AW$7)*데이터입력!$AF$14+(AT73*$AX$7)*데이터입력!$AF$14,-1))</f>
        <v>0</v>
      </c>
      <c r="AX73" s="1122">
        <f t="shared" si="25"/>
        <v>0</v>
      </c>
      <c r="AY73" s="1123">
        <f>IFERROR(IF(AR73+AS73=0,0,ROUND(IF(데이터입력!$AF$14=100%,ROUND(AR73*$AR$1,-3),ROUND(AR73*$AR$1,-3)-ROUND(((AR73*$AR$1)*$AT$4)*(데이터입력!$AF$14-100%)+((AR73*$AR$1)*$AU$4)*(데이터입력!$AF$14-100%)+((AR73*$AR$1)*$AU$4*$AV$4)*(데이터입력!$AF$14-100%)+((AR73*$AR$1)*$AW$4)*(데이터입력!$AF$14-100%),-1)),0)),0)</f>
        <v>0</v>
      </c>
      <c r="AZ73" s="1124">
        <f>IFERROR(IF(AR73+AS73=0,0,IF(데이터입력!$AF$12=100%,(AT73),(AT73)+ROUND(AT73*(데이터입력!$AF$12-100%),-1))),0)</f>
        <v>0</v>
      </c>
      <c r="BA73" s="1265" t="str">
        <f t="shared" si="22"/>
        <v/>
      </c>
      <c r="BB73" s="1264" t="str">
        <f>IF(BA73="","",IF(데이터입력!$O$68="",ROUND(AZ73/12,0),ROUND(데이터입력!$O$68/데이터입력!$Y$8/$BC$63,0)))</f>
        <v/>
      </c>
      <c r="BC73" s="1299" t="s">
        <v>160</v>
      </c>
      <c r="BD73" s="1618">
        <f>데이터입력!$Y$12</f>
        <v>0.50700000000000001</v>
      </c>
      <c r="BE73" s="1619"/>
      <c r="BF73" s="1620"/>
    </row>
    <row r="74" spans="1:58" ht="17.25" thickBot="1">
      <c r="A74" s="1046" t="str">
        <f>IF($AM$1=TRUE,IF(K74="","",SUBTOTAL(2,$K$3:K74)),IF(AND(M74="",N74=""),"",IF(N74="",COUNT($M$3:M74),COUNT($N$3:N74)+200)))</f>
        <v/>
      </c>
      <c r="B74" s="365" t="s">
        <v>69</v>
      </c>
      <c r="C74" s="365" t="s">
        <v>583</v>
      </c>
      <c r="D74" s="364">
        <v>506010101</v>
      </c>
      <c r="E74" s="364" t="s">
        <v>83</v>
      </c>
      <c r="F74" s="364" t="s">
        <v>80</v>
      </c>
      <c r="G74" s="366">
        <f>IFERROR(IF($E74="06",VLOOKUP($B74,예산실적비교표!$O$7:$R$200,2,FALSE),0),0)</f>
        <v>0</v>
      </c>
      <c r="H74" s="366">
        <f>IFERROR(IF($E74="06",VLOOKUP($C74,세출예산서!$K$3:$X$304,12,FALSE),0),0)</f>
        <v>0</v>
      </c>
      <c r="I74" s="366">
        <f>IFERROR(IF($E74="07",VLOOKUP($C74,세출예산서!$K$3:$X$304,13,FALSE),0),0)</f>
        <v>0</v>
      </c>
      <c r="J74" s="366">
        <f>IFERROR(IF($E74="05",VLOOKUP($C74,세출예산서!$K$3:$X$304,14,FALSE),0),0)</f>
        <v>0</v>
      </c>
      <c r="K74" s="366" t="str">
        <f t="shared" si="15"/>
        <v/>
      </c>
      <c r="L74" s="367">
        <f>IFERROR(IF($AB$2="",0,ROUNDUP(VLOOKUP($B74,예산실적비교표!$O$7:$R$200,3,FALSE)/$Y$9,-3)*$Y$8),0)</f>
        <v>0</v>
      </c>
      <c r="M74" s="708" t="str">
        <f>IF($AM$1=TRUE,IF(K74="","",IF(IF($AE$2="",IF(K74="","",SUBTOTAL(2,$K$3:K74)),IF(AND(G74&gt;=0,K74=""),"",IF(AND(G74&gt;0,OR(K74&gt;0,K74&lt;0)),SUBTOTAL(2,$K$3:K74),IF(AND(G74=0,OR(K74&gt;0,K74&lt;0)),SUBTOTAL(2,$K$3:K74)+200,""))))&gt;200,"",1)),IF(K74="","",IF(IF($AE$2="",IF(K74="","",SUBTOTAL(2,$K$3:K74)),IF(AND(G74&gt;=0,K74=""),"",IF(AND(G74&gt;0,OR(K74&gt;0,K74&lt;0)),SUBTOTAL(2,$K$3:K74),IF(AND(G74=0,OR(K74&gt;0,K74&lt;0)),SUBTOTAL(2,$K$3:K74)+200,""))))&gt;200,"",1)))</f>
        <v/>
      </c>
      <c r="N74" s="214" t="str">
        <f>IF($AM$1=TRUE,IF(K74="","",IF(IF($AE$2="",IF(K74="","",SUBTOTAL(2,$K$3:K74)),IF(AND(G74&gt;=0,K74=""),"",IF(AND(G74&gt;0,OR(K74&gt;0,K74&lt;0)),SUBTOTAL(2,$K$3:K74),IF(AND(G74=0,OR(K74&gt;0,K74&lt;0)),SUBTOTAL(2,$K$3:K74)+200,""))))&lt;=200,"",2)),IF(K74="","",IF(IF($AE$2="",IF(K74="","",SUBTOTAL(2,$K$3:K74)),IF(AND(G74&gt;=0,K74=""),"",IF(AND(G74&gt;0,OR(K74&gt;0,K74&lt;0)),SUBTOTAL(2,$K$3:K74),IF(AND(G74=0,OR(K74&gt;0,K74&lt;0)),SUBTOTAL(2,$K$3:K74)+200,""))))&lt;=200,"",2)))</f>
        <v/>
      </c>
      <c r="O74" s="561"/>
      <c r="P74" s="435">
        <f>IFERROR(IF($AE$2="추경",IF(VLOOKUP(R74,$B$42:$L$80,6,FALSE)&gt;=VLOOKUP(R74,$B$42:$L$80,11,FALSE),VLOOKUP(R74,$B$42:$L$80,6,FALSE),VLOOKUP(R74,예산평균!$B:$D,3,FALSE)),IF(VLOOKUP(R74,$B$42:$L$80,11,FALSE)&gt;0,IF(VLOOKUP(R74,$B$42:$L$80,6,FALSE)&gt;=VLOOKUP(R74,$B$42:$L$80,11,FALSE),VLOOKUP(R74,$B$42:$L$80,6,FALSE),ROUNDUP(VLOOKUP(R74,$B$42:$L$80,11,FALSE)/U74,-3)*U74),VLOOKUP(R74,예산평균!$B:$D,3,FALSE))),0)</f>
        <v>0</v>
      </c>
      <c r="Q74" s="566">
        <v>0</v>
      </c>
      <c r="R74" s="493" t="s">
        <v>53</v>
      </c>
      <c r="S74" s="494" t="s">
        <v>80</v>
      </c>
      <c r="T74" s="429">
        <f t="shared" si="27"/>
        <v>0</v>
      </c>
      <c r="U74" s="569">
        <f>IF(Q74=0,$Y$8,Q74)</f>
        <v>12</v>
      </c>
      <c r="V74" s="431" t="s">
        <v>127</v>
      </c>
      <c r="X74" s="407" t="s">
        <v>211</v>
      </c>
      <c r="Y74" s="635">
        <f>ROUND(세입예산서!Z48/데이터입력!$Y$8,-3)</f>
        <v>0</v>
      </c>
      <c r="Z74" s="407" t="s">
        <v>212</v>
      </c>
      <c r="AA74" s="878">
        <f>ROUND(세입예산서!Z56/데이터입력!$Y$8,-3)</f>
        <v>0</v>
      </c>
      <c r="AB74" s="407" t="s">
        <v>214</v>
      </c>
      <c r="AC74" s="882">
        <f>ROUND(세입예산서!Z76/데이터입력!$Y$8,-3)</f>
        <v>0</v>
      </c>
      <c r="AD74" s="1304" t="s">
        <v>790</v>
      </c>
      <c r="AE74" s="1306"/>
      <c r="AF74" s="1307"/>
      <c r="AH74" s="334" t="str">
        <f>세출예산서!L286</f>
        <v xml:space="preserve">  - </v>
      </c>
      <c r="AI74" s="1390">
        <f>세출예산서!V286</f>
        <v>0</v>
      </c>
      <c r="AJ74" s="1391"/>
      <c r="AP74" s="1182" t="str">
        <f>IF(예산실적비교표!AL74&lt;&gt;"",예산실적비교표!AL74,"")</f>
        <v/>
      </c>
      <c r="AQ74" s="1183" t="str">
        <f>IF(예산실적비교표!AM74&lt;&gt;"",예산실적비교표!AM74,"")</f>
        <v/>
      </c>
      <c r="AR74" s="1184">
        <f>IF(예산실적비교표!AN74&lt;&gt;"",예산실적비교표!AN74,0)</f>
        <v>0</v>
      </c>
      <c r="AS74" s="1185">
        <f>IF(예산실적비교표!AO74&lt;&gt;"",예산실적비교표!AO74,0)</f>
        <v>0</v>
      </c>
      <c r="AT74" s="1118">
        <f t="shared" si="23"/>
        <v>0</v>
      </c>
      <c r="AU74" s="1186">
        <f>IF(예산실적비교표!AQ74&lt;&gt;"",예산실적비교표!AQ74,0)</f>
        <v>0</v>
      </c>
      <c r="AV74" s="1120">
        <f t="shared" si="24"/>
        <v>0</v>
      </c>
      <c r="AW74" s="1121">
        <f>IF(AR74="",0,ROUND((AT74*$AT$7)*데이터입력!$AF$14+(AT74*$AU$7)*데이터입력!$AF$14+(AT74*$AU$7*$AV$7)*데이터입력!$AF$14+(AT74*$AW$7)*데이터입력!$AF$14+(AT74*$AX$7)*데이터입력!$AF$14,-1))</f>
        <v>0</v>
      </c>
      <c r="AX74" s="1122">
        <f t="shared" si="25"/>
        <v>0</v>
      </c>
      <c r="AY74" s="1123">
        <f>IFERROR(IF(AR74+AS74=0,0,ROUND(IF(데이터입력!$AF$14=100%,ROUND(AR74*$AR$1,-3),ROUND(AR74*$AR$1,-3)-ROUND(((AR74*$AR$1)*$AT$4)*(데이터입력!$AF$14-100%)+((AR74*$AR$1)*$AU$4)*(데이터입력!$AF$14-100%)+((AR74*$AR$1)*$AU$4*$AV$4)*(데이터입력!$AF$14-100%)+((AR74*$AR$1)*$AW$4)*(데이터입력!$AF$14-100%),-1)),0)),0)</f>
        <v>0</v>
      </c>
      <c r="AZ74" s="1124">
        <f>IFERROR(IF(AR74+AS74=0,0,IF(데이터입력!$AF$12=100%,(AT74),(AT74)+ROUND(AT74*(데이터입력!$AF$12-100%),-1))),0)</f>
        <v>0</v>
      </c>
      <c r="BA74" s="1265" t="str">
        <f t="shared" si="22"/>
        <v/>
      </c>
      <c r="BB74" s="1264" t="str">
        <f>IF(BA74="","",IF(데이터입력!$O$68="",ROUND(AZ74/12,0),ROUND(데이터입력!$O$68/데이터입력!$Y$8/$BC$63,0)))</f>
        <v/>
      </c>
    </row>
    <row r="75" spans="1:58" ht="17.25" thickBot="1">
      <c r="A75" s="1046" t="str">
        <f>IF($AM$1=TRUE,IF(K75="","",SUBTOTAL(2,$K$3:K75)),IF(AND(M75="",N75=""),"",IF(N75="",COUNT($M$3:M75),COUNT($N$3:N75)+200)))</f>
        <v/>
      </c>
      <c r="B75" s="365" t="s">
        <v>70</v>
      </c>
      <c r="C75" s="365" t="s">
        <v>584</v>
      </c>
      <c r="D75" s="364">
        <v>506010201</v>
      </c>
      <c r="E75" s="364" t="s">
        <v>83</v>
      </c>
      <c r="F75" s="364" t="s">
        <v>80</v>
      </c>
      <c r="G75" s="366">
        <f>IFERROR(IF($E75="06",VLOOKUP($B75,예산실적비교표!$O$7:$R$200,2,FALSE),0),0)</f>
        <v>0</v>
      </c>
      <c r="H75" s="366">
        <f>IFERROR(IF($E75="06",VLOOKUP($C75,세출예산서!$K$3:$X$304,12,FALSE),0),0)</f>
        <v>0</v>
      </c>
      <c r="I75" s="366">
        <f>IFERROR(IF($E75="07",VLOOKUP($C75,세출예산서!$K$3:$X$304,13,FALSE),0),0)</f>
        <v>0</v>
      </c>
      <c r="J75" s="366">
        <f>IFERROR(IF($E75="05",VLOOKUP($C75,세출예산서!$K$3:$X$304,14,FALSE),0),0)</f>
        <v>0</v>
      </c>
      <c r="K75" s="366" t="str">
        <f t="shared" si="15"/>
        <v/>
      </c>
      <c r="L75" s="367">
        <f>IFERROR(IF($AB$2="",0,ROUNDUP(VLOOKUP($B75,예산실적비교표!$O$7:$R$200,3,FALSE)/$Y$9,-3)*$Y$8),0)</f>
        <v>0</v>
      </c>
      <c r="M75" s="708" t="str">
        <f>IF($AM$1=TRUE,IF(K75="","",IF(IF($AE$2="",IF(K75="","",SUBTOTAL(2,$K$3:K75)),IF(AND(G75&gt;=0,K75=""),"",IF(AND(G75&gt;0,OR(K75&gt;0,K75&lt;0)),SUBTOTAL(2,$K$3:K75),IF(AND(G75=0,OR(K75&gt;0,K75&lt;0)),SUBTOTAL(2,$K$3:K75)+200,""))))&gt;200,"",1)),IF(K75="","",IF(IF($AE$2="",IF(K75="","",SUBTOTAL(2,$K$3:K75)),IF(AND(G75&gt;=0,K75=""),"",IF(AND(G75&gt;0,OR(K75&gt;0,K75&lt;0)),SUBTOTAL(2,$K$3:K75),IF(AND(G75=0,OR(K75&gt;0,K75&lt;0)),SUBTOTAL(2,$K$3:K75)+200,""))))&gt;200,"",1)))</f>
        <v/>
      </c>
      <c r="N75" s="214" t="str">
        <f>IF($AM$1=TRUE,IF(K75="","",IF(IF($AE$2="",IF(K75="","",SUBTOTAL(2,$K$3:K75)),IF(AND(G75&gt;=0,K75=""),"",IF(AND(G75&gt;0,OR(K75&gt;0,K75&lt;0)),SUBTOTAL(2,$K$3:K75),IF(AND(G75=0,OR(K75&gt;0,K75&lt;0)),SUBTOTAL(2,$K$3:K75)+200,""))))&lt;=200,"",2)),IF(K75="","",IF(IF($AE$2="",IF(K75="","",SUBTOTAL(2,$K$3:K75)),IF(AND(G75&gt;=0,K75=""),"",IF(AND(G75&gt;0,OR(K75&gt;0,K75&lt;0)),SUBTOTAL(2,$K$3:K75),IF(AND(G75=0,OR(K75&gt;0,K75&lt;0)),SUBTOTAL(2,$K$3:K75)+200,""))))&lt;=200,"",2)))</f>
        <v/>
      </c>
      <c r="O75" s="561">
        <v>6600000</v>
      </c>
      <c r="P75" s="435">
        <f>IFERROR(IF($AE$2="추경",IF(VLOOKUP(R75,$B$42:$L$80,6,FALSE)&gt;=VLOOKUP(R75,$B$42:$L$80,11,FALSE),VLOOKUP(R75,$B$42:$L$80,6,FALSE),VLOOKUP(R75,예산평균!$B:$D,3,FALSE)),IF(VLOOKUP(R75,$B$42:$L$80,11,FALSE)&gt;0,IF(VLOOKUP(R75,$B$42:$L$80,6,FALSE)&gt;=VLOOKUP(R75,$B$42:$L$80,11,FALSE),VLOOKUP(R75,$B$42:$L$80,6,FALSE),ROUNDUP(VLOOKUP(R75,$B$42:$L$80,11,FALSE)/U75,-4)*U75),VLOOKUP(R75,예산평균!$B:$D,3,FALSE))),0)</f>
        <v>10200000</v>
      </c>
      <c r="Q75" s="566">
        <v>0</v>
      </c>
      <c r="R75" s="493" t="s">
        <v>54</v>
      </c>
      <c r="S75" s="494" t="s">
        <v>80</v>
      </c>
      <c r="T75" s="429">
        <f t="shared" si="27"/>
        <v>6600000</v>
      </c>
      <c r="U75" s="569">
        <f>IF(Q75=0,$Y$8,Q75)</f>
        <v>12</v>
      </c>
      <c r="V75" s="431" t="s">
        <v>127</v>
      </c>
      <c r="X75" s="1059" t="str">
        <f>IF(예산실적비교표!A65="X","",예산실적비교표!A65)</f>
        <v>국고보조금</v>
      </c>
      <c r="Y75" s="888">
        <f>Y74-Y76-Y77</f>
        <v>0</v>
      </c>
      <c r="Z75" s="1059" t="str">
        <f>IF(예산실적비교표!C65="X","",예산실적비교표!C65)</f>
        <v>시도보조금</v>
      </c>
      <c r="AA75" s="888">
        <f>AA74-AA76-AA77</f>
        <v>0</v>
      </c>
      <c r="AB75" s="1059" t="str">
        <f>IF(예산실적비교표!E65="X","",예산실적비교표!E65)</f>
        <v>기타보조금</v>
      </c>
      <c r="AC75" s="888">
        <f>AC74-AC76-AC77</f>
        <v>0</v>
      </c>
      <c r="AD75" s="1304" t="s">
        <v>791</v>
      </c>
      <c r="AE75" s="1306"/>
      <c r="AF75" s="1307"/>
      <c r="AH75" s="357" t="str">
        <f>세출예산서!L287</f>
        <v xml:space="preserve">  - </v>
      </c>
      <c r="AI75" s="1398">
        <f>세출예산서!V287</f>
        <v>0</v>
      </c>
      <c r="AJ75" s="1399"/>
      <c r="AP75" s="1182" t="str">
        <f>IF(예산실적비교표!AL75&lt;&gt;"",예산실적비교표!AL75,"")</f>
        <v/>
      </c>
      <c r="AQ75" s="1183" t="str">
        <f>IF(예산실적비교표!AM75&lt;&gt;"",예산실적비교표!AM75,"")</f>
        <v/>
      </c>
      <c r="AR75" s="1184">
        <f>IF(예산실적비교표!AN75&lt;&gt;"",예산실적비교표!AN75,0)</f>
        <v>0</v>
      </c>
      <c r="AS75" s="1185">
        <f>IF(예산실적비교표!AO75&lt;&gt;"",예산실적비교표!AO75,0)</f>
        <v>0</v>
      </c>
      <c r="AT75" s="1118">
        <f t="shared" si="23"/>
        <v>0</v>
      </c>
      <c r="AU75" s="1186">
        <f>IF(예산실적비교표!AQ75&lt;&gt;"",예산실적비교표!AQ75,0)</f>
        <v>0</v>
      </c>
      <c r="AV75" s="1120">
        <f t="shared" si="24"/>
        <v>0</v>
      </c>
      <c r="AW75" s="1121">
        <f>IF(AR75="",0,ROUND((AT75*$AT$7)*데이터입력!$AF$14+(AT75*$AU$7)*데이터입력!$AF$14+(AT75*$AU$7*$AV$7)*데이터입력!$AF$14+(AT75*$AW$7)*데이터입력!$AF$14+(AT75*$AX$7)*데이터입력!$AF$14,-1))</f>
        <v>0</v>
      </c>
      <c r="AX75" s="1122">
        <f t="shared" si="25"/>
        <v>0</v>
      </c>
      <c r="AY75" s="1123">
        <f>IFERROR(IF(AR75+AS75=0,0,ROUND(IF(데이터입력!$AF$14=100%,ROUND(AR75*$AR$1,-3),ROUND(AR75*$AR$1,-3)-ROUND(((AR75*$AR$1)*$AT$4)*(데이터입력!$AF$14-100%)+((AR75*$AR$1)*$AU$4)*(데이터입력!$AF$14-100%)+((AR75*$AR$1)*$AU$4*$AV$4)*(데이터입력!$AF$14-100%)+((AR75*$AR$1)*$AW$4)*(데이터입력!$AF$14-100%),-1)),0)),0)</f>
        <v>0</v>
      </c>
      <c r="AZ75" s="1124">
        <f>IFERROR(IF(AR75+AS75=0,0,IF(데이터입력!$AF$12=100%,(AT75),(AT75)+ROUND(AT75*(데이터입력!$AF$12-100%),-1))),0)</f>
        <v>0</v>
      </c>
      <c r="BA75" s="1265" t="str">
        <f t="shared" si="22"/>
        <v/>
      </c>
      <c r="BB75" s="1264" t="str">
        <f>IF(BA75="","",IF(데이터입력!$O$68="",ROUND(AZ75/12,0),ROUND(데이터입력!$O$68/데이터입력!$Y$8/$BC$63,0)))</f>
        <v/>
      </c>
    </row>
    <row r="76" spans="1:58" ht="17.25" thickBot="1">
      <c r="A76" s="1046">
        <f>IF($AM$1=TRUE,IF(K76="","",SUBTOTAL(2,$K$3:K76)),IF(AND(M76="",N76=""),"",IF(N76="",COUNT($M$3:M76),COUNT($N$3:N76)+200)))</f>
        <v>29</v>
      </c>
      <c r="B76" s="365" t="s">
        <v>71</v>
      </c>
      <c r="C76" s="365" t="s">
        <v>585</v>
      </c>
      <c r="D76" s="364">
        <v>507010101</v>
      </c>
      <c r="E76" s="364" t="s">
        <v>83</v>
      </c>
      <c r="F76" s="364" t="s">
        <v>80</v>
      </c>
      <c r="G76" s="366">
        <f>IFERROR(IF($E76="06",VLOOKUP($B76,예산실적비교표!$O$7:$R$200,2,FALSE),0),0)</f>
        <v>6142167</v>
      </c>
      <c r="H76" s="366">
        <f>IFERROR(IF($E76="06",VLOOKUP($C76,세출예산서!$K$3:$X$304,12,FALSE),0),0)</f>
        <v>3912994</v>
      </c>
      <c r="I76" s="366">
        <f>IFERROR(IF($E76="07",VLOOKUP($C76,세출예산서!$K$3:$X$304,13,FALSE),0),0)</f>
        <v>0</v>
      </c>
      <c r="J76" s="366">
        <f>IFERROR(IF($E76="05",VLOOKUP($C76,세출예산서!$K$3:$X$304,14,FALSE),0),0)</f>
        <v>0</v>
      </c>
      <c r="K76" s="366">
        <f t="shared" si="15"/>
        <v>-2229173</v>
      </c>
      <c r="L76" s="367">
        <f>IFERROR(IF($AB$2="",0,ROUNDUP(VLOOKUP($B76,예산실적비교표!$O$7:$R$200,3,FALSE)/$Y$9,-3)*$Y$8),0)</f>
        <v>888000</v>
      </c>
      <c r="M76" s="708">
        <f>IF($AM$1=TRUE,IF(K76="","",IF(IF($AE$2="",IF(K76="","",SUBTOTAL(2,$K$3:K76)),IF(AND(G76&gt;=0,K76=""),"",IF(AND(G76&gt;0,OR(K76&gt;0,K76&lt;0)),SUBTOTAL(2,$K$3:K76),IF(AND(G76=0,OR(K76&gt;0,K76&lt;0)),SUBTOTAL(2,$K$3:K76)+200,""))))&gt;200,"",1)),IF(K76="","",IF(IF($AE$2="",IF(K76="","",SUBTOTAL(2,$K$3:K76)),IF(AND(G76&gt;=0,K76=""),"",IF(AND(G76&gt;0,OR(K76&gt;0,K76&lt;0)),SUBTOTAL(2,$K$3:K76),IF(AND(G76=0,OR(K76&gt;0,K76&lt;0)),SUBTOTAL(2,$K$3:K76)+200,""))))&gt;200,"",1)))</f>
        <v>1</v>
      </c>
      <c r="N76" s="214" t="str">
        <f>IF($AM$1=TRUE,IF(K76="","",IF(IF($AE$2="",IF(K76="","",SUBTOTAL(2,$K$3:K76)),IF(AND(G76&gt;=0,K76=""),"",IF(AND(G76&gt;0,OR(K76&gt;0,K76&lt;0)),SUBTOTAL(2,$K$3:K76),IF(AND(G76=0,OR(K76&gt;0,K76&lt;0)),SUBTOTAL(2,$K$3:K76)+200,""))))&lt;=200,"",2)),IF(K76="","",IF(IF($AE$2="",IF(K76="","",SUBTOTAL(2,$K$3:K76)),IF(AND(G76&gt;=0,K76=""),"",IF(AND(G76&gt;0,OR(K76&gt;0,K76&lt;0)),SUBTOTAL(2,$K$3:K76),IF(AND(G76=0,OR(K76&gt;0,K76&lt;0)),SUBTOTAL(2,$K$3:K76)+200,""))))&lt;=200,"",2)))</f>
        <v/>
      </c>
      <c r="O76" s="561">
        <v>6840000</v>
      </c>
      <c r="P76" s="435">
        <f>IFERROR(IF($AE$2="추경",IF(VLOOKUP(R76,$B$42:$L$80,6,FALSE)&gt;=VLOOKUP(R76,$B$42:$L$80,11,FALSE),VLOOKUP(R76,$B$42:$L$80,6,FALSE),VLOOKUP(R76,예산평균!$B:$D,3,FALSE)),IF(VLOOKUP(R76,$B$42:$L$80,11,FALSE)&gt;0,IF(VLOOKUP(R76,$B$42:$L$80,6,FALSE)&gt;=VLOOKUP(R76,$B$42:$L$80,11,FALSE),VLOOKUP(R76,$B$42:$L$80,6,FALSE),ROUNDUP(VLOOKUP(R76,$B$42:$L$80,11,FALSE)/U76,-4)*U76),VLOOKUP(R76,예산평균!$B:$D,3,FALSE))),0)</f>
        <v>9000000</v>
      </c>
      <c r="Q76" s="566">
        <v>0</v>
      </c>
      <c r="R76" s="493"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S76" s="494" t="s">
        <v>80</v>
      </c>
      <c r="T76" s="429">
        <f t="shared" si="27"/>
        <v>6840000</v>
      </c>
      <c r="U76" s="569">
        <f>IF(Q76=0,$Y$8,Q76)</f>
        <v>12</v>
      </c>
      <c r="V76" s="495" t="s">
        <v>142</v>
      </c>
      <c r="X76" s="657" t="str">
        <f>IF(예산실적비교표!A66="X","",예산실적비교표!A66)</f>
        <v/>
      </c>
      <c r="Y76" s="889">
        <f>IF($AB$2="",0,예산실적비교표!B66)</f>
        <v>0</v>
      </c>
      <c r="Z76" s="657" t="str">
        <f>IF(예산실적비교표!C66="X","",예산실적비교표!C66)</f>
        <v/>
      </c>
      <c r="AA76" s="889">
        <f>IF($AB$2="",0,예산실적비교표!D66)</f>
        <v>0</v>
      </c>
      <c r="AB76" s="657" t="str">
        <f>IF(예산실적비교표!E66="X","",예산실적비교표!E66)</f>
        <v/>
      </c>
      <c r="AC76" s="889">
        <f>IF($AB$2="",0,예산실적비교표!F66)</f>
        <v>0</v>
      </c>
      <c r="AD76" s="657" t="str">
        <f>IF(예산실적비교표!G66="X","",예산실적비교표!G66)</f>
        <v/>
      </c>
      <c r="AE76" s="889">
        <f>IF($AB$2="",0,예산실적비교표!H66)</f>
        <v>0</v>
      </c>
      <c r="AF76" s="1308">
        <v>1</v>
      </c>
      <c r="AH76" s="1395" t="s">
        <v>792</v>
      </c>
      <c r="AI76" s="1396"/>
      <c r="AJ76" s="1397"/>
      <c r="AP76" s="1182" t="str">
        <f>IF(예산실적비교표!AL76&lt;&gt;"",예산실적비교표!AL76,"")</f>
        <v/>
      </c>
      <c r="AQ76" s="1183" t="str">
        <f>IF(예산실적비교표!AM76&lt;&gt;"",예산실적비교표!AM76,"")</f>
        <v/>
      </c>
      <c r="AR76" s="1184">
        <f>IF(예산실적비교표!AN76&lt;&gt;"",예산실적비교표!AN76,0)</f>
        <v>0</v>
      </c>
      <c r="AS76" s="1185">
        <f>IF(예산실적비교표!AO76&lt;&gt;"",예산실적비교표!AO76,0)</f>
        <v>0</v>
      </c>
      <c r="AT76" s="1118">
        <f t="shared" si="23"/>
        <v>0</v>
      </c>
      <c r="AU76" s="1186">
        <f>IF(예산실적비교표!AQ76&lt;&gt;"",예산실적비교표!AQ76,0)</f>
        <v>0</v>
      </c>
      <c r="AV76" s="1120">
        <f t="shared" si="24"/>
        <v>0</v>
      </c>
      <c r="AW76" s="1121">
        <f>IF(AR76="",0,ROUND((AT76*$AT$7)*데이터입력!$AF$14+(AT76*$AU$7)*데이터입력!$AF$14+(AT76*$AU$7*$AV$7)*데이터입력!$AF$14+(AT76*$AW$7)*데이터입력!$AF$14+(AT76*$AX$7)*데이터입력!$AF$14,-1))</f>
        <v>0</v>
      </c>
      <c r="AX76" s="1122">
        <f t="shared" si="25"/>
        <v>0</v>
      </c>
      <c r="AY76" s="1123">
        <f>IFERROR(IF(AR76+AS76=0,0,ROUND(IF(데이터입력!$AF$14=100%,ROUND(AR76*$AR$1,-3),ROUND(AR76*$AR$1,-3)-ROUND(((AR76*$AR$1)*$AT$4)*(데이터입력!$AF$14-100%)+((AR76*$AR$1)*$AU$4)*(데이터입력!$AF$14-100%)+((AR76*$AR$1)*$AU$4*$AV$4)*(데이터입력!$AF$14-100%)+((AR76*$AR$1)*$AW$4)*(데이터입력!$AF$14-100%),-1)),0)),0)</f>
        <v>0</v>
      </c>
      <c r="AZ76" s="1124">
        <f>IFERROR(IF(AR76+AS76=0,0,IF(데이터입력!$AF$12=100%,(AT76),(AT76)+ROUND(AT76*(데이터입력!$AF$12-100%),-1))),0)</f>
        <v>0</v>
      </c>
      <c r="BA76" s="1265" t="str">
        <f t="shared" si="22"/>
        <v/>
      </c>
      <c r="BB76" s="1264" t="str">
        <f>IF(BA76="","",IF(데이터입력!$O$68="",ROUND(AZ76/12,0),ROUND(데이터입력!$O$68/데이터입력!$Y$8/$BC$63,0)))</f>
        <v/>
      </c>
    </row>
    <row r="77" spans="1:58" ht="17.25" thickBot="1">
      <c r="A77" s="1046">
        <f>IF($AM$1=TRUE,IF(K77="","",SUBTOTAL(2,$K$3:K77)),IF(AND(M77="",N77=""),"",IF(N77="",COUNT($M$3:M77),COUNT($N$3:N77)+200)))</f>
        <v>30</v>
      </c>
      <c r="B77" s="365" t="s">
        <v>72</v>
      </c>
      <c r="C77" s="365" t="s">
        <v>586</v>
      </c>
      <c r="D77" s="364">
        <v>508010101</v>
      </c>
      <c r="E77" s="364" t="s">
        <v>83</v>
      </c>
      <c r="F77" s="364" t="s">
        <v>80</v>
      </c>
      <c r="G77" s="366">
        <f>IFERROR(IF($E77="06",VLOOKUP($B77,예산실적비교표!$O$7:$R$200,2,FALSE),0),0)</f>
        <v>1000000</v>
      </c>
      <c r="H77" s="366">
        <f>IFERROR(IF($E77="06",VLOOKUP($C77,세출예산서!$K$3:$X$304,12,FALSE),0),0)</f>
        <v>0</v>
      </c>
      <c r="I77" s="366">
        <f>IFERROR(IF($E77="07",VLOOKUP($C77,세출예산서!$K$3:$X$304,13,FALSE),0),0)</f>
        <v>0</v>
      </c>
      <c r="J77" s="366">
        <f>IFERROR(IF($E77="05",VLOOKUP($C77,세출예산서!$K$3:$X$304,14,FALSE),0),0)</f>
        <v>0</v>
      </c>
      <c r="K77" s="366">
        <f t="shared" si="15"/>
        <v>-1000000</v>
      </c>
      <c r="L77" s="367">
        <f>IFERROR(IF($AB$2="",0,ROUNDUP(VLOOKUP($B77,예산실적비교표!$O$7:$R$200,3,FALSE)/$Y$9,-3)*$Y$8),0)</f>
        <v>0</v>
      </c>
      <c r="M77" s="708">
        <f>IF($AM$1=TRUE,IF(K77="","",IF(IF($AE$2="",IF(K77="","",SUBTOTAL(2,$K$3:K77)),IF(AND(G77&gt;=0,K77=""),"",IF(AND(G77&gt;0,OR(K77&gt;0,K77&lt;0)),SUBTOTAL(2,$K$3:K77),IF(AND(G77=0,OR(K77&gt;0,K77&lt;0)),SUBTOTAL(2,$K$3:K77)+200,""))))&gt;200,"",1)),IF(K77="","",IF(IF($AE$2="",IF(K77="","",SUBTOTAL(2,$K$3:K77)),IF(AND(G77&gt;=0,K77=""),"",IF(AND(G77&gt;0,OR(K77&gt;0,K77&lt;0)),SUBTOTAL(2,$K$3:K77),IF(AND(G77=0,OR(K77&gt;0,K77&lt;0)),SUBTOTAL(2,$K$3:K77)+200,""))))&gt;200,"",1)))</f>
        <v>1</v>
      </c>
      <c r="N77" s="214" t="str">
        <f>IF($AM$1=TRUE,IF(K77="","",IF(IF($AE$2="",IF(K77="","",SUBTOTAL(2,$K$3:K77)),IF(AND(G77&gt;=0,K77=""),"",IF(AND(G77&gt;0,OR(K77&gt;0,K77&lt;0)),SUBTOTAL(2,$K$3:K77),IF(AND(G77=0,OR(K77&gt;0,K77&lt;0)),SUBTOTAL(2,$K$3:K77)+200,""))))&lt;=200,"",2)),IF(K77="","",IF(IF($AE$2="",IF(K77="","",SUBTOTAL(2,$K$3:K77)),IF(AND(G77&gt;=0,K77=""),"",IF(AND(G77&gt;0,OR(K77&gt;0,K77&lt;0)),SUBTOTAL(2,$K$3:K77),IF(AND(G77=0,OR(K77&gt;0,K77&lt;0)),SUBTOTAL(2,$K$3:K77)+200,""))))&lt;=200,"",2)))</f>
        <v/>
      </c>
      <c r="O77" s="561">
        <v>7200000</v>
      </c>
      <c r="P77" s="435">
        <f>IFERROR(IF($AE$2="추경",IF(VLOOKUP(R77,$B$42:$L$80,6,FALSE)&gt;=VLOOKUP(R77,$B$42:$L$80,11,FALSE),VLOOKUP(R77,$B$42:$L$80,6,FALSE),VLOOKUP(R77,예산평균!$B:$D,3,FALSE)),IF(VLOOKUP(R77,$B$42:$L$80,11,FALSE)&gt;0,IF(VLOOKUP(R77,$B$42:$L$80,6,FALSE)&gt;=VLOOKUP(R77,$B$42:$L$80,11,FALSE),VLOOKUP(R77,$B$42:$L$80,6,FALSE),ROUNDUP(VLOOKUP(R77,$B$42:$L$80,11,FALSE)/U77,-4)*U77),VLOOKUP(R77,예산평균!$B:$D,3,FALSE))),0)</f>
        <v>6600000</v>
      </c>
      <c r="Q77" s="566">
        <v>0</v>
      </c>
      <c r="R77" s="493" t="s">
        <v>55</v>
      </c>
      <c r="S77" s="494" t="s">
        <v>80</v>
      </c>
      <c r="T77" s="429">
        <f t="shared" si="27"/>
        <v>7200000</v>
      </c>
      <c r="U77" s="569">
        <f t="shared" ref="U77:U91" si="28">IF(Q77=0,$Y$8,Q77)</f>
        <v>12</v>
      </c>
      <c r="V77" s="431" t="s">
        <v>127</v>
      </c>
      <c r="X77" s="657" t="str">
        <f>IF(예산실적비교표!A67="X","",예산실적비교표!A67)</f>
        <v/>
      </c>
      <c r="Y77" s="889">
        <f>IF($AB$2="",0,예산실적비교표!B67)</f>
        <v>0</v>
      </c>
      <c r="Z77" s="657" t="str">
        <f>IF(예산실적비교표!C67="X","",예산실적비교표!C67)</f>
        <v/>
      </c>
      <c r="AA77" s="889">
        <f>IF($AB$2="",0,예산실적비교표!D67)</f>
        <v>0</v>
      </c>
      <c r="AB77" s="657" t="str">
        <f>IF(예산실적비교표!E67="X","",예산실적비교표!E67)</f>
        <v/>
      </c>
      <c r="AC77" s="889">
        <f>IF($AB$2="",0,예산실적비교표!F67)</f>
        <v>0</v>
      </c>
      <c r="AD77" s="657" t="str">
        <f>IF(예산실적비교표!G67="X","",예산실적비교표!G67)</f>
        <v/>
      </c>
      <c r="AE77" s="889">
        <f>IF($AB$2="",0,예산실적비교표!H67)</f>
        <v>0</v>
      </c>
      <c r="AF77" s="1308">
        <v>1</v>
      </c>
      <c r="AH77" s="1313" t="str">
        <f>AD72</f>
        <v>시군구보조금</v>
      </c>
      <c r="AI77" s="1386">
        <f>세입예산서!W64</f>
        <v>0</v>
      </c>
      <c r="AJ77" s="1387"/>
      <c r="AP77" s="1182" t="str">
        <f>IF(예산실적비교표!AL77&lt;&gt;"",예산실적비교표!AL77,"")</f>
        <v/>
      </c>
      <c r="AQ77" s="1183" t="str">
        <f>IF(예산실적비교표!AM77&lt;&gt;"",예산실적비교표!AM77,"")</f>
        <v/>
      </c>
      <c r="AR77" s="1184">
        <f>IF(예산실적비교표!AN77&lt;&gt;"",예산실적비교표!AN77,0)</f>
        <v>0</v>
      </c>
      <c r="AS77" s="1185">
        <f>IF(예산실적비교표!AO77&lt;&gt;"",예산실적비교표!AO77,0)</f>
        <v>0</v>
      </c>
      <c r="AT77" s="1118">
        <f t="shared" si="23"/>
        <v>0</v>
      </c>
      <c r="AU77" s="1186">
        <f>IF(예산실적비교표!AQ77&lt;&gt;"",예산실적비교표!AQ77,0)</f>
        <v>0</v>
      </c>
      <c r="AV77" s="1120">
        <f t="shared" si="24"/>
        <v>0</v>
      </c>
      <c r="AW77" s="1121">
        <f>IF(AR77="",0,ROUND((AT77*$AT$7)*데이터입력!$AF$14+(AT77*$AU$7)*데이터입력!$AF$14+(AT77*$AU$7*$AV$7)*데이터입력!$AF$14+(AT77*$AW$7)*데이터입력!$AF$14+(AT77*$AX$7)*데이터입력!$AF$14,-1))</f>
        <v>0</v>
      </c>
      <c r="AX77" s="1122">
        <f t="shared" si="25"/>
        <v>0</v>
      </c>
      <c r="AY77" s="1123">
        <f>IFERROR(IF(AR77+AS77=0,0,ROUND(IF(데이터입력!$AF$14=100%,ROUND(AR77*$AR$1,-3),ROUND(AR77*$AR$1,-3)-ROUND(((AR77*$AR$1)*$AT$4)*(데이터입력!$AF$14-100%)+((AR77*$AR$1)*$AU$4)*(데이터입력!$AF$14-100%)+((AR77*$AR$1)*$AU$4*$AV$4)*(데이터입력!$AF$14-100%)+((AR77*$AR$1)*$AW$4)*(데이터입력!$AF$14-100%),-1)),0)),0)</f>
        <v>0</v>
      </c>
      <c r="AZ77" s="1124">
        <f>IFERROR(IF(AR77+AS77=0,0,IF(데이터입력!$AF$12=100%,(AT77),(AT77)+ROUND(AT77*(데이터입력!$AF$12-100%),-1))),0)</f>
        <v>0</v>
      </c>
      <c r="BA77" s="1265" t="str">
        <f t="shared" si="22"/>
        <v/>
      </c>
      <c r="BB77" s="1264" t="str">
        <f>IF(BA77="","",IF(데이터입력!$O$68="",ROUND(AZ77/12,0),ROUND(데이터입력!$O$68/데이터입력!$Y$8/$BC$63,0)))</f>
        <v/>
      </c>
    </row>
    <row r="78" spans="1:58" ht="17.25" thickBot="1">
      <c r="A78" s="1046" t="str">
        <f>IF($AM$1=TRUE,IF(K78="","",SUBTOTAL(2,$K$3:K78)),IF(AND(M78="",N78=""),"",IF(N78="",COUNT($M$3:M78),COUNT($N$3:N78)+200)))</f>
        <v/>
      </c>
      <c r="B78" s="365" t="s">
        <v>73</v>
      </c>
      <c r="C78" s="365" t="s">
        <v>587</v>
      </c>
      <c r="D78" s="364">
        <v>508010201</v>
      </c>
      <c r="E78" s="364" t="s">
        <v>83</v>
      </c>
      <c r="F78" s="364" t="s">
        <v>80</v>
      </c>
      <c r="G78" s="366">
        <f>IFERROR(IF($E78="06",VLOOKUP($B78,예산실적비교표!$O$7:$R$200,2,FALSE),0),0)</f>
        <v>0</v>
      </c>
      <c r="H78" s="366">
        <f>IFERROR(IF($E78="06",VLOOKUP($C78,세출예산서!$K$3:$X$304,12,FALSE),0),0)</f>
        <v>0</v>
      </c>
      <c r="I78" s="366">
        <f>IFERROR(IF($E78="07",VLOOKUP($C78,세출예산서!$K$3:$X$304,13,FALSE),0),0)</f>
        <v>0</v>
      </c>
      <c r="J78" s="366">
        <f>IFERROR(IF($E78="05",VLOOKUP($C78,세출예산서!$K$3:$X$304,14,FALSE),0),0)</f>
        <v>0</v>
      </c>
      <c r="K78" s="366" t="str">
        <f t="shared" si="15"/>
        <v/>
      </c>
      <c r="L78" s="367">
        <f>IFERROR(IF($AB$2="",0,ROUNDUP(VLOOKUP($B78,예산실적비교표!$O$7:$R$200,3,FALSE)/$Y$9,-3)*$Y$8),0)</f>
        <v>0</v>
      </c>
      <c r="M78" s="708" t="str">
        <f>IF($AM$1=TRUE,IF(K78="","",IF(IF($AE$2="",IF(K78="","",SUBTOTAL(2,$K$3:K78)),IF(AND(G78&gt;=0,K78=""),"",IF(AND(G78&gt;0,OR(K78&gt;0,K78&lt;0)),SUBTOTAL(2,$K$3:K78),IF(AND(G78=0,OR(K78&gt;0,K78&lt;0)),SUBTOTAL(2,$K$3:K78)+200,""))))&gt;200,"",1)),IF(K78="","",IF(IF($AE$2="",IF(K78="","",SUBTOTAL(2,$K$3:K78)),IF(AND(G78&gt;=0,K78=""),"",IF(AND(G78&gt;0,OR(K78&gt;0,K78&lt;0)),SUBTOTAL(2,$K$3:K78),IF(AND(G78=0,OR(K78&gt;0,K78&lt;0)),SUBTOTAL(2,$K$3:K78)+200,""))))&gt;200,"",1)))</f>
        <v/>
      </c>
      <c r="N78" s="214" t="str">
        <f>IF($AM$1=TRUE,IF(K78="","",IF(IF($AE$2="",IF(K78="","",SUBTOTAL(2,$K$3:K78)),IF(AND(G78&gt;=0,K78=""),"",IF(AND(G78&gt;0,OR(K78&gt;0,K78&lt;0)),SUBTOTAL(2,$K$3:K78),IF(AND(G78=0,OR(K78&gt;0,K78&lt;0)),SUBTOTAL(2,$K$3:K78)+200,""))))&lt;=200,"",2)),IF(K78="","",IF(IF($AE$2="",IF(K78="","",SUBTOTAL(2,$K$3:K78)),IF(AND(G78&gt;=0,K78=""),"",IF(AND(G78&gt;0,OR(K78&gt;0,K78&lt;0)),SUBTOTAL(2,$K$3:K78),IF(AND(G78=0,OR(K78&gt;0,K78&lt;0)),SUBTOTAL(2,$K$3:K78)+200,""))))&lt;=200,"",2)))</f>
        <v/>
      </c>
      <c r="O78" s="561">
        <v>26400000</v>
      </c>
      <c r="P78" s="435">
        <f>IFERROR(IF($AE$2="추경",IF(VLOOKUP(R78,$B$42:$L$80,6,FALSE)&gt;=VLOOKUP(R78,$B$42:$L$80,11,FALSE),VLOOKUP(R78,$B$42:$L$80,6,FALSE),VLOOKUP(R78,예산평균!$B:$D,3,FALSE)),IF(VLOOKUP(R78,$B$42:$L$80,11,FALSE)&gt;0,IF(VLOOKUP(R78,$B$42:$L$80,6,FALSE)&gt;=VLOOKUP(R78,$B$42:$L$80,11,FALSE),VLOOKUP(R78,$B$42:$L$80,6,FALSE),ROUNDUP(VLOOKUP(R78,$B$42:$L$80,11,FALSE)/U78,-4)*U78),VLOOKUP(R78,예산평균!$B:$D,3,FALSE))),0)</f>
        <v>15300000</v>
      </c>
      <c r="Q78" s="566">
        <v>0</v>
      </c>
      <c r="R78" s="493" t="s">
        <v>56</v>
      </c>
      <c r="S78" s="494" t="s">
        <v>80</v>
      </c>
      <c r="T78" s="429">
        <f t="shared" si="27"/>
        <v>26400000</v>
      </c>
      <c r="U78" s="569">
        <f t="shared" si="28"/>
        <v>12</v>
      </c>
      <c r="V78" s="431" t="s">
        <v>127</v>
      </c>
      <c r="X78" s="1323"/>
      <c r="Y78" s="1324"/>
      <c r="Z78" s="1323"/>
      <c r="AA78" s="1324"/>
      <c r="AB78" s="1323"/>
      <c r="AC78" s="1324"/>
      <c r="AD78" s="657" t="str">
        <f>IF(예산실적비교표!G68="X","",예산실적비교표!G68)</f>
        <v/>
      </c>
      <c r="AE78" s="889">
        <f>IF($AB$2="",0,예산실적비교표!H68)</f>
        <v>0</v>
      </c>
      <c r="AF78" s="1308">
        <v>1</v>
      </c>
      <c r="AH78" s="356" t="str">
        <f>세입예산서!L65</f>
        <v xml:space="preserve">    - 시군구보조금</v>
      </c>
      <c r="AI78" s="1388">
        <f>세입예산서!W65</f>
        <v>0</v>
      </c>
      <c r="AJ78" s="1389"/>
      <c r="AP78" s="1182" t="str">
        <f>IF(예산실적비교표!AL78&lt;&gt;"",예산실적비교표!AL78,"")</f>
        <v/>
      </c>
      <c r="AQ78" s="1183" t="str">
        <f>IF(예산실적비교표!AM78&lt;&gt;"",예산실적비교표!AM78,"")</f>
        <v/>
      </c>
      <c r="AR78" s="1184">
        <f>IF(예산실적비교표!AN78&lt;&gt;"",예산실적비교표!AN78,0)</f>
        <v>0</v>
      </c>
      <c r="AS78" s="1185">
        <f>IF(예산실적비교표!AO78&lt;&gt;"",예산실적비교표!AO78,0)</f>
        <v>0</v>
      </c>
      <c r="AT78" s="1118">
        <f t="shared" si="23"/>
        <v>0</v>
      </c>
      <c r="AU78" s="1186">
        <f>IF(예산실적비교표!AQ78&lt;&gt;"",예산실적비교표!AQ78,0)</f>
        <v>0</v>
      </c>
      <c r="AV78" s="1120">
        <f t="shared" si="24"/>
        <v>0</v>
      </c>
      <c r="AW78" s="1121">
        <f>IF(AR78="",0,ROUND((AT78*$AT$7)*데이터입력!$AF$14+(AT78*$AU$7)*데이터입력!$AF$14+(AT78*$AU$7*$AV$7)*데이터입력!$AF$14+(AT78*$AW$7)*데이터입력!$AF$14+(AT78*$AX$7)*데이터입력!$AF$14,-1))</f>
        <v>0</v>
      </c>
      <c r="AX78" s="1122">
        <f t="shared" si="25"/>
        <v>0</v>
      </c>
      <c r="AY78" s="1123">
        <f>IFERROR(IF(AR78+AS78=0,0,ROUND(IF(데이터입력!$AF$14=100%,ROUND(AR78*$AR$1,-3),ROUND(AR78*$AR$1,-3)-ROUND(((AR78*$AR$1)*$AT$4)*(데이터입력!$AF$14-100%)+((AR78*$AR$1)*$AU$4)*(데이터입력!$AF$14-100%)+((AR78*$AR$1)*$AU$4*$AV$4)*(데이터입력!$AF$14-100%)+((AR78*$AR$1)*$AW$4)*(데이터입력!$AF$14-100%),-1)),0)),0)</f>
        <v>0</v>
      </c>
      <c r="AZ78" s="1124">
        <f>IFERROR(IF(AR78+AS78=0,0,IF(데이터입력!$AF$12=100%,(AT78),(AT78)+ROUND(AT78*(데이터입력!$AF$12-100%),-1))),0)</f>
        <v>0</v>
      </c>
      <c r="BA78" s="1265" t="str">
        <f t="shared" si="22"/>
        <v/>
      </c>
      <c r="BB78" s="1264" t="str">
        <f>IF(BA78="","",IF(데이터입력!$O$68="",ROUND(AZ78/12,0),ROUND(데이터입력!$O$68/데이터입력!$Y$8/$BC$63,0)))</f>
        <v/>
      </c>
    </row>
    <row r="79" spans="1:58" ht="17.25" thickBot="1">
      <c r="A79" s="1046" t="str">
        <f>IF($AM$1=TRUE,IF(K79="","",SUBTOTAL(2,$K$3:K79)),IF(AND(M79="",N79=""),"",IF(N79="",COUNT($M$3:M79),COUNT($N$3:N79)+200)))</f>
        <v/>
      </c>
      <c r="B79" s="365" t="s">
        <v>3</v>
      </c>
      <c r="C79" s="365" t="s">
        <v>588</v>
      </c>
      <c r="D79" s="364">
        <v>509010101</v>
      </c>
      <c r="E79" s="364" t="s">
        <v>83</v>
      </c>
      <c r="F79" s="364" t="s">
        <v>80</v>
      </c>
      <c r="G79" s="366">
        <f>IFERROR(IF($E79="06",VLOOKUP($B79,예산실적비교표!$O$7:$R$200,2,FALSE),0),0)</f>
        <v>0</v>
      </c>
      <c r="H79" s="366">
        <f>IFERROR(IF($E79="06",VLOOKUP($C79,세출예산서!$K$3:$X$304,12,FALSE),0),0)</f>
        <v>0</v>
      </c>
      <c r="I79" s="366">
        <f>IFERROR(IF($E79="07",VLOOKUP($C79,세출예산서!$K$3:$X$304,13,FALSE),0),0)</f>
        <v>0</v>
      </c>
      <c r="J79" s="366">
        <f>IFERROR(IF($E79="05",VLOOKUP($C79,세출예산서!$K$3:$X$304,14,FALSE),0),0)</f>
        <v>0</v>
      </c>
      <c r="K79" s="366" t="str">
        <f t="shared" si="15"/>
        <v/>
      </c>
      <c r="L79" s="367">
        <f>IFERROR(IF($AB$2="",0,ROUNDUP(VLOOKUP($B79,예산실적비교표!$O$7:$R$200,3,FALSE)/$Y$9,-3)*$Y$8),0)</f>
        <v>0</v>
      </c>
      <c r="M79" s="708" t="str">
        <f>IF($AM$1=TRUE,IF(K79="","",IF(IF($AE$2="",IF(K79="","",SUBTOTAL(2,$K$3:K79)),IF(AND(G79&gt;=0,K79=""),"",IF(AND(G79&gt;0,OR(K79&gt;0,K79&lt;0)),SUBTOTAL(2,$K$3:K79),IF(AND(G79=0,OR(K79&gt;0,K79&lt;0)),SUBTOTAL(2,$K$3:K79)+200,""))))&gt;200,"",1)),IF(K79="","",IF(IF($AE$2="",IF(K79="","",SUBTOTAL(2,$K$3:K79)),IF(AND(G79&gt;=0,K79=""),"",IF(AND(G79&gt;0,OR(K79&gt;0,K79&lt;0)),SUBTOTAL(2,$K$3:K79),IF(AND(G79=0,OR(K79&gt;0,K79&lt;0)),SUBTOTAL(2,$K$3:K79)+200,""))))&gt;200,"",1)))</f>
        <v/>
      </c>
      <c r="N79" s="214" t="str">
        <f>IF($AM$1=TRUE,IF(K79="","",IF(IF($AE$2="",IF(K79="","",SUBTOTAL(2,$K$3:K79)),IF(AND(G79&gt;=0,K79=""),"",IF(AND(G79&gt;0,OR(K79&gt;0,K79&lt;0)),SUBTOTAL(2,$K$3:K79),IF(AND(G79=0,OR(K79&gt;0,K79&lt;0)),SUBTOTAL(2,$K$3:K79)+200,""))))&lt;=200,"",2)),IF(K79="","",IF(IF($AE$2="",IF(K79="","",SUBTOTAL(2,$K$3:K79)),IF(AND(G79&gt;=0,K79=""),"",IF(AND(G79&gt;0,OR(K79&gt;0,K79&lt;0)),SUBTOTAL(2,$K$3:K79),IF(AND(G79=0,OR(K79&gt;0,K79&lt;0)),SUBTOTAL(2,$K$3:K79)+200,""))))&lt;=200,"",2)))</f>
        <v/>
      </c>
      <c r="O79" s="561"/>
      <c r="P79" s="435">
        <f>IFERROR(IF($AE$2="추경",IF(VLOOKUP(R79,$B$42:$L$80,6,FALSE)&gt;=VLOOKUP(R79,$B$42:$L$80,11,FALSE),VLOOKUP(R79,$B$42:$L$80,6,FALSE),VLOOKUP(R79,예산평균!$B:$D,3,FALSE)),IF(VLOOKUP(R79,$B$42:$L$80,11,FALSE)&gt;0,IF(VLOOKUP(R79,$B$42:$L$80,6,FALSE)&gt;=VLOOKUP(R79,$B$42:$L$80,11,FALSE),VLOOKUP(R79,$B$42:$L$80,6,FALSE),ROUNDUP(VLOOKUP(R79,$B$42:$L$80,11,FALSE)/U79,-4)*U79),VLOOKUP(R79,예산평균!$B:$D,3,FALSE))),0)</f>
        <v>5096000</v>
      </c>
      <c r="Q79" s="566">
        <v>0</v>
      </c>
      <c r="R79" s="493" t="s">
        <v>57</v>
      </c>
      <c r="S79" s="494" t="s">
        <v>80</v>
      </c>
      <c r="T79" s="429">
        <f t="shared" si="27"/>
        <v>5096000</v>
      </c>
      <c r="U79" s="569">
        <f t="shared" si="28"/>
        <v>12</v>
      </c>
      <c r="V79" s="495" t="s">
        <v>142</v>
      </c>
      <c r="X79" s="1400" t="s">
        <v>123</v>
      </c>
      <c r="Y79" s="1401"/>
      <c r="Z79" s="1401"/>
      <c r="AA79" s="1319"/>
      <c r="AB79" s="1320"/>
      <c r="AC79" s="1321"/>
      <c r="AD79" s="1392" t="s">
        <v>374</v>
      </c>
      <c r="AE79" s="1393"/>
      <c r="AF79" s="1394"/>
      <c r="AH79" s="334" t="str">
        <f>세입예산서!L66</f>
        <v xml:space="preserve">    - 월동대책비</v>
      </c>
      <c r="AI79" s="1390">
        <f>세입예산서!W66</f>
        <v>0</v>
      </c>
      <c r="AJ79" s="1391"/>
      <c r="AP79" s="1182" t="str">
        <f>IF(예산실적비교표!AL79&lt;&gt;"",예산실적비교표!AL79,"")</f>
        <v/>
      </c>
      <c r="AQ79" s="1183" t="str">
        <f>IF(예산실적비교표!AM79&lt;&gt;"",예산실적비교표!AM79,"")</f>
        <v/>
      </c>
      <c r="AR79" s="1184">
        <f>IF(예산실적비교표!AN79&lt;&gt;"",예산실적비교표!AN79,0)</f>
        <v>0</v>
      </c>
      <c r="AS79" s="1185">
        <f>IF(예산실적비교표!AO79&lt;&gt;"",예산실적비교표!AO79,0)</f>
        <v>0</v>
      </c>
      <c r="AT79" s="1118">
        <f t="shared" si="23"/>
        <v>0</v>
      </c>
      <c r="AU79" s="1186">
        <f>IF(예산실적비교표!AQ79&lt;&gt;"",예산실적비교표!AQ79,0)</f>
        <v>0</v>
      </c>
      <c r="AV79" s="1120">
        <f t="shared" si="24"/>
        <v>0</v>
      </c>
      <c r="AW79" s="1121">
        <f>IF(AR79="",0,ROUND((AT79*$AT$7)*데이터입력!$AF$14+(AT79*$AU$7)*데이터입력!$AF$14+(AT79*$AU$7*$AV$7)*데이터입력!$AF$14+(AT79*$AW$7)*데이터입력!$AF$14+(AT79*$AX$7)*데이터입력!$AF$14,-1))</f>
        <v>0</v>
      </c>
      <c r="AX79" s="1122">
        <f t="shared" si="25"/>
        <v>0</v>
      </c>
      <c r="AY79" s="1123">
        <f>IFERROR(IF(AR79+AS79=0,0,ROUND(IF(데이터입력!$AF$14=100%,ROUND(AR79*$AR$1,-3),ROUND(AR79*$AR$1,-3)-ROUND(((AR79*$AR$1)*$AT$4)*(데이터입력!$AF$14-100%)+((AR79*$AR$1)*$AU$4)*(데이터입력!$AF$14-100%)+((AR79*$AR$1)*$AU$4*$AV$4)*(데이터입력!$AF$14-100%)+((AR79*$AR$1)*$AW$4)*(데이터입력!$AF$14-100%),-1)),0)),0)</f>
        <v>0</v>
      </c>
      <c r="AZ79" s="1124">
        <f>IFERROR(IF(AR79+AS79=0,0,IF(데이터입력!$AF$12=100%,(AT79),(AT79)+ROUND(AT79*(데이터입력!$AF$12-100%),-1))),0)</f>
        <v>0</v>
      </c>
      <c r="BA79" s="1265" t="str">
        <f t="shared" si="22"/>
        <v/>
      </c>
      <c r="BB79" s="1264" t="str">
        <f>IF(BA79="","",IF(데이터입력!$O$68="",ROUND(AZ79/12,0),ROUND(데이터입력!$O$68/데이터입력!$Y$8/$BC$63,0)))</f>
        <v/>
      </c>
    </row>
    <row r="80" spans="1:58" ht="17.25" thickBot="1">
      <c r="A80" s="1046" t="str">
        <f>IF($AM$1=TRUE,IF(K80="","",SUBTOTAL(2,$K$3:K80)),IF(AND(M80="",N80=""),"",IF(N80="",COUNT($M$3:M80),COUNT($N$3:N80)+200)))</f>
        <v/>
      </c>
      <c r="B80" s="365" t="s">
        <v>74</v>
      </c>
      <c r="C80" s="365" t="s">
        <v>589</v>
      </c>
      <c r="D80" s="364">
        <v>509010201</v>
      </c>
      <c r="E80" s="364" t="s">
        <v>83</v>
      </c>
      <c r="F80" s="364" t="s">
        <v>80</v>
      </c>
      <c r="G80" s="366">
        <f>IFERROR(IF($E80="06",VLOOKUP($B80,예산실적비교표!$O$7:$R$200,2,FALSE),0),0)</f>
        <v>0</v>
      </c>
      <c r="H80" s="366">
        <f>IFERROR(IF($E80="06",VLOOKUP($C80,세출예산서!$K$3:$X$304,12,FALSE),0),0)</f>
        <v>0</v>
      </c>
      <c r="I80" s="366">
        <f>IFERROR(IF($E80="07",VLOOKUP($C80,세출예산서!$K$3:$X$304,13,FALSE),0),0)</f>
        <v>0</v>
      </c>
      <c r="J80" s="366">
        <f>IFERROR(IF($E80="05",VLOOKUP($C80,세출예산서!$K$3:$X$304,14,FALSE),0),0)</f>
        <v>0</v>
      </c>
      <c r="K80" s="366" t="str">
        <f t="shared" si="15"/>
        <v/>
      </c>
      <c r="L80" s="367">
        <f>IFERROR(IF($AB$2="",0,ROUNDUP(VLOOKUP($B80,예산실적비교표!$O$7:$R$200,3,FALSE)/$Y$9,-3)*$Y$8),0)</f>
        <v>0</v>
      </c>
      <c r="M80" s="708" t="str">
        <f>IF($AM$1=TRUE,IF(K80="","",IF(IF($AE$2="",IF(K80="","",SUBTOTAL(2,$K$3:K80)),IF(AND(G80&gt;=0,K80=""),"",IF(AND(G80&gt;0,OR(K80&gt;0,K80&lt;0)),SUBTOTAL(2,$K$3:K80),IF(AND(G80=0,OR(K80&gt;0,K80&lt;0)),SUBTOTAL(2,$K$3:K80)+200,""))))&gt;200,"",1)),IF(K80="","",IF(IF($AE$2="",IF(K80="","",SUBTOTAL(2,$K$3:K80)),IF(AND(G80&gt;=0,K80=""),"",IF(AND(G80&gt;0,OR(K80&gt;0,K80&lt;0)),SUBTOTAL(2,$K$3:K80),IF(AND(G80=0,OR(K80&gt;0,K80&lt;0)),SUBTOTAL(2,$K$3:K80)+200,""))))&gt;200,"",1)))</f>
        <v/>
      </c>
      <c r="N80" s="214" t="str">
        <f>IF($AM$1=TRUE,IF(K80="","",IF(IF($AE$2="",IF(K80="","",SUBTOTAL(2,$K$3:K80)),IF(AND(G80&gt;=0,K80=""),"",IF(AND(G80&gt;0,OR(K80&gt;0,K80&lt;0)),SUBTOTAL(2,$K$3:K80),IF(AND(G80=0,OR(K80&gt;0,K80&lt;0)),SUBTOTAL(2,$K$3:K80)+200,""))))&lt;=200,"",2)),IF(K80="","",IF(IF($AE$2="",IF(K80="","",SUBTOTAL(2,$K$3:K80)),IF(AND(G80&gt;=0,K80=""),"",IF(AND(G80&gt;0,OR(K80&gt;0,K80&lt;0)),SUBTOTAL(2,$K$3:K80),IF(AND(G80=0,OR(K80&gt;0,K80&lt;0)),SUBTOTAL(2,$K$3:K80)+200,""))))&lt;=200,"",2)))</f>
        <v/>
      </c>
      <c r="O80" s="561"/>
      <c r="P80" s="435">
        <f>IFERROR(IF($AE$2="추경",IF(VLOOKUP(R80,$B$42:$L$80,6,FALSE)&gt;=VLOOKUP(R80,$B$42:$L$80,11,FALSE),VLOOKUP(R80,$B$42:$L$80,6,FALSE),VLOOKUP(R80,예산평균!$B:$D,3,FALSE)),IF(VLOOKUP(R80,$B$42:$L$80,11,FALSE)&gt;0,IF(VLOOKUP(R80,$B$42:$L$80,6,FALSE)&gt;=VLOOKUP(R80,$B$42:$L$80,11,FALSE),VLOOKUP(R80,$B$42:$L$80,6,FALSE),ROUNDUP(VLOOKUP(R80,$B$42:$L$80,11,FALSE)/U80,-4)*U80),VLOOKUP(R80,예산평균!$B:$D,3,FALSE))),0)</f>
        <v>0</v>
      </c>
      <c r="Q80" s="566">
        <v>0</v>
      </c>
      <c r="R80" s="493" t="s">
        <v>58</v>
      </c>
      <c r="S80" s="494" t="s">
        <v>80</v>
      </c>
      <c r="T80" s="429">
        <f t="shared" si="27"/>
        <v>0</v>
      </c>
      <c r="U80" s="569">
        <f t="shared" si="28"/>
        <v>12</v>
      </c>
      <c r="V80" s="431" t="s">
        <v>127</v>
      </c>
      <c r="X80" s="448" t="str">
        <f>R88</f>
        <v>대여용구취득비</v>
      </c>
      <c r="Y80" s="632">
        <f>IF(예산실적비교표!B70="",30%,예산실적비교표!B70)</f>
        <v>0.3</v>
      </c>
      <c r="Z80" s="1318">
        <f>IF(AB2=AH14,IF(O88="",ROUND(($H$14+$H$3+$H$16)*Y80/$Y$8,-4),ROUND(O88/$Y$8,0)),0)</f>
        <v>0</v>
      </c>
      <c r="AA80" s="1319"/>
      <c r="AB80" s="1320"/>
      <c r="AC80" s="1321"/>
      <c r="AD80" s="407" t="s">
        <v>375</v>
      </c>
      <c r="AE80" s="878">
        <f>AE81+AE82</f>
        <v>0</v>
      </c>
      <c r="AF80" s="489" t="s">
        <v>215</v>
      </c>
      <c r="AH80" s="334" t="str">
        <f>세입예산서!L67</f>
        <v xml:space="preserve">    - 특별위로금</v>
      </c>
      <c r="AI80" s="1390">
        <f>세입예산서!W67</f>
        <v>0</v>
      </c>
      <c r="AJ80" s="1391"/>
      <c r="AP80" s="1182" t="str">
        <f>IF(예산실적비교표!AL80&lt;&gt;"",예산실적비교표!AL80,"")</f>
        <v/>
      </c>
      <c r="AQ80" s="1183" t="str">
        <f>IF(예산실적비교표!AM80&lt;&gt;"",예산실적비교표!AM80,"")</f>
        <v/>
      </c>
      <c r="AR80" s="1184">
        <f>IF(예산실적비교표!AN80&lt;&gt;"",예산실적비교표!AN80,0)</f>
        <v>0</v>
      </c>
      <c r="AS80" s="1185">
        <f>IF(예산실적비교표!AO80&lt;&gt;"",예산실적비교표!AO80,0)</f>
        <v>0</v>
      </c>
      <c r="AT80" s="1118">
        <f t="shared" si="23"/>
        <v>0</v>
      </c>
      <c r="AU80" s="1186">
        <f>IF(예산실적비교표!AQ80&lt;&gt;"",예산실적비교표!AQ80,0)</f>
        <v>0</v>
      </c>
      <c r="AV80" s="1120">
        <f t="shared" si="24"/>
        <v>0</v>
      </c>
      <c r="AW80" s="1121">
        <f>IF(AR80="",0,ROUND((AT80*$AT$7)*데이터입력!$AF$14+(AT80*$AU$7)*데이터입력!$AF$14+(AT80*$AU$7*$AV$7)*데이터입력!$AF$14+(AT80*$AW$7)*데이터입력!$AF$14+(AT80*$AX$7)*데이터입력!$AF$14,-1))</f>
        <v>0</v>
      </c>
      <c r="AX80" s="1122">
        <f t="shared" si="25"/>
        <v>0</v>
      </c>
      <c r="AY80" s="1123">
        <f>IFERROR(IF(AR80+AS80=0,0,ROUND(IF(데이터입력!$AF$14=100%,ROUND(AR80*$AR$1,-3),ROUND(AR80*$AR$1,-3)-ROUND(((AR80*$AR$1)*$AT$4)*(데이터입력!$AF$14-100%)+((AR80*$AR$1)*$AU$4)*(데이터입력!$AF$14-100%)+((AR80*$AR$1)*$AU$4*$AV$4)*(데이터입력!$AF$14-100%)+((AR80*$AR$1)*$AW$4)*(데이터입력!$AF$14-100%),-1)),0)),0)</f>
        <v>0</v>
      </c>
      <c r="AZ80" s="1124">
        <f>IFERROR(IF(AR80+AS80=0,0,IF(데이터입력!$AF$12=100%,(AT80),(AT80)+ROUND(AT80*(데이터입력!$AF$12-100%),-1))),0)</f>
        <v>0</v>
      </c>
      <c r="BA80" s="1265" t="str">
        <f t="shared" si="22"/>
        <v/>
      </c>
      <c r="BB80" s="1264" t="str">
        <f>IF(BA80="","",IF(데이터입력!$O$68="",ROUND(AZ80/12,0),ROUND(데이터입력!$O$68/데이터입력!$Y$8/$BC$63,0)))</f>
        <v/>
      </c>
    </row>
    <row r="81" spans="1:54">
      <c r="A81" s="1047" t="str">
        <f>IF($AM$1=TRUE,IF(K81="","",SUBTOTAL(2,$K$3:K81)),IF(AND(M81="",N81=""),"",IF(N81="",COUNT($M$3:M81),COUNT($N$3:N81)+200)))</f>
        <v/>
      </c>
      <c r="B81" s="411" t="s">
        <v>40</v>
      </c>
      <c r="C81" s="411" t="s">
        <v>590</v>
      </c>
      <c r="D81" s="410">
        <v>501010101</v>
      </c>
      <c r="E81" s="410" t="s">
        <v>84</v>
      </c>
      <c r="F81" s="410" t="s">
        <v>81</v>
      </c>
      <c r="G81" s="412">
        <f>IFERROR(IF($E81="07",VLOOKUP($B81,예산실적비교표!$X$7:$Z$200,2,FALSE),0),0)</f>
        <v>0</v>
      </c>
      <c r="H81" s="412">
        <f>IFERROR(IF($E81="06",VLOOKUP($C81,세출예산서!$K$3:$X$304,12,FALSE),0),0)</f>
        <v>0</v>
      </c>
      <c r="I81" s="412">
        <f>IFERROR(IF($E81="07",VLOOKUP($C81,세출예산서!$K$3:$X$304,13,FALSE),0),0)</f>
        <v>0</v>
      </c>
      <c r="J81" s="412">
        <f>IFERROR(IF($E81="05",VLOOKUP($C81,세출예산서!$K$3:$X$304,14,FALSE),0),0)</f>
        <v>0</v>
      </c>
      <c r="K81" s="412" t="str">
        <f t="shared" si="15"/>
        <v/>
      </c>
      <c r="L81" s="413">
        <f>IFERROR(IF($AB$2="",0,ROUNDUP(VLOOKUP($B81,예산실적비교표!$X$7:$Z$200,3,FALSE)*$Y$7/$Y$10,-3)*$Y$8),0)</f>
        <v>0</v>
      </c>
      <c r="M81" s="708" t="str">
        <f>IF($AM$1=TRUE,IF(K81="","",IF(IF($AE$2="",IF(K81="","",SUBTOTAL(2,$K$3:K81)),IF(AND(G81&gt;=0,K81=""),"",IF(AND(G81&gt;0,OR(K81&gt;0,K81&lt;0)),SUBTOTAL(2,$K$3:K81),IF(AND(G81=0,OR(K81&gt;0,K81&lt;0)),SUBTOTAL(2,$K$3:K81)+200,""))))&gt;200,"",1)),IF(K81="","",IF(IF($AE$2="",IF(K81="","",SUBTOTAL(2,$K$3:K81)),IF(AND(G81&gt;=0,K81=""),"",IF(AND(G81&gt;0,OR(K81&gt;0,K81&lt;0)),SUBTOTAL(2,$K$3:K81),IF(AND(G81=0,OR(K81&gt;0,K81&lt;0)),SUBTOTAL(2,$K$3:K81)+200,""))))&gt;200,"",1)))</f>
        <v/>
      </c>
      <c r="N81" s="214" t="str">
        <f>IF($AM$1=TRUE,IF(K81="","",IF(IF($AE$2="",IF(K81="","",SUBTOTAL(2,$K$3:K81)),IF(AND(G81&gt;=0,K81=""),"",IF(AND(G81&gt;0,OR(K81&gt;0,K81&lt;0)),SUBTOTAL(2,$K$3:K81),IF(AND(G81=0,OR(K81&gt;0,K81&lt;0)),SUBTOTAL(2,$K$3:K81)+200,""))))&lt;=200,"",2)),IF(K81="","",IF(IF($AE$2="",IF(K81="","",SUBTOTAL(2,$K$3:K81)),IF(AND(G81&gt;=0,K81=""),"",IF(AND(G81&gt;0,OR(K81&gt;0,K81&lt;0)),SUBTOTAL(2,$K$3:K81),IF(AND(G81=0,OR(K81&gt;0,K81&lt;0)),SUBTOTAL(2,$K$3:K81)+200,""))))&lt;=200,"",2)))</f>
        <v/>
      </c>
      <c r="O81" s="561">
        <v>1200000</v>
      </c>
      <c r="P81" s="435">
        <f>IFERROR(IF($AE$2="추경",IF(VLOOKUP(R81,$B$42:$L$80,6,FALSE)&gt;=VLOOKUP(R81,$B$42:$L$80,11,FALSE),VLOOKUP(R81,$B$42:$L$80,6,FALSE),VLOOKUP(R81,예산평균!$B:$D,3,FALSE)),IF(VLOOKUP(R81,$B$42:$L$80,11,FALSE)&gt;0,IF(VLOOKUP(R81,$B$42:$L$80,6,FALSE)&gt;=VLOOKUP(R81,$B$42:$L$80,11,FALSE),VLOOKUP(R81,$B$42:$L$80,6,FALSE),ROUNDUP(VLOOKUP(R81,$B$42:$L$80,11,FALSE)/U81,-4)*U81),VLOOKUP(R81,예산평균!$B:$D,3,FALSE))),0)</f>
        <v>3600000</v>
      </c>
      <c r="Q81" s="566">
        <v>0</v>
      </c>
      <c r="R81" s="493" t="s">
        <v>59</v>
      </c>
      <c r="S81" s="494" t="s">
        <v>80</v>
      </c>
      <c r="T81" s="429">
        <f t="shared" si="27"/>
        <v>1200000</v>
      </c>
      <c r="U81" s="569">
        <f t="shared" si="28"/>
        <v>12</v>
      </c>
      <c r="V81" s="495" t="s">
        <v>142</v>
      </c>
      <c r="X81" s="658" t="str">
        <f>IF(예산실적비교표!A71="X","",예산실적비교표!A71)</f>
        <v>대여용구취득비</v>
      </c>
      <c r="Y81" s="1402">
        <f>Z80-Y82</f>
        <v>0</v>
      </c>
      <c r="Z81" s="1403"/>
      <c r="AA81" s="1319"/>
      <c r="AB81" s="1320"/>
      <c r="AC81" s="1321"/>
      <c r="AD81" s="1058" t="str">
        <f>IF(예산실적비교표!D71="X","",예산실적비교표!D71)</f>
        <v>지정후원금</v>
      </c>
      <c r="AE81" s="888">
        <f>ROUNDUP((AI85-AI87)/AF81,-3)</f>
        <v>0</v>
      </c>
      <c r="AF81" s="580">
        <f>IF($Y$8&lt;&gt;예산실적비교표!$B$3,$Y$8,예산실적비교표!F71)</f>
        <v>12</v>
      </c>
      <c r="AH81" s="334" t="str">
        <f>세입예산서!L68</f>
        <v xml:space="preserve">    - </v>
      </c>
      <c r="AI81" s="1390">
        <f>세입예산서!W68</f>
        <v>0</v>
      </c>
      <c r="AJ81" s="1391"/>
      <c r="AP81" s="1182" t="str">
        <f>IF(예산실적비교표!AL81&lt;&gt;"",예산실적비교표!AL81,"")</f>
        <v/>
      </c>
      <c r="AQ81" s="1183" t="str">
        <f>IF(예산실적비교표!AM81&lt;&gt;"",예산실적비교표!AM81,"")</f>
        <v/>
      </c>
      <c r="AR81" s="1184">
        <f>IF(예산실적비교표!AN81&lt;&gt;"",예산실적비교표!AN81,0)</f>
        <v>0</v>
      </c>
      <c r="AS81" s="1185">
        <f>IF(예산실적비교표!AO81&lt;&gt;"",예산실적비교표!AO81,0)</f>
        <v>0</v>
      </c>
      <c r="AT81" s="1118">
        <f t="shared" si="23"/>
        <v>0</v>
      </c>
      <c r="AU81" s="1186">
        <f>IF(예산실적비교표!AQ81&lt;&gt;"",예산실적비교표!AQ81,0)</f>
        <v>0</v>
      </c>
      <c r="AV81" s="1120">
        <f t="shared" si="24"/>
        <v>0</v>
      </c>
      <c r="AW81" s="1121">
        <f>IF(AR81="",0,ROUND((AT81*$AT$7)*데이터입력!$AF$14+(AT81*$AU$7)*데이터입력!$AF$14+(AT81*$AU$7*$AV$7)*데이터입력!$AF$14+(AT81*$AW$7)*데이터입력!$AF$14+(AT81*$AX$7)*데이터입력!$AF$14,-1))</f>
        <v>0</v>
      </c>
      <c r="AX81" s="1122">
        <f t="shared" si="25"/>
        <v>0</v>
      </c>
      <c r="AY81" s="1123">
        <f>IFERROR(IF(AR81+AS81=0,0,ROUND(IF(데이터입력!$AF$14=100%,ROUND(AR81*$AR$1,-3),ROUND(AR81*$AR$1,-3)-ROUND(((AR81*$AR$1)*$AT$4)*(데이터입력!$AF$14-100%)+((AR81*$AR$1)*$AU$4)*(데이터입력!$AF$14-100%)+((AR81*$AR$1)*$AU$4*$AV$4)*(데이터입력!$AF$14-100%)+((AR81*$AR$1)*$AW$4)*(데이터입력!$AF$14-100%),-1)),0)),0)</f>
        <v>0</v>
      </c>
      <c r="AZ81" s="1124">
        <f>IFERROR(IF(AR81+AS81=0,0,IF(데이터입력!$AF$12=100%,(AT81),(AT81)+ROUND(AT81*(데이터입력!$AF$12-100%),-1))),0)</f>
        <v>0</v>
      </c>
      <c r="BA81" s="1265" t="str">
        <f t="shared" si="22"/>
        <v/>
      </c>
      <c r="BB81" s="1264" t="str">
        <f>IF(BA81="","",IF(데이터입력!$O$68="",ROUND(AZ81/12,0),ROUND(데이터입력!$O$68/데이터입력!$Y$8/$BC$63,0)))</f>
        <v/>
      </c>
    </row>
    <row r="82" spans="1:54" ht="17.25" thickBot="1">
      <c r="A82" s="1047" t="str">
        <f>IF($AM$1=TRUE,IF(K82="","",SUBTOTAL(2,$K$3:K82)),IF(AND(M82="",N82=""),"",IF(N82="",COUNT($M$3:M82),COUNT($N$3:N82)+200)))</f>
        <v/>
      </c>
      <c r="B82" s="411" t="s">
        <v>41</v>
      </c>
      <c r="C82" s="411" t="s">
        <v>591</v>
      </c>
      <c r="D82" s="410">
        <v>501010102</v>
      </c>
      <c r="E82" s="410" t="s">
        <v>84</v>
      </c>
      <c r="F82" s="410" t="s">
        <v>81</v>
      </c>
      <c r="G82" s="412">
        <f>IFERROR(IF($E82="07",VLOOKUP($B82,예산실적비교표!$X$7:$Z$200,2,FALSE),0),0)</f>
        <v>0</v>
      </c>
      <c r="H82" s="412">
        <f>IFERROR(IF($E82="06",VLOOKUP($C82,세출예산서!$K$3:$X$304,12,FALSE),0),0)</f>
        <v>0</v>
      </c>
      <c r="I82" s="412">
        <f>IFERROR(IF($E82="07",VLOOKUP($C82,세출예산서!$K$3:$X$304,13,FALSE),0),0)</f>
        <v>0</v>
      </c>
      <c r="J82" s="412">
        <f>IFERROR(IF($E82="05",VLOOKUP($C82,세출예산서!$K$3:$X$304,14,FALSE),0),0)</f>
        <v>0</v>
      </c>
      <c r="K82" s="412" t="str">
        <f t="shared" si="15"/>
        <v/>
      </c>
      <c r="L82" s="413">
        <f>IFERROR(IF($AB$2="",0,ROUNDUP(VLOOKUP($B82,예산실적비교표!$X$7:$Z$200,3,FALSE)*$Y$7/$Y$10,-3)*$Y$8),0)</f>
        <v>0</v>
      </c>
      <c r="M82" s="708" t="str">
        <f>IF($AM$1=TRUE,IF(K82="","",IF(IF($AE$2="",IF(K82="","",SUBTOTAL(2,$K$3:K82)),IF(AND(G82&gt;=0,K82=""),"",IF(AND(G82&gt;0,OR(K82&gt;0,K82&lt;0)),SUBTOTAL(2,$K$3:K82),IF(AND(G82=0,OR(K82&gt;0,K82&lt;0)),SUBTOTAL(2,$K$3:K82)+200,""))))&gt;200,"",1)),IF(K82="","",IF(IF($AE$2="",IF(K82="","",SUBTOTAL(2,$K$3:K82)),IF(AND(G82&gt;=0,K82=""),"",IF(AND(G82&gt;0,OR(K82&gt;0,K82&lt;0)),SUBTOTAL(2,$K$3:K82),IF(AND(G82=0,OR(K82&gt;0,K82&lt;0)),SUBTOTAL(2,$K$3:K82)+200,""))))&gt;200,"",1)))</f>
        <v/>
      </c>
      <c r="N82" s="214" t="str">
        <f>IF($AM$1=TRUE,IF(K82="","",IF(IF($AE$2="",IF(K82="","",SUBTOTAL(2,$K$3:K82)),IF(AND(G82&gt;=0,K82=""),"",IF(AND(G82&gt;0,OR(K82&gt;0,K82&lt;0)),SUBTOTAL(2,$K$3:K82),IF(AND(G82=0,OR(K82&gt;0,K82&lt;0)),SUBTOTAL(2,$K$3:K82)+200,""))))&lt;=200,"",2)),IF(K82="","",IF(IF($AE$2="",IF(K82="","",SUBTOTAL(2,$K$3:K82)),IF(AND(G82&gt;=0,K82=""),"",IF(AND(G82&gt;0,OR(K82&gt;0,K82&lt;0)),SUBTOTAL(2,$K$3:K82),IF(AND(G82=0,OR(K82&gt;0,K82&lt;0)),SUBTOTAL(2,$K$3:K82)+200,""))))&lt;=200,"",2)))</f>
        <v/>
      </c>
      <c r="O82" s="561"/>
      <c r="P82" s="435">
        <f>IFERROR(IF($AE$2="추경",IF(VLOOKUP(R82,$B$42:$L$80,6,FALSE)&gt;=VLOOKUP(R82,$B$42:$L$80,11,FALSE),VLOOKUP(R82,$B$42:$L$80,6,FALSE),VLOOKUP(R82,예산평균!$B:$D,3,FALSE)),IF(VLOOKUP(R82,$B$42:$L$80,11,FALSE)&gt;0,IF(VLOOKUP(R82,$B$42:$L$80,6,FALSE)&gt;=VLOOKUP(R82,$B$42:$L$80,11,FALSE),VLOOKUP(R82,$B$42:$L$80,6,FALSE),ROUNDUP(VLOOKUP(R82,$B$42:$L$80,11,FALSE)/U82,-4)*U82),VLOOKUP(R82,예산평균!$B:$D,3,FALSE))),0)</f>
        <v>2400000</v>
      </c>
      <c r="Q82" s="566">
        <v>0</v>
      </c>
      <c r="R82" s="493" t="s">
        <v>60</v>
      </c>
      <c r="S82" s="494" t="s">
        <v>80</v>
      </c>
      <c r="T82" s="429">
        <f t="shared" si="27"/>
        <v>2400000</v>
      </c>
      <c r="U82" s="569">
        <f t="shared" si="28"/>
        <v>12</v>
      </c>
      <c r="V82" s="431" t="s">
        <v>127</v>
      </c>
      <c r="X82" s="658" t="str">
        <f>IF(예산실적비교표!A72="X","",예산실적비교표!A72)</f>
        <v/>
      </c>
      <c r="Y82" s="1404">
        <f>IF($AB$2="",0,예산실적비교표!B72)</f>
        <v>0</v>
      </c>
      <c r="Z82" s="1405"/>
      <c r="AA82" s="1319"/>
      <c r="AB82" s="1320"/>
      <c r="AC82" s="1321"/>
      <c r="AD82" s="918" t="str">
        <f>IF(예산실적비교표!D72="X","",예산실적비교표!D72)</f>
        <v/>
      </c>
      <c r="AE82" s="890">
        <f>IF($AB$2="",0,예산실적비교표!E72)</f>
        <v>0</v>
      </c>
      <c r="AF82" s="580">
        <f>IF($Y$8&lt;&gt;예산실적비교표!$B$3,$Y$8,예산실적비교표!F72)</f>
        <v>12</v>
      </c>
      <c r="AH82" s="334" t="str">
        <f>세입예산서!L69</f>
        <v xml:space="preserve">    - </v>
      </c>
      <c r="AI82" s="1390">
        <f>세입예산서!W69</f>
        <v>0</v>
      </c>
      <c r="AJ82" s="1391"/>
      <c r="AP82" s="1182" t="str">
        <f>IF(예산실적비교표!AL82&lt;&gt;"",예산실적비교표!AL82,"")</f>
        <v/>
      </c>
      <c r="AQ82" s="1183" t="str">
        <f>IF(예산실적비교표!AM82&lt;&gt;"",예산실적비교표!AM82,"")</f>
        <v/>
      </c>
      <c r="AR82" s="1184">
        <f>IF(예산실적비교표!AN82&lt;&gt;"",예산실적비교표!AN82,0)</f>
        <v>0</v>
      </c>
      <c r="AS82" s="1185">
        <f>IF(예산실적비교표!AO82&lt;&gt;"",예산실적비교표!AO82,0)</f>
        <v>0</v>
      </c>
      <c r="AT82" s="1118">
        <f t="shared" si="23"/>
        <v>0</v>
      </c>
      <c r="AU82" s="1186">
        <f>IF(예산실적비교표!AQ82&lt;&gt;"",예산실적비교표!AQ82,0)</f>
        <v>0</v>
      </c>
      <c r="AV82" s="1120">
        <f t="shared" si="24"/>
        <v>0</v>
      </c>
      <c r="AW82" s="1121">
        <f>IF(AR82="",0,ROUND((AT82*$AT$7)*데이터입력!$AF$14+(AT82*$AU$7)*데이터입력!$AF$14+(AT82*$AU$7*$AV$7)*데이터입력!$AF$14+(AT82*$AW$7)*데이터입력!$AF$14+(AT82*$AX$7)*데이터입력!$AF$14,-1))</f>
        <v>0</v>
      </c>
      <c r="AX82" s="1122">
        <f t="shared" si="25"/>
        <v>0</v>
      </c>
      <c r="AY82" s="1123">
        <f>IFERROR(IF(AR82+AS82=0,0,ROUND(IF(데이터입력!$AF$14=100%,ROUND(AR82*$AR$1,-3),ROUND(AR82*$AR$1,-3)-ROUND(((AR82*$AR$1)*$AT$4)*(데이터입력!$AF$14-100%)+((AR82*$AR$1)*$AU$4)*(데이터입력!$AF$14-100%)+((AR82*$AR$1)*$AU$4*$AV$4)*(데이터입력!$AF$14-100%)+((AR82*$AR$1)*$AW$4)*(데이터입력!$AF$14-100%),-1)),0)),0)</f>
        <v>0</v>
      </c>
      <c r="AZ82" s="1124">
        <f>IFERROR(IF(AR82+AS82=0,0,IF(데이터입력!$AF$12=100%,(AT82),(AT82)+ROUND(AT82*(데이터입력!$AF$12-100%),-1))),0)</f>
        <v>0</v>
      </c>
      <c r="BA82" s="1265" t="str">
        <f t="shared" si="22"/>
        <v/>
      </c>
      <c r="BB82" s="1264" t="str">
        <f>IF(BA82="","",IF(데이터입력!$O$68="",ROUND(AZ82/12,0),ROUND(데이터입력!$O$68/데이터입력!$Y$8/$BC$63,0)))</f>
        <v/>
      </c>
    </row>
    <row r="83" spans="1:54" ht="17.25" thickBot="1">
      <c r="A83" s="1047" t="str">
        <f>IF($AM$1=TRUE,IF(K83="","",SUBTOTAL(2,$K$3:K83)),IF(AND(M83="",N83=""),"",IF(N83="",COUNT($M$3:M83),COUNT($N$3:N83)+200)))</f>
        <v/>
      </c>
      <c r="B83" s="411" t="s">
        <v>42</v>
      </c>
      <c r="C83" s="411" t="s">
        <v>592</v>
      </c>
      <c r="D83" s="410">
        <v>501010201</v>
      </c>
      <c r="E83" s="410" t="s">
        <v>84</v>
      </c>
      <c r="F83" s="410" t="s">
        <v>81</v>
      </c>
      <c r="G83" s="412">
        <f>IFERROR(IF($E83="07",VLOOKUP($B83,예산실적비교표!$X$7:$Z$200,2,FALSE),0),0)</f>
        <v>0</v>
      </c>
      <c r="H83" s="412">
        <f>IFERROR(IF($E83="06",VLOOKUP($C83,세출예산서!$K$3:$X$304,12,FALSE),0),0)</f>
        <v>0</v>
      </c>
      <c r="I83" s="412">
        <f>IFERROR(IF($E83="07",VLOOKUP($C83,세출예산서!$K$3:$X$304,13,FALSE),0),0)</f>
        <v>0</v>
      </c>
      <c r="J83" s="412">
        <f>IFERROR(IF($E83="05",VLOOKUP($C83,세출예산서!$K$3:$X$304,14,FALSE),0),0)</f>
        <v>0</v>
      </c>
      <c r="K83" s="412" t="str">
        <f t="shared" si="15"/>
        <v/>
      </c>
      <c r="L83" s="413">
        <f>IFERROR(IF($AB$2="",0,ROUNDUP(VLOOKUP($B83,예산실적비교표!$X$7:$Z$200,3,FALSE)*$Y$7/$Y$10,-3)*$Y$8),0)</f>
        <v>0</v>
      </c>
      <c r="M83" s="708" t="str">
        <f>IF($AM$1=TRUE,IF(K83="","",IF(IF($AE$2="",IF(K83="","",SUBTOTAL(2,$K$3:K83)),IF(AND(G83&gt;=0,K83=""),"",IF(AND(G83&gt;0,OR(K83&gt;0,K83&lt;0)),SUBTOTAL(2,$K$3:K83),IF(AND(G83=0,OR(K83&gt;0,K83&lt;0)),SUBTOTAL(2,$K$3:K83)+200,""))))&gt;200,"",1)),IF(K83="","",IF(IF($AE$2="",IF(K83="","",SUBTOTAL(2,$K$3:K83)),IF(AND(G83&gt;=0,K83=""),"",IF(AND(G83&gt;0,OR(K83&gt;0,K83&lt;0)),SUBTOTAL(2,$K$3:K83),IF(AND(G83=0,OR(K83&gt;0,K83&lt;0)),SUBTOTAL(2,$K$3:K83)+200,""))))&gt;200,"",1)))</f>
        <v/>
      </c>
      <c r="N83" s="214" t="str">
        <f>IF($AM$1=TRUE,IF(K83="","",IF(IF($AE$2="",IF(K83="","",SUBTOTAL(2,$K$3:K83)),IF(AND(G83&gt;=0,K83=""),"",IF(AND(G83&gt;0,OR(K83&gt;0,K83&lt;0)),SUBTOTAL(2,$K$3:K83),IF(AND(G83=0,OR(K83&gt;0,K83&lt;0)),SUBTOTAL(2,$K$3:K83)+200,""))))&lt;=200,"",2)),IF(K83="","",IF(IF($AE$2="",IF(K83="","",SUBTOTAL(2,$K$3:K83)),IF(AND(G83&gt;=0,K83=""),"",IF(AND(G83&gt;0,OR(K83&gt;0,K83&lt;0)),SUBTOTAL(2,$K$3:K83),IF(AND(G83=0,OR(K83&gt;0,K83&lt;0)),SUBTOTAL(2,$K$3:K83)+200,""))))&lt;=200,"",2)))</f>
        <v/>
      </c>
      <c r="O83" s="561"/>
      <c r="P83" s="435">
        <f>IF(AND(AE2="추경",VLOOKUP(R83,$B$42:$L$80,11,FALSE)&gt;H4+H27+H23),ROUNDUP(VLOOKUP(R83,$B$42:$L$80,11,FALSE),0),H4+H27+H23)</f>
        <v>36414000</v>
      </c>
      <c r="Q83" s="566">
        <v>0</v>
      </c>
      <c r="R83" s="493" t="s">
        <v>61</v>
      </c>
      <c r="S83" s="494" t="s">
        <v>80</v>
      </c>
      <c r="T83" s="429">
        <f t="shared" si="27"/>
        <v>36414000</v>
      </c>
      <c r="U83" s="569">
        <f t="shared" si="28"/>
        <v>12</v>
      </c>
      <c r="V83" s="495" t="s">
        <v>142</v>
      </c>
      <c r="X83" s="448" t="str">
        <f>R89</f>
        <v>판매용구취득비</v>
      </c>
      <c r="Y83" s="632">
        <f>IF(예산실적비교표!B73="",40%,예산실적비교표!B73)</f>
        <v>0.4</v>
      </c>
      <c r="Z83" s="1318">
        <f>IF(AB2=AH14,IF(O89="",ROUND(($H$14+$H$3+$H$16)*Y83/$Y$8,-4),ROUND(O89/$Y$8,0)),0)</f>
        <v>0</v>
      </c>
      <c r="AA83" s="1319"/>
      <c r="AB83" s="1320"/>
      <c r="AC83" s="1321"/>
      <c r="AD83" s="407" t="s">
        <v>376</v>
      </c>
      <c r="AE83" s="878">
        <f>AE84+AE85</f>
        <v>0</v>
      </c>
      <c r="AF83" s="489" t="s">
        <v>215</v>
      </c>
      <c r="AH83" s="357" t="str">
        <f>세입예산서!L70</f>
        <v xml:space="preserve">    - </v>
      </c>
      <c r="AI83" s="1398">
        <f>세입예산서!W70</f>
        <v>0</v>
      </c>
      <c r="AJ83" s="1399"/>
      <c r="AP83" s="1182" t="str">
        <f>IF(예산실적비교표!AL83&lt;&gt;"",예산실적비교표!AL83,"")</f>
        <v/>
      </c>
      <c r="AQ83" s="1183" t="str">
        <f>IF(예산실적비교표!AM83&lt;&gt;"",예산실적비교표!AM83,"")</f>
        <v/>
      </c>
      <c r="AR83" s="1184">
        <f>IF(예산실적비교표!AN83&lt;&gt;"",예산실적비교표!AN83,0)</f>
        <v>0</v>
      </c>
      <c r="AS83" s="1185">
        <f>IF(예산실적비교표!AO83&lt;&gt;"",예산실적비교표!AO83,0)</f>
        <v>0</v>
      </c>
      <c r="AT83" s="1118">
        <f t="shared" si="23"/>
        <v>0</v>
      </c>
      <c r="AU83" s="1186">
        <f>IF(예산실적비교표!AQ83&lt;&gt;"",예산실적비교표!AQ83,0)</f>
        <v>0</v>
      </c>
      <c r="AV83" s="1120">
        <f t="shared" si="24"/>
        <v>0</v>
      </c>
      <c r="AW83" s="1121">
        <f>IF(AR83="",0,ROUND((AT83*$AT$7)*데이터입력!$AF$14+(AT83*$AU$7)*데이터입력!$AF$14+(AT83*$AU$7*$AV$7)*데이터입력!$AF$14+(AT83*$AW$7)*데이터입력!$AF$14+(AT83*$AX$7)*데이터입력!$AF$14,-1))</f>
        <v>0</v>
      </c>
      <c r="AX83" s="1122">
        <f t="shared" si="25"/>
        <v>0</v>
      </c>
      <c r="AY83" s="1123">
        <f>IFERROR(IF(AR83+AS83=0,0,ROUND(IF(데이터입력!$AF$14=100%,ROUND(AR83*$AR$1,-3),ROUND(AR83*$AR$1,-3)-ROUND(((AR83*$AR$1)*$AT$4)*(데이터입력!$AF$14-100%)+((AR83*$AR$1)*$AU$4)*(데이터입력!$AF$14-100%)+((AR83*$AR$1)*$AU$4*$AV$4)*(데이터입력!$AF$14-100%)+((AR83*$AR$1)*$AW$4)*(데이터입력!$AF$14-100%),-1)),0)),0)</f>
        <v>0</v>
      </c>
      <c r="AZ83" s="1124">
        <f>IFERROR(IF(AR83+AS83=0,0,IF(데이터입력!$AF$12=100%,(AT83),(AT83)+ROUND(AT83*(데이터입력!$AF$12-100%),-1))),0)</f>
        <v>0</v>
      </c>
      <c r="BA83" s="1265" t="str">
        <f t="shared" si="22"/>
        <v/>
      </c>
      <c r="BB83" s="1264" t="str">
        <f>IF(BA83="","",IF(데이터입력!$O$68="",ROUND(AZ83/12,0),ROUND(데이터입력!$O$68/데이터입력!$Y$8/$BC$63,0)))</f>
        <v/>
      </c>
    </row>
    <row r="84" spans="1:54" ht="17.25" thickBot="1">
      <c r="A84" s="1047" t="str">
        <f>IF($AM$1=TRUE,IF(K84="","",SUBTOTAL(2,$K$3:K84)),IF(AND(M84="",N84=""),"",IF(N84="",COUNT($M$3:M84),COUNT($N$3:N84)+200)))</f>
        <v/>
      </c>
      <c r="B84" s="411" t="s">
        <v>43</v>
      </c>
      <c r="C84" s="411" t="s">
        <v>593</v>
      </c>
      <c r="D84" s="410">
        <v>501010202</v>
      </c>
      <c r="E84" s="410" t="s">
        <v>84</v>
      </c>
      <c r="F84" s="410" t="s">
        <v>81</v>
      </c>
      <c r="G84" s="412">
        <f>IFERROR(IF($E84="07",VLOOKUP($B84,예산실적비교표!$X$7:$Z$200,2,FALSE),0),0)</f>
        <v>0</v>
      </c>
      <c r="H84" s="412">
        <f>IFERROR(IF($E84="06",VLOOKUP($C84,세출예산서!$K$3:$X$304,12,FALSE),0),0)</f>
        <v>0</v>
      </c>
      <c r="I84" s="412">
        <f>IFERROR(IF($E84="07",VLOOKUP($C84,세출예산서!$K$3:$X$304,13,FALSE),0),0)</f>
        <v>0</v>
      </c>
      <c r="J84" s="412">
        <f>IFERROR(IF($E84="05",VLOOKUP($C84,세출예산서!$K$3:$X$304,14,FALSE),0),0)</f>
        <v>0</v>
      </c>
      <c r="K84" s="412" t="str">
        <f t="shared" si="15"/>
        <v/>
      </c>
      <c r="L84" s="413">
        <f>IFERROR(IF($AB$2="",0,ROUNDUP(VLOOKUP($B84,예산실적비교표!$X$7:$Z$200,3,FALSE)*$Y$7/$Y$10,-3)*$Y$8),0)</f>
        <v>0</v>
      </c>
      <c r="M84" s="708" t="str">
        <f>IF($AM$1=TRUE,IF(K84="","",IF(IF($AE$2="",IF(K84="","",SUBTOTAL(2,$K$3:K84)),IF(AND(G84&gt;=0,K84=""),"",IF(AND(G84&gt;0,OR(K84&gt;0,K84&lt;0)),SUBTOTAL(2,$K$3:K84),IF(AND(G84=0,OR(K84&gt;0,K84&lt;0)),SUBTOTAL(2,$K$3:K84)+200,""))))&gt;200,"",1)),IF(K84="","",IF(IF($AE$2="",IF(K84="","",SUBTOTAL(2,$K$3:K84)),IF(AND(G84&gt;=0,K84=""),"",IF(AND(G84&gt;0,OR(K84&gt;0,K84&lt;0)),SUBTOTAL(2,$K$3:K84),IF(AND(G84=0,OR(K84&gt;0,K84&lt;0)),SUBTOTAL(2,$K$3:K84)+200,""))))&gt;200,"",1)))</f>
        <v/>
      </c>
      <c r="N84" s="214" t="str">
        <f>IF($AM$1=TRUE,IF(K84="","",IF(IF($AE$2="",IF(K84="","",SUBTOTAL(2,$K$3:K84)),IF(AND(G84&gt;=0,K84=""),"",IF(AND(G84&gt;0,OR(K84&gt;0,K84&lt;0)),SUBTOTAL(2,$K$3:K84),IF(AND(G84=0,OR(K84&gt;0,K84&lt;0)),SUBTOTAL(2,$K$3:K84)+200,""))))&lt;=200,"",2)),IF(K84="","",IF(IF($AE$2="",IF(K84="","",SUBTOTAL(2,$K$3:K84)),IF(AND(G84&gt;=0,K84=""),"",IF(AND(G84&gt;0,OR(K84&gt;0,K84&lt;0)),SUBTOTAL(2,$K$3:K84),IF(AND(G84=0,OR(K84&gt;0,K84&lt;0)),SUBTOTAL(2,$K$3:K84)+200,""))))&lt;=200,"",2)))</f>
        <v/>
      </c>
      <c r="O84" s="561"/>
      <c r="P84" s="435">
        <f>IFERROR(IF($AE$2="추경",IF(VLOOKUP(R84,$B$42:$L$80,6,FALSE)&gt;=VLOOKUP(R84,$B$42:$L$80,11,FALSE),VLOOKUP(R84,$B$42:$L$80,6,FALSE),VLOOKUP(R84,예산평균!$B:$D,3,FALSE)),IF(VLOOKUP(R84,$B$42:$L$80,11,FALSE)&gt;0,IF(VLOOKUP(R84,$B$42:$L$80,6,FALSE)&gt;=VLOOKUP(R84,$B$42:$L$80,11,FALSE),VLOOKUP(R84,$B$42:$L$80,6,FALSE),ROUNDUP(VLOOKUP(R84,$B$42:$L$80,11,FALSE)/U84,-3)*U84),VLOOKUP(R84,예산평균!$B:$D,3,FALSE))),0)</f>
        <v>3000000</v>
      </c>
      <c r="Q84" s="566">
        <v>0</v>
      </c>
      <c r="R84" s="493" t="s">
        <v>62</v>
      </c>
      <c r="S84" s="494" t="s">
        <v>80</v>
      </c>
      <c r="T84" s="429">
        <f t="shared" si="27"/>
        <v>3000000</v>
      </c>
      <c r="U84" s="569">
        <f t="shared" si="28"/>
        <v>12</v>
      </c>
      <c r="V84" s="495" t="s">
        <v>142</v>
      </c>
      <c r="X84" s="1060" t="str">
        <f>IF(예산실적비교표!A74="X","",예산실적비교표!A74)</f>
        <v>판매용구취득비</v>
      </c>
      <c r="Y84" s="1402">
        <f>Z83-Y85</f>
        <v>0</v>
      </c>
      <c r="Z84" s="1403"/>
      <c r="AA84" s="1319"/>
      <c r="AB84" s="1320"/>
      <c r="AC84" s="1321"/>
      <c r="AD84" s="1058" t="str">
        <f>IF(예산실적비교표!D74="X","",예산실적비교표!D74)</f>
        <v>비지정후원금</v>
      </c>
      <c r="AE84" s="891">
        <f>ROUND((AI88-AI90)/AF84,-3)</f>
        <v>0</v>
      </c>
      <c r="AF84" s="580">
        <f>IF($Y$8&lt;&gt;예산실적비교표!$B$3,$Y$8,예산실적비교표!F74)</f>
        <v>12</v>
      </c>
      <c r="AH84" s="1392" t="s">
        <v>516</v>
      </c>
      <c r="AI84" s="1393"/>
      <c r="AJ84" s="1394"/>
      <c r="AP84" s="1182" t="str">
        <f>IF(예산실적비교표!AL84&lt;&gt;"",예산실적비교표!AL84,"")</f>
        <v/>
      </c>
      <c r="AQ84" s="1183" t="str">
        <f>IF(예산실적비교표!AM84&lt;&gt;"",예산실적비교표!AM84,"")</f>
        <v/>
      </c>
      <c r="AR84" s="1184">
        <f>IF(예산실적비교표!AN84&lt;&gt;"",예산실적비교표!AN84,0)</f>
        <v>0</v>
      </c>
      <c r="AS84" s="1185">
        <f>IF(예산실적비교표!AO84&lt;&gt;"",예산실적비교표!AO84,0)</f>
        <v>0</v>
      </c>
      <c r="AT84" s="1118">
        <f t="shared" si="23"/>
        <v>0</v>
      </c>
      <c r="AU84" s="1186">
        <f>IF(예산실적비교표!AQ84&lt;&gt;"",예산실적비교표!AQ84,0)</f>
        <v>0</v>
      </c>
      <c r="AV84" s="1120">
        <f t="shared" si="24"/>
        <v>0</v>
      </c>
      <c r="AW84" s="1121">
        <f>IF(AR84="",0,ROUND((AT84*$AT$7)*데이터입력!$AF$14+(AT84*$AU$7)*데이터입력!$AF$14+(AT84*$AU$7*$AV$7)*데이터입력!$AF$14+(AT84*$AW$7)*데이터입력!$AF$14+(AT84*$AX$7)*데이터입력!$AF$14,-1))</f>
        <v>0</v>
      </c>
      <c r="AX84" s="1122">
        <f t="shared" si="25"/>
        <v>0</v>
      </c>
      <c r="AY84" s="1123">
        <f>IFERROR(IF(AR84+AS84=0,0,ROUND(IF(데이터입력!$AF$14=100%,ROUND(AR84*$AR$1,-3),ROUND(AR84*$AR$1,-3)-ROUND(((AR84*$AR$1)*$AT$4)*(데이터입력!$AF$14-100%)+((AR84*$AR$1)*$AU$4)*(데이터입력!$AF$14-100%)+((AR84*$AR$1)*$AU$4*$AV$4)*(데이터입력!$AF$14-100%)+((AR84*$AR$1)*$AW$4)*(데이터입력!$AF$14-100%),-1)),0)),0)</f>
        <v>0</v>
      </c>
      <c r="AZ84" s="1124">
        <f>IFERROR(IF(AR84+AS84=0,0,IF(데이터입력!$AF$12=100%,(AT84),(AT84)+ROUND(AT84*(데이터입력!$AF$12-100%),-1))),0)</f>
        <v>0</v>
      </c>
      <c r="BA84" s="1265" t="str">
        <f t="shared" si="22"/>
        <v/>
      </c>
      <c r="BB84" s="1264" t="str">
        <f>IF(BA84="","",IF(데이터입력!$O$68="",ROUND(AZ84/12,0),ROUND(데이터입력!$O$68/데이터입력!$Y$8/$BC$63,0)))</f>
        <v/>
      </c>
    </row>
    <row r="85" spans="1:54" ht="17.25" thickBot="1">
      <c r="A85" s="1047" t="str">
        <f>IF($AM$1=TRUE,IF(K85="","",SUBTOTAL(2,$K$3:K85)),IF(AND(M85="",N85=""),"",IF(N85="",COUNT($M$3:M85),COUNT($N$3:N85)+200)))</f>
        <v/>
      </c>
      <c r="B85" s="411" t="s">
        <v>44</v>
      </c>
      <c r="C85" s="411" t="s">
        <v>594</v>
      </c>
      <c r="D85" s="410">
        <v>501010301</v>
      </c>
      <c r="E85" s="410" t="s">
        <v>84</v>
      </c>
      <c r="F85" s="410" t="s">
        <v>81</v>
      </c>
      <c r="G85" s="412">
        <f>IFERROR(IF($E85="07",VLOOKUP($B85,예산실적비교표!$X$7:$Z$200,2,FALSE),0),0)</f>
        <v>0</v>
      </c>
      <c r="H85" s="412">
        <f>IFERROR(IF($E85="06",VLOOKUP($C85,세출예산서!$K$3:$X$304,12,FALSE),0),0)</f>
        <v>0</v>
      </c>
      <c r="I85" s="412">
        <f>IFERROR(IF($E85="07",VLOOKUP($C85,세출예산서!$K$3:$X$304,13,FALSE),0),0)</f>
        <v>0</v>
      </c>
      <c r="J85" s="412">
        <f>IFERROR(IF($E85="05",VLOOKUP($C85,세출예산서!$K$3:$X$304,14,FALSE),0),0)</f>
        <v>0</v>
      </c>
      <c r="K85" s="412" t="str">
        <f t="shared" si="15"/>
        <v/>
      </c>
      <c r="L85" s="413">
        <f>IFERROR(IF($AB$2="",0,ROUNDUP(VLOOKUP($B85,예산실적비교표!$X$7:$Z$200,3,FALSE)*$Y$7/$Y$10,-3)*$Y$8),0)</f>
        <v>0</v>
      </c>
      <c r="M85" s="708" t="str">
        <f>IF($AM$1=TRUE,IF(K85="","",IF(IF($AE$2="",IF(K85="","",SUBTOTAL(2,$K$3:K85)),IF(AND(G85&gt;=0,K85=""),"",IF(AND(G85&gt;0,OR(K85&gt;0,K85&lt;0)),SUBTOTAL(2,$K$3:K85),IF(AND(G85=0,OR(K85&gt;0,K85&lt;0)),SUBTOTAL(2,$K$3:K85)+200,""))))&gt;200,"",1)),IF(K85="","",IF(IF($AE$2="",IF(K85="","",SUBTOTAL(2,$K$3:K85)),IF(AND(G85&gt;=0,K85=""),"",IF(AND(G85&gt;0,OR(K85&gt;0,K85&lt;0)),SUBTOTAL(2,$K$3:K85),IF(AND(G85=0,OR(K85&gt;0,K85&lt;0)),SUBTOTAL(2,$K$3:K85)+200,""))))&gt;200,"",1)))</f>
        <v/>
      </c>
      <c r="N85" s="214" t="str">
        <f>IF($AM$1=TRUE,IF(K85="","",IF(IF($AE$2="",IF(K85="","",SUBTOTAL(2,$K$3:K85)),IF(AND(G85&gt;=0,K85=""),"",IF(AND(G85&gt;0,OR(K85&gt;0,K85&lt;0)),SUBTOTAL(2,$K$3:K85),IF(AND(G85=0,OR(K85&gt;0,K85&lt;0)),SUBTOTAL(2,$K$3:K85)+200,""))))&lt;=200,"",2)),IF(K85="","",IF(IF($AE$2="",IF(K85="","",SUBTOTAL(2,$K$3:K85)),IF(AND(G85&gt;=0,K85=""),"",IF(AND(G85&gt;0,OR(K85&gt;0,K85&lt;0)),SUBTOTAL(2,$K$3:K85),IF(AND(G85=0,OR(K85&gt;0,K85&lt;0)),SUBTOTAL(2,$K$3:K85)+200,""))))&lt;=200,"",2)))</f>
        <v/>
      </c>
      <c r="O85" s="561"/>
      <c r="P85" s="435">
        <f>IFERROR(IF($AE$2="추경",IF(VLOOKUP(R85,$B$42:$L$80,6,FALSE)&gt;=VLOOKUP(R85,$B$42:$L$80,11,FALSE),VLOOKUP(R85,$B$42:$L$80,6,FALSE),VLOOKUP(R85,예산평균!$B:$D,3,FALSE)),IF(VLOOKUP(R85,$B$42:$L$80,11,FALSE)&gt;0,IF(VLOOKUP(R85,$B$42:$L$80,6,FALSE)&gt;=VLOOKUP(R85,$B$42:$L$80,11,FALSE),VLOOKUP(R85,$B$42:$L$80,6,FALSE),ROUNDUP(VLOOKUP(R85,$B$42:$L$80,11,FALSE)/U85,-3)*U85),VLOOKUP(R85,예산평균!$B:$D,3,FALSE))),0)</f>
        <v>1800000</v>
      </c>
      <c r="Q85" s="566">
        <v>0</v>
      </c>
      <c r="R85" s="493" t="s">
        <v>63</v>
      </c>
      <c r="S85" s="494" t="s">
        <v>80</v>
      </c>
      <c r="T85" s="429">
        <f t="shared" si="27"/>
        <v>1800000</v>
      </c>
      <c r="U85" s="569">
        <f t="shared" si="28"/>
        <v>12</v>
      </c>
      <c r="V85" s="495" t="s">
        <v>142</v>
      </c>
      <c r="X85" s="1061" t="str">
        <f>IF(예산실적비교표!A75="X","",예산실적비교표!A75)</f>
        <v/>
      </c>
      <c r="Y85" s="1404">
        <f>IF($AB$2="",0,예산실적비교표!B75)</f>
        <v>0</v>
      </c>
      <c r="Z85" s="1405"/>
      <c r="AA85" s="496"/>
      <c r="AB85" s="497"/>
      <c r="AC85" s="1322"/>
      <c r="AD85" s="1311" t="str">
        <f>IF(예산실적비교표!D75="X","",예산실적비교표!D75)</f>
        <v/>
      </c>
      <c r="AE85" s="890">
        <f>IF($AB$2="",0,예산실적비교표!E75)</f>
        <v>0</v>
      </c>
      <c r="AF85" s="1312">
        <f>IF($Y$8&lt;&gt;예산실적비교표!$B$3,$Y$8,예산실적비교표!F75)</f>
        <v>12</v>
      </c>
      <c r="AH85" s="649" t="str">
        <f>AD80</f>
        <v>지정후원금</v>
      </c>
      <c r="AI85" s="1413">
        <f>세입예산서!Z85</f>
        <v>0</v>
      </c>
      <c r="AJ85" s="1414"/>
      <c r="AP85" s="1182" t="str">
        <f>IF(예산실적비교표!AL85&lt;&gt;"",예산실적비교표!AL85,"")</f>
        <v/>
      </c>
      <c r="AQ85" s="1183" t="str">
        <f>IF(예산실적비교표!AM85&lt;&gt;"",예산실적비교표!AM85,"")</f>
        <v/>
      </c>
      <c r="AR85" s="1184">
        <f>IF(예산실적비교표!AN85&lt;&gt;"",예산실적비교표!AN85,0)</f>
        <v>0</v>
      </c>
      <c r="AS85" s="1185">
        <f>IF(예산실적비교표!AO85&lt;&gt;"",예산실적비교표!AO85,0)</f>
        <v>0</v>
      </c>
      <c r="AT85" s="1118">
        <f t="shared" si="23"/>
        <v>0</v>
      </c>
      <c r="AU85" s="1186">
        <f>IF(예산실적비교표!AQ85&lt;&gt;"",예산실적비교표!AQ85,0)</f>
        <v>0</v>
      </c>
      <c r="AV85" s="1120">
        <f t="shared" si="24"/>
        <v>0</v>
      </c>
      <c r="AW85" s="1121">
        <f>IF(AR85="",0,ROUND((AT85*$AT$7)*데이터입력!$AF$14+(AT85*$AU$7)*데이터입력!$AF$14+(AT85*$AU$7*$AV$7)*데이터입력!$AF$14+(AT85*$AW$7)*데이터입력!$AF$14+(AT85*$AX$7)*데이터입력!$AF$14,-1))</f>
        <v>0</v>
      </c>
      <c r="AX85" s="1122">
        <f t="shared" si="25"/>
        <v>0</v>
      </c>
      <c r="AY85" s="1123">
        <f>IFERROR(IF(AR85+AS85=0,0,ROUND(IF(데이터입력!$AF$14=100%,ROUND(AR85*$AR$1,-3),ROUND(AR85*$AR$1,-3)-ROUND(((AR85*$AR$1)*$AT$4)*(데이터입력!$AF$14-100%)+((AR85*$AR$1)*$AU$4)*(데이터입력!$AF$14-100%)+((AR85*$AR$1)*$AU$4*$AV$4)*(데이터입력!$AF$14-100%)+((AR85*$AR$1)*$AW$4)*(데이터입력!$AF$14-100%),-1)),0)),0)</f>
        <v>0</v>
      </c>
      <c r="AZ85" s="1124">
        <f>IFERROR(IF(AR85+AS85=0,0,IF(데이터입력!$AF$12=100%,(AT85),(AT85)+ROUND(AT85*(데이터입력!$AF$12-100%),-1))),0)</f>
        <v>0</v>
      </c>
      <c r="BA85" s="1265" t="str">
        <f t="shared" si="22"/>
        <v/>
      </c>
      <c r="BB85" s="1264" t="str">
        <f>IF(BA85="","",IF(데이터입력!$O$68="",ROUND(AZ85/12,0),ROUND(데이터입력!$O$68/데이터입력!$Y$8/$BC$63,0)))</f>
        <v/>
      </c>
    </row>
    <row r="86" spans="1:54" ht="17.25" thickBot="1">
      <c r="A86" s="1047" t="str">
        <f>IF($AM$1=TRUE,IF(K86="","",SUBTOTAL(2,$K$3:K86)),IF(AND(M86="",N86=""),"",IF(N86="",COUNT($M$3:M86),COUNT($N$3:N86)+200)))</f>
        <v/>
      </c>
      <c r="B86" s="411" t="s">
        <v>45</v>
      </c>
      <c r="C86" s="411" t="s">
        <v>595</v>
      </c>
      <c r="D86" s="410">
        <v>501010302</v>
      </c>
      <c r="E86" s="410" t="s">
        <v>84</v>
      </c>
      <c r="F86" s="410" t="s">
        <v>81</v>
      </c>
      <c r="G86" s="412">
        <f>IFERROR(IF($E86="07",VLOOKUP($B86,예산실적비교표!$X$7:$Z$200,2,FALSE),0),0)</f>
        <v>0</v>
      </c>
      <c r="H86" s="412">
        <f>IFERROR(IF($E86="06",VLOOKUP($C86,세출예산서!$K$3:$X$304,12,FALSE),0),0)</f>
        <v>0</v>
      </c>
      <c r="I86" s="412">
        <f>IFERROR(IF($E86="07",VLOOKUP($C86,세출예산서!$K$3:$X$304,13,FALSE),0),0)</f>
        <v>0</v>
      </c>
      <c r="J86" s="412">
        <f>IFERROR(IF($E86="05",VLOOKUP($C86,세출예산서!$K$3:$X$304,14,FALSE),0),0)</f>
        <v>0</v>
      </c>
      <c r="K86" s="412" t="str">
        <f t="shared" si="15"/>
        <v/>
      </c>
      <c r="L86" s="413">
        <f>IFERROR(IF($AB$2="",0,ROUNDUP(VLOOKUP($B86,예산실적비교표!$X$7:$Z$200,3,FALSE)*$Y$7/$Y$10,-3)*$Y$8),0)</f>
        <v>0</v>
      </c>
      <c r="M86" s="708" t="str">
        <f>IF($AM$1=TRUE,IF(K86="","",IF(IF($AE$2="",IF(K86="","",SUBTOTAL(2,$K$3:K86)),IF(AND(G86&gt;=0,K86=""),"",IF(AND(G86&gt;0,OR(K86&gt;0,K86&lt;0)),SUBTOTAL(2,$K$3:K86),IF(AND(G86=0,OR(K86&gt;0,K86&lt;0)),SUBTOTAL(2,$K$3:K86)+200,""))))&gt;200,"",1)),IF(K86="","",IF(IF($AE$2="",IF(K86="","",SUBTOTAL(2,$K$3:K86)),IF(AND(G86&gt;=0,K86=""),"",IF(AND(G86&gt;0,OR(K86&gt;0,K86&lt;0)),SUBTOTAL(2,$K$3:K86),IF(AND(G86=0,OR(K86&gt;0,K86&lt;0)),SUBTOTAL(2,$K$3:K86)+200,""))))&gt;200,"",1)))</f>
        <v/>
      </c>
      <c r="N86" s="214" t="str">
        <f>IF($AM$1=TRUE,IF(K86="","",IF(IF($AE$2="",IF(K86="","",SUBTOTAL(2,$K$3:K86)),IF(AND(G86&gt;=0,K86=""),"",IF(AND(G86&gt;0,OR(K86&gt;0,K86&lt;0)),SUBTOTAL(2,$K$3:K86),IF(AND(G86=0,OR(K86&gt;0,K86&lt;0)),SUBTOTAL(2,$K$3:K86)+200,""))))&lt;=200,"",2)),IF(K86="","",IF(IF($AE$2="",IF(K86="","",SUBTOTAL(2,$K$3:K86)),IF(AND(G86&gt;=0,K86=""),"",IF(AND(G86&gt;0,OR(K86&gt;0,K86&lt;0)),SUBTOTAL(2,$K$3:K86),IF(AND(G86=0,OR(K86&gt;0,K86&lt;0)),SUBTOTAL(2,$K$3:K86)+200,""))))&lt;=200,"",2)))</f>
        <v/>
      </c>
      <c r="O86" s="561"/>
      <c r="P86" s="435">
        <f>IFERROR(IF($AE$2="추경",IF(VLOOKUP(R86,$B$42:$L$80,6,FALSE)&gt;=VLOOKUP(R86,$B$42:$L$80,11,FALSE),VLOOKUP(R86,$B$42:$L$80,6,FALSE),VLOOKUP(R86,예산평균!$B:$D,3,FALSE)),IF(VLOOKUP(R86,$B$42:$L$80,11,FALSE)&gt;0,IF(VLOOKUP(R86,$B$42:$L$80,6,FALSE)&gt;=VLOOKUP(R86,$B$42:$L$80,11,FALSE),VLOOKUP(R86,$B$42:$L$80,6,FALSE),ROUNDUP(VLOOKUP(R86,$B$42:$L$80,11,FALSE)/U86,-3)*U86),VLOOKUP(R86,예산평균!$B:$D,3,FALSE))),0)</f>
        <v>0</v>
      </c>
      <c r="Q86" s="566">
        <v>0</v>
      </c>
      <c r="R86" s="493" t="s">
        <v>64</v>
      </c>
      <c r="S86" s="494" t="s">
        <v>80</v>
      </c>
      <c r="T86" s="429">
        <f t="shared" si="27"/>
        <v>0</v>
      </c>
      <c r="U86" s="569">
        <f t="shared" si="28"/>
        <v>12</v>
      </c>
      <c r="V86" s="431" t="s">
        <v>127</v>
      </c>
      <c r="X86" s="501"/>
      <c r="Y86" s="502"/>
      <c r="Z86" s="502"/>
      <c r="AA86" s="502"/>
      <c r="AB86" s="502"/>
      <c r="AC86" s="502"/>
      <c r="AD86" s="502"/>
      <c r="AE86" s="502"/>
      <c r="AF86" s="503"/>
      <c r="AH86" s="333" t="str">
        <f>세입예산서!L86</f>
        <v xml:space="preserve">    - 지정후원금</v>
      </c>
      <c r="AI86" s="1388">
        <f>세입예산서!X86</f>
        <v>0</v>
      </c>
      <c r="AJ86" s="1389"/>
      <c r="AP86" s="1182" t="str">
        <f>IF(예산실적비교표!AL86&lt;&gt;"",예산실적비교표!AL86,"")</f>
        <v/>
      </c>
      <c r="AQ86" s="1183" t="str">
        <f>IF(예산실적비교표!AM86&lt;&gt;"",예산실적비교표!AM86,"")</f>
        <v/>
      </c>
      <c r="AR86" s="1184">
        <f>IF(예산실적비교표!AN86&lt;&gt;"",예산실적비교표!AN86,0)</f>
        <v>0</v>
      </c>
      <c r="AS86" s="1185">
        <f>IF(예산실적비교표!AO86&lt;&gt;"",예산실적비교표!AO86,0)</f>
        <v>0</v>
      </c>
      <c r="AT86" s="1118">
        <f t="shared" si="23"/>
        <v>0</v>
      </c>
      <c r="AU86" s="1186">
        <f>IF(예산실적비교표!AQ86&lt;&gt;"",예산실적비교표!AQ86,0)</f>
        <v>0</v>
      </c>
      <c r="AV86" s="1120">
        <f t="shared" si="24"/>
        <v>0</v>
      </c>
      <c r="AW86" s="1121">
        <f>IF(AR86="",0,ROUND((AT86*$AT$7)*데이터입력!$AF$14+(AT86*$AU$7)*데이터입력!$AF$14+(AT86*$AU$7*$AV$7)*데이터입력!$AF$14+(AT86*$AW$7)*데이터입력!$AF$14+(AT86*$AX$7)*데이터입력!$AF$14,-1))</f>
        <v>0</v>
      </c>
      <c r="AX86" s="1122">
        <f t="shared" si="25"/>
        <v>0</v>
      </c>
      <c r="AY86" s="1123">
        <f>IFERROR(IF(AR86+AS86=0,0,ROUND(IF(데이터입력!$AF$14=100%,ROUND(AR86*$AR$1,-3),ROUND(AR86*$AR$1,-3)-ROUND(((AR86*$AR$1)*$AT$4)*(데이터입력!$AF$14-100%)+((AR86*$AR$1)*$AU$4)*(데이터입력!$AF$14-100%)+((AR86*$AR$1)*$AU$4*$AV$4)*(데이터입력!$AF$14-100%)+((AR86*$AR$1)*$AW$4)*(데이터입력!$AF$14-100%),-1)),0)),0)</f>
        <v>0</v>
      </c>
      <c r="AZ86" s="1124">
        <f>IFERROR(IF(AR86+AS86=0,0,IF(데이터입력!$AF$12=100%,(AT86),(AT86)+ROUND(AT86*(데이터입력!$AF$12-100%),-1))),0)</f>
        <v>0</v>
      </c>
      <c r="BA86" s="1265" t="str">
        <f t="shared" si="22"/>
        <v/>
      </c>
      <c r="BB86" s="1264" t="str">
        <f>IF(BA86="","",IF(데이터입력!$O$68="",ROUND(AZ86/12,0),ROUND(데이터입력!$O$68/데이터입력!$Y$8/$BC$63,0)))</f>
        <v/>
      </c>
    </row>
    <row r="87" spans="1:54" ht="17.25" thickBot="1">
      <c r="A87" s="1047" t="str">
        <f>IF($AM$1=TRUE,IF(K87="","",SUBTOTAL(2,$K$3:K87)),IF(AND(M87="",N87=""),"",IF(N87="",COUNT($M$3:M87),COUNT($N$3:N87)+200)))</f>
        <v/>
      </c>
      <c r="B87" s="411" t="s">
        <v>46</v>
      </c>
      <c r="C87" s="411" t="s">
        <v>596</v>
      </c>
      <c r="D87" s="410">
        <v>501010501</v>
      </c>
      <c r="E87" s="410" t="s">
        <v>84</v>
      </c>
      <c r="F87" s="410" t="s">
        <v>81</v>
      </c>
      <c r="G87" s="412">
        <f>IFERROR(IF($E87="07",VLOOKUP($B87,예산실적비교표!$X$7:$Z$200,2,FALSE),0),0)</f>
        <v>0</v>
      </c>
      <c r="H87" s="412">
        <f>IFERROR(IF($E87="06",VLOOKUP($C87,세출예산서!$K$3:$X$304,12,FALSE),0),0)</f>
        <v>0</v>
      </c>
      <c r="I87" s="412">
        <f>IFERROR(IF($E87="07",VLOOKUP($C87,세출예산서!$K$3:$X$304,13,FALSE),0),0)</f>
        <v>0</v>
      </c>
      <c r="J87" s="412">
        <f>IFERROR(IF($E87="05",VLOOKUP($C87,세출예산서!$K$3:$X$304,14,FALSE),0),0)</f>
        <v>0</v>
      </c>
      <c r="K87" s="412" t="str">
        <f t="shared" si="15"/>
        <v/>
      </c>
      <c r="L87" s="413">
        <f>IFERROR(IF($AB$2="",0,ROUNDUP(VLOOKUP($B87,예산실적비교표!$X$7:$Z$200,3,FALSE)*$Y$7/$Y$10,-3)*$Y$8),0)</f>
        <v>0</v>
      </c>
      <c r="M87" s="708" t="str">
        <f>IF($AM$1=TRUE,IF(K87="","",IF(IF($AE$2="",IF(K87="","",SUBTOTAL(2,$K$3:K87)),IF(AND(G87&gt;=0,K87=""),"",IF(AND(G87&gt;0,OR(K87&gt;0,K87&lt;0)),SUBTOTAL(2,$K$3:K87),IF(AND(G87=0,OR(K87&gt;0,K87&lt;0)),SUBTOTAL(2,$K$3:K87)+200,""))))&gt;200,"",1)),IF(K87="","",IF(IF($AE$2="",IF(K87="","",SUBTOTAL(2,$K$3:K87)),IF(AND(G87&gt;=0,K87=""),"",IF(AND(G87&gt;0,OR(K87&gt;0,K87&lt;0)),SUBTOTAL(2,$K$3:K87),IF(AND(G87=0,OR(K87&gt;0,K87&lt;0)),SUBTOTAL(2,$K$3:K87)+200,""))))&gt;200,"",1)))</f>
        <v/>
      </c>
      <c r="N87" s="214" t="str">
        <f>IF($AM$1=TRUE,IF(K87="","",IF(IF($AE$2="",IF(K87="","",SUBTOTAL(2,$K$3:K87)),IF(AND(G87&gt;=0,K87=""),"",IF(AND(G87&gt;0,OR(K87&gt;0,K87&lt;0)),SUBTOTAL(2,$K$3:K87),IF(AND(G87=0,OR(K87&gt;0,K87&lt;0)),SUBTOTAL(2,$K$3:K87)+200,""))))&lt;=200,"",2)),IF(K87="","",IF(IF($AE$2="",IF(K87="","",SUBTOTAL(2,$K$3:K87)),IF(AND(G87&gt;=0,K87=""),"",IF(AND(G87&gt;0,OR(K87&gt;0,K87&lt;0)),SUBTOTAL(2,$K$3:K87),IF(AND(G87=0,OR(K87&gt;0,K87&lt;0)),SUBTOTAL(2,$K$3:K87)+200,""))))&lt;=200,"",2)))</f>
        <v/>
      </c>
      <c r="O87" s="561"/>
      <c r="P87" s="435">
        <f>IFERROR(IF($AE$2="추경",IF(VLOOKUP(R87,$B$42:$L$80,6,FALSE)&gt;=VLOOKUP(R87,$B$42:$L$80,11,FALSE),VLOOKUP(R87,$B$42:$L$80,6,FALSE),VLOOKUP(R87,예산평균!$B:$D,3,FALSE)),IF(VLOOKUP(R87,$B$42:$L$80,11,FALSE)&gt;0,IF(VLOOKUP(R87,$B$42:$L$80,6,FALSE)&gt;=VLOOKUP(R87,$B$42:$L$80,11,FALSE),VLOOKUP(R87,$B$42:$L$80,6,FALSE),ROUNDUP(VLOOKUP(R87,$B$42:$L$80,11,FALSE)/U87,-3)*U87),VLOOKUP(R87,예산평균!$B:$D,3,FALSE))),0)</f>
        <v>8396000</v>
      </c>
      <c r="Q87" s="566">
        <v>0</v>
      </c>
      <c r="R87" s="493" t="s">
        <v>65</v>
      </c>
      <c r="S87" s="494" t="s">
        <v>80</v>
      </c>
      <c r="T87" s="429">
        <f t="shared" si="27"/>
        <v>8396000</v>
      </c>
      <c r="U87" s="569">
        <f t="shared" si="28"/>
        <v>12</v>
      </c>
      <c r="V87" s="495" t="s">
        <v>142</v>
      </c>
      <c r="X87" s="498" t="s">
        <v>190</v>
      </c>
      <c r="Y87" s="1415" t="s">
        <v>191</v>
      </c>
      <c r="Z87" s="1416"/>
      <c r="AA87" s="1415" t="s">
        <v>129</v>
      </c>
      <c r="AB87" s="1564"/>
      <c r="AC87" s="1600" t="s">
        <v>192</v>
      </c>
      <c r="AD87" s="1564"/>
      <c r="AE87" s="1600" t="s">
        <v>193</v>
      </c>
      <c r="AF87" s="1564"/>
      <c r="AH87" s="333" t="str">
        <f>세입예산서!L87</f>
        <v xml:space="preserve">    - </v>
      </c>
      <c r="AI87" s="1398">
        <f>세입예산서!X87</f>
        <v>0</v>
      </c>
      <c r="AJ87" s="1399"/>
      <c r="AP87" s="1182" t="str">
        <f>IF(예산실적비교표!AL87&lt;&gt;"",예산실적비교표!AL87,"")</f>
        <v/>
      </c>
      <c r="AQ87" s="1183" t="str">
        <f>IF(예산실적비교표!AM87&lt;&gt;"",예산실적비교표!AM87,"")</f>
        <v/>
      </c>
      <c r="AR87" s="1184">
        <f>IF(예산실적비교표!AN87&lt;&gt;"",예산실적비교표!AN87,0)</f>
        <v>0</v>
      </c>
      <c r="AS87" s="1185">
        <f>IF(예산실적비교표!AO87&lt;&gt;"",예산실적비교표!AO87,0)</f>
        <v>0</v>
      </c>
      <c r="AT87" s="1118">
        <f t="shared" si="23"/>
        <v>0</v>
      </c>
      <c r="AU87" s="1186">
        <f>IF(예산실적비교표!AQ87&lt;&gt;"",예산실적비교표!AQ87,0)</f>
        <v>0</v>
      </c>
      <c r="AV87" s="1120">
        <f t="shared" si="24"/>
        <v>0</v>
      </c>
      <c r="AW87" s="1121">
        <f>IF(AR87="",0,ROUND((AT87*$AT$7)*데이터입력!$AF$14+(AT87*$AU$7)*데이터입력!$AF$14+(AT87*$AU$7*$AV$7)*데이터입력!$AF$14+(AT87*$AW$7)*데이터입력!$AF$14+(AT87*$AX$7)*데이터입력!$AF$14,-1))</f>
        <v>0</v>
      </c>
      <c r="AX87" s="1122">
        <f t="shared" si="25"/>
        <v>0</v>
      </c>
      <c r="AY87" s="1123">
        <f>IFERROR(IF(AR87+AS87=0,0,ROUND(IF(데이터입력!$AF$14=100%,ROUND(AR87*$AR$1,-3),ROUND(AR87*$AR$1,-3)-ROUND(((AR87*$AR$1)*$AT$4)*(데이터입력!$AF$14-100%)+((AR87*$AR$1)*$AU$4)*(데이터입력!$AF$14-100%)+((AR87*$AR$1)*$AU$4*$AV$4)*(데이터입력!$AF$14-100%)+((AR87*$AR$1)*$AW$4)*(데이터입력!$AF$14-100%),-1)),0)),0)</f>
        <v>0</v>
      </c>
      <c r="AZ87" s="1124">
        <f>IFERROR(IF(AR87+AS87=0,0,IF(데이터입력!$AF$12=100%,(AT87),(AT87)+ROUND(AT87*(데이터입력!$AF$12-100%),-1))),0)</f>
        <v>0</v>
      </c>
      <c r="BA87" s="1265" t="str">
        <f t="shared" si="22"/>
        <v/>
      </c>
      <c r="BB87" s="1264" t="str">
        <f>IF(BA87="","",IF(데이터입력!$O$68="",ROUND(AZ87/12,0),ROUND(데이터입력!$O$68/데이터입력!$Y$8/$BC$63,0)))</f>
        <v/>
      </c>
    </row>
    <row r="88" spans="1:54" ht="17.25" thickBot="1">
      <c r="A88" s="1047" t="str">
        <f>IF($AM$1=TRUE,IF(K88="","",SUBTOTAL(2,$K$3:K88)),IF(AND(M88="",N88=""),"",IF(N88="",COUNT($M$3:M88),COUNT($N$3:N88)+200)))</f>
        <v/>
      </c>
      <c r="B88" s="411" t="s">
        <v>47</v>
      </c>
      <c r="C88" s="411" t="s">
        <v>597</v>
      </c>
      <c r="D88" s="410">
        <v>501010502</v>
      </c>
      <c r="E88" s="410" t="s">
        <v>84</v>
      </c>
      <c r="F88" s="410" t="s">
        <v>81</v>
      </c>
      <c r="G88" s="412">
        <f>IFERROR(IF($E88="07",VLOOKUP($B88,예산실적비교표!$X$7:$Z$200,2,FALSE),0),0)</f>
        <v>0</v>
      </c>
      <c r="H88" s="412">
        <f>IFERROR(IF($E88="06",VLOOKUP($C88,세출예산서!$K$3:$X$304,12,FALSE),0),0)</f>
        <v>0</v>
      </c>
      <c r="I88" s="412">
        <f>IFERROR(IF($E88="07",VLOOKUP($C88,세출예산서!$K$3:$X$304,13,FALSE),0),0)</f>
        <v>0</v>
      </c>
      <c r="J88" s="412">
        <f>IFERROR(IF($E88="05",VLOOKUP($C88,세출예산서!$K$3:$X$304,14,FALSE),0),0)</f>
        <v>0</v>
      </c>
      <c r="K88" s="412" t="str">
        <f t="shared" si="15"/>
        <v/>
      </c>
      <c r="L88" s="413">
        <f>IFERROR(IF($AB$2="",0,ROUNDUP(VLOOKUP($B88,예산실적비교표!$X$7:$Z$200,3,FALSE)*$Y$7/$Y$10,-3)*$Y$8),0)</f>
        <v>0</v>
      </c>
      <c r="M88" s="708" t="str">
        <f>IF($AM$1=TRUE,IF(K88="","",IF(IF($AE$2="",IF(K88="","",SUBTOTAL(2,$K$3:K88)),IF(AND(G88&gt;=0,K88=""),"",IF(AND(G88&gt;0,OR(K88&gt;0,K88&lt;0)),SUBTOTAL(2,$K$3:K88),IF(AND(G88=0,OR(K88&gt;0,K88&lt;0)),SUBTOTAL(2,$K$3:K88)+200,""))))&gt;200,"",1)),IF(K88="","",IF(IF($AE$2="",IF(K88="","",SUBTOTAL(2,$K$3:K88)),IF(AND(G88&gt;=0,K88=""),"",IF(AND(G88&gt;0,OR(K88&gt;0,K88&lt;0)),SUBTOTAL(2,$K$3:K88),IF(AND(G88=0,OR(K88&gt;0,K88&lt;0)),SUBTOTAL(2,$K$3:K88)+200,""))))&gt;200,"",1)))</f>
        <v/>
      </c>
      <c r="N88" s="214" t="str">
        <f>IF($AM$1=TRUE,IF(K88="","",IF(IF($AE$2="",IF(K88="","",SUBTOTAL(2,$K$3:K88)),IF(AND(G88&gt;=0,K88=""),"",IF(AND(G88&gt;0,OR(K88&gt;0,K88&lt;0)),SUBTOTAL(2,$K$3:K88),IF(AND(G88=0,OR(K88&gt;0,K88&lt;0)),SUBTOTAL(2,$K$3:K88)+200,""))))&lt;=200,"",2)),IF(K88="","",IF(IF($AE$2="",IF(K88="","",SUBTOTAL(2,$K$3:K88)),IF(AND(G88&gt;=0,K88=""),"",IF(AND(G88&gt;0,OR(K88&gt;0,K88&lt;0)),SUBTOTAL(2,$K$3:K88),IF(AND(G88=0,OR(K88&gt;0,K88&lt;0)),SUBTOTAL(2,$K$3:K88)+200,""))))&lt;=200,"",2)))</f>
        <v/>
      </c>
      <c r="O88" s="561"/>
      <c r="P88" s="435">
        <f>IFERROR(IF($AE$2="추경",IF(VLOOKUP(R88,$B$42:$L$80,6,FALSE)&gt;=VLOOKUP(R88,$B$42:$L$80,11,FALSE),VLOOKUP(R88,$B$42:$L$80,6,FALSE),VLOOKUP(R88,예산평균!$B:$D,3,FALSE)),IF(VLOOKUP(R88,$B$42:$L$80,11,FALSE)&gt;0,IF(VLOOKUP(R88,$B$42:$L$80,6,FALSE)&gt;=VLOOKUP(R88,$B$42:$L$80,11,FALSE),VLOOKUP(R88,$B$42:$L$80,6,FALSE),ROUNDUP(VLOOKUP(R88,$B$42:$L$80,11,FALSE)/U88,-3)*U88),VLOOKUP(R88,예산평균!$B:$D,3,FALSE))),0)</f>
        <v>0</v>
      </c>
      <c r="Q88" s="566">
        <v>0</v>
      </c>
      <c r="R88" s="493" t="s">
        <v>132</v>
      </c>
      <c r="S88" s="494" t="s">
        <v>80</v>
      </c>
      <c r="T88" s="429">
        <f t="shared" si="27"/>
        <v>0</v>
      </c>
      <c r="U88" s="569">
        <f t="shared" si="28"/>
        <v>12</v>
      </c>
      <c r="V88" s="431" t="s">
        <v>127</v>
      </c>
      <c r="X88" s="499" t="s">
        <v>194</v>
      </c>
      <c r="Y88" s="1406">
        <f t="shared" ref="Y88:Y97" si="29">SUM(H42:J42,H81:J81,H111:J111)</f>
        <v>126936000</v>
      </c>
      <c r="Z88" s="1412"/>
      <c r="AA88" s="1406">
        <f>보수일람표!$I$262</f>
        <v>126936000</v>
      </c>
      <c r="AB88" s="1407"/>
      <c r="AC88" s="1408">
        <f>Y88-AA88</f>
        <v>0</v>
      </c>
      <c r="AD88" s="1409"/>
      <c r="AE88" s="1410"/>
      <c r="AF88" s="1411"/>
      <c r="AH88" s="649" t="str">
        <f>AD83</f>
        <v>비지정후원금</v>
      </c>
      <c r="AI88" s="1413">
        <f>세입예산서!Z88</f>
        <v>0</v>
      </c>
      <c r="AJ88" s="1414"/>
      <c r="AP88" s="1182" t="str">
        <f>IF(예산실적비교표!AL88&lt;&gt;"",예산실적비교표!AL88,"")</f>
        <v/>
      </c>
      <c r="AQ88" s="1183" t="str">
        <f>IF(예산실적비교표!AM88&lt;&gt;"",예산실적비교표!AM88,"")</f>
        <v/>
      </c>
      <c r="AR88" s="1184">
        <f>IF(예산실적비교표!AN88&lt;&gt;"",예산실적비교표!AN88,0)</f>
        <v>0</v>
      </c>
      <c r="AS88" s="1185">
        <f>IF(예산실적비교표!AO88&lt;&gt;"",예산실적비교표!AO88,0)</f>
        <v>0</v>
      </c>
      <c r="AT88" s="1118">
        <f t="shared" si="23"/>
        <v>0</v>
      </c>
      <c r="AU88" s="1186">
        <f>IF(예산실적비교표!AQ88&lt;&gt;"",예산실적비교표!AQ88,0)</f>
        <v>0</v>
      </c>
      <c r="AV88" s="1120">
        <f t="shared" si="24"/>
        <v>0</v>
      </c>
      <c r="AW88" s="1121">
        <f>IF(AR88="",0,ROUND((AT88*$AT$7)*데이터입력!$AF$14+(AT88*$AU$7)*데이터입력!$AF$14+(AT88*$AU$7*$AV$7)*데이터입력!$AF$14+(AT88*$AW$7)*데이터입력!$AF$14+(AT88*$AX$7)*데이터입력!$AF$14,-1))</f>
        <v>0</v>
      </c>
      <c r="AX88" s="1122">
        <f t="shared" si="25"/>
        <v>0</v>
      </c>
      <c r="AY88" s="1123">
        <f>IFERROR(IF(AR88+AS88=0,0,ROUND(IF(데이터입력!$AF$14=100%,ROUND(AR88*$AR$1,-3),ROUND(AR88*$AR$1,-3)-ROUND(((AR88*$AR$1)*$AT$4)*(데이터입력!$AF$14-100%)+((AR88*$AR$1)*$AU$4)*(데이터입력!$AF$14-100%)+((AR88*$AR$1)*$AU$4*$AV$4)*(데이터입력!$AF$14-100%)+((AR88*$AR$1)*$AW$4)*(데이터입력!$AF$14-100%),-1)),0)),0)</f>
        <v>0</v>
      </c>
      <c r="AZ88" s="1124">
        <f>IFERROR(IF(AR88+AS88=0,0,IF(데이터입력!$AF$12=100%,(AT88),(AT88)+ROUND(AT88*(데이터입력!$AF$12-100%),-1))),0)</f>
        <v>0</v>
      </c>
      <c r="BA88" s="1265" t="str">
        <f t="shared" si="22"/>
        <v/>
      </c>
      <c r="BB88" s="1264" t="str">
        <f>IF(BA88="","",IF(데이터입력!$O$68="",ROUND(AZ88/12,0),ROUND(데이터입력!$O$68/데이터입력!$Y$8/$BC$63,0)))</f>
        <v/>
      </c>
    </row>
    <row r="89" spans="1:54">
      <c r="A89" s="1047" t="str">
        <f>IF($AM$1=TRUE,IF(K89="","",SUBTOTAL(2,$K$3:K89)),IF(AND(M89="",N89=""),"",IF(N89="",COUNT($M$3:M89),COUNT($N$3:N89)+200)))</f>
        <v/>
      </c>
      <c r="B89" s="411" t="s">
        <v>48</v>
      </c>
      <c r="C89" s="411" t="s">
        <v>598</v>
      </c>
      <c r="D89" s="410">
        <v>501010601</v>
      </c>
      <c r="E89" s="410" t="s">
        <v>84</v>
      </c>
      <c r="F89" s="410" t="s">
        <v>81</v>
      </c>
      <c r="G89" s="412">
        <f>IFERROR(IF($E89="07",VLOOKUP($B89,예산실적비교표!$X$7:$Z$200,2,FALSE),0),0)</f>
        <v>0</v>
      </c>
      <c r="H89" s="412">
        <f>IFERROR(IF($E89="06",VLOOKUP($C89,세출예산서!$K$3:$X$304,12,FALSE),0),0)</f>
        <v>0</v>
      </c>
      <c r="I89" s="412">
        <f>IFERROR(IF($E89="07",VLOOKUP($C89,세출예산서!$K$3:$X$304,13,FALSE),0),0)</f>
        <v>0</v>
      </c>
      <c r="J89" s="412">
        <f>IFERROR(IF($E89="05",VLOOKUP($C89,세출예산서!$K$3:$X$304,14,FALSE),0),0)</f>
        <v>0</v>
      </c>
      <c r="K89" s="412" t="str">
        <f t="shared" si="15"/>
        <v/>
      </c>
      <c r="L89" s="413">
        <f>IFERROR(IF($AB$2="",0,ROUNDUP(VLOOKUP($B89,예산실적비교표!$X$7:$Z$200,3,FALSE)*$Y$7/$Y$10,-3)*$Y$8),0)</f>
        <v>0</v>
      </c>
      <c r="M89" s="708" t="str">
        <f>IF($AM$1=TRUE,IF(K89="","",IF(IF($AE$2="",IF(K89="","",SUBTOTAL(2,$K$3:K89)),IF(AND(G89&gt;=0,K89=""),"",IF(AND(G89&gt;0,OR(K89&gt;0,K89&lt;0)),SUBTOTAL(2,$K$3:K89),IF(AND(G89=0,OR(K89&gt;0,K89&lt;0)),SUBTOTAL(2,$K$3:K89)+200,""))))&gt;200,"",1)),IF(K89="","",IF(IF($AE$2="",IF(K89="","",SUBTOTAL(2,$K$3:K89)),IF(AND(G89&gt;=0,K89=""),"",IF(AND(G89&gt;0,OR(K89&gt;0,K89&lt;0)),SUBTOTAL(2,$K$3:K89),IF(AND(G89=0,OR(K89&gt;0,K89&lt;0)),SUBTOTAL(2,$K$3:K89)+200,""))))&gt;200,"",1)))</f>
        <v/>
      </c>
      <c r="N89" s="214" t="str">
        <f>IF($AM$1=TRUE,IF(K89="","",IF(IF($AE$2="",IF(K89="","",SUBTOTAL(2,$K$3:K89)),IF(AND(G89&gt;=0,K89=""),"",IF(AND(G89&gt;0,OR(K89&gt;0,K89&lt;0)),SUBTOTAL(2,$K$3:K89),IF(AND(G89=0,OR(K89&gt;0,K89&lt;0)),SUBTOTAL(2,$K$3:K89)+200,""))))&lt;=200,"",2)),IF(K89="","",IF(IF($AE$2="",IF(K89="","",SUBTOTAL(2,$K$3:K89)),IF(AND(G89&gt;=0,K89=""),"",IF(AND(G89&gt;0,OR(K89&gt;0,K89&lt;0)),SUBTOTAL(2,$K$3:K89),IF(AND(G89=0,OR(K89&gt;0,K89&lt;0)),SUBTOTAL(2,$K$3:K89)+200,""))))&lt;=200,"",2)))</f>
        <v/>
      </c>
      <c r="O89" s="561"/>
      <c r="P89" s="435">
        <f>IFERROR(IF($AE$2="추경",IF(VLOOKUP(R89,$B$42:$L$80,6,FALSE)&gt;=VLOOKUP(R89,$B$42:$L$80,11,FALSE),VLOOKUP(R89,$B$42:$L$80,6,FALSE),VLOOKUP(R89,예산평균!$B:$D,3,FALSE)),IF(VLOOKUP(R89,$B$42:$L$80,11,FALSE)&gt;0,IF(VLOOKUP(R89,$B$42:$L$80,6,FALSE)&gt;=VLOOKUP(R89,$B$42:$L$80,11,FALSE),VLOOKUP(R89,$B$42:$L$80,6,FALSE),ROUNDUP(VLOOKUP(R89,$B$42:$L$80,11,FALSE)/U89,-3)*U89),VLOOKUP(R89,예산평균!$B:$D,3,FALSE))),0)</f>
        <v>0</v>
      </c>
      <c r="Q89" s="566">
        <v>0</v>
      </c>
      <c r="R89" s="493" t="s">
        <v>133</v>
      </c>
      <c r="S89" s="494" t="s">
        <v>80</v>
      </c>
      <c r="T89" s="429">
        <f t="shared" si="27"/>
        <v>0</v>
      </c>
      <c r="U89" s="569">
        <f t="shared" si="28"/>
        <v>12</v>
      </c>
      <c r="V89" s="431" t="s">
        <v>127</v>
      </c>
      <c r="X89" s="499" t="s">
        <v>195</v>
      </c>
      <c r="Y89" s="1406">
        <f t="shared" si="29"/>
        <v>55434480</v>
      </c>
      <c r="Z89" s="1412"/>
      <c r="AA89" s="1406">
        <f>보수일람표!$I$261</f>
        <v>55434480</v>
      </c>
      <c r="AB89" s="1407"/>
      <c r="AC89" s="1408">
        <f t="shared" ref="AC89:AC97" si="30">Y89-AA89</f>
        <v>0</v>
      </c>
      <c r="AD89" s="1409"/>
      <c r="AE89" s="1410"/>
      <c r="AF89" s="1411"/>
      <c r="AH89" s="333" t="str">
        <f>세입예산서!L89</f>
        <v xml:space="preserve">    - 비지정후원금</v>
      </c>
      <c r="AI89" s="1388">
        <f>세입예산서!X89</f>
        <v>0</v>
      </c>
      <c r="AJ89" s="1389"/>
      <c r="AP89" s="1182" t="str">
        <f>IF(예산실적비교표!AL89&lt;&gt;"",예산실적비교표!AL89,"")</f>
        <v/>
      </c>
      <c r="AQ89" s="1183" t="str">
        <f>IF(예산실적비교표!AM89&lt;&gt;"",예산실적비교표!AM89,"")</f>
        <v/>
      </c>
      <c r="AR89" s="1184">
        <f>IF(예산실적비교표!AN89&lt;&gt;"",예산실적비교표!AN89,0)</f>
        <v>0</v>
      </c>
      <c r="AS89" s="1185">
        <f>IF(예산실적비교표!AO89&lt;&gt;"",예산실적비교표!AO89,0)</f>
        <v>0</v>
      </c>
      <c r="AT89" s="1118">
        <f t="shared" si="23"/>
        <v>0</v>
      </c>
      <c r="AU89" s="1186">
        <f>IF(예산실적비교표!AQ89&lt;&gt;"",예산실적비교표!AQ89,0)</f>
        <v>0</v>
      </c>
      <c r="AV89" s="1120">
        <f t="shared" si="24"/>
        <v>0</v>
      </c>
      <c r="AW89" s="1121">
        <f>IF(AR89="",0,ROUND((AT89*$AT$7)*데이터입력!$AF$14+(AT89*$AU$7)*데이터입력!$AF$14+(AT89*$AU$7*$AV$7)*데이터입력!$AF$14+(AT89*$AW$7)*데이터입력!$AF$14+(AT89*$AX$7)*데이터입력!$AF$14,-1))</f>
        <v>0</v>
      </c>
      <c r="AX89" s="1122">
        <f t="shared" si="25"/>
        <v>0</v>
      </c>
      <c r="AY89" s="1123">
        <f>IFERROR(IF(AR89+AS89=0,0,ROUND(IF(데이터입력!$AF$14=100%,ROUND(AR89*$AR$1,-3),ROUND(AR89*$AR$1,-3)-ROUND(((AR89*$AR$1)*$AT$4)*(데이터입력!$AF$14-100%)+((AR89*$AR$1)*$AU$4)*(데이터입력!$AF$14-100%)+((AR89*$AR$1)*$AU$4*$AV$4)*(데이터입력!$AF$14-100%)+((AR89*$AR$1)*$AW$4)*(데이터입력!$AF$14-100%),-1)),0)),0)</f>
        <v>0</v>
      </c>
      <c r="AZ89" s="1124">
        <f>IFERROR(IF(AR89+AS89=0,0,IF(데이터입력!$AF$12=100%,(AT89),(AT89)+ROUND(AT89*(데이터입력!$AF$12-100%),-1))),0)</f>
        <v>0</v>
      </c>
      <c r="BA89" s="1265" t="str">
        <f t="shared" si="22"/>
        <v/>
      </c>
      <c r="BB89" s="1264" t="str">
        <f>IF(BA89="","",IF(데이터입력!$O$68="",ROUND(AZ89/12,0),ROUND(데이터입력!$O$68/데이터입력!$Y$8/$BC$63,0)))</f>
        <v/>
      </c>
    </row>
    <row r="90" spans="1:54" ht="17.25" thickBot="1">
      <c r="A90" s="1047" t="str">
        <f>IF($AM$1=TRUE,IF(K90="","",SUBTOTAL(2,$K$3:K90)),IF(AND(M90="",N90=""),"",IF(N90="",COUNT($M$3:M90),COUNT($N$3:N90)+200)))</f>
        <v/>
      </c>
      <c r="B90" s="411" t="s">
        <v>49</v>
      </c>
      <c r="C90" s="411" t="s">
        <v>599</v>
      </c>
      <c r="D90" s="410">
        <v>501010602</v>
      </c>
      <c r="E90" s="410" t="s">
        <v>84</v>
      </c>
      <c r="F90" s="410" t="s">
        <v>81</v>
      </c>
      <c r="G90" s="412">
        <f>IFERROR(IF($E90="07",VLOOKUP($B90,예산실적비교표!$X$7:$Z$200,2,FALSE),0),0)</f>
        <v>0</v>
      </c>
      <c r="H90" s="412">
        <f>IFERROR(IF($E90="06",VLOOKUP($C90,세출예산서!$K$3:$X$304,12,FALSE),0),0)</f>
        <v>0</v>
      </c>
      <c r="I90" s="412">
        <f>IFERROR(IF($E90="07",VLOOKUP($C90,세출예산서!$K$3:$X$304,13,FALSE),0),0)</f>
        <v>0</v>
      </c>
      <c r="J90" s="412">
        <f>IFERROR(IF($E90="05",VLOOKUP($C90,세출예산서!$K$3:$X$304,14,FALSE),0),0)</f>
        <v>0</v>
      </c>
      <c r="K90" s="412" t="str">
        <f t="shared" si="15"/>
        <v/>
      </c>
      <c r="L90" s="413">
        <f>IFERROR(IF($AB$2="",0,ROUNDUP(VLOOKUP($B90,예산실적비교표!$X$7:$Z$200,3,FALSE)*$Y$7/$Y$10,-3)*$Y$8),0)</f>
        <v>0</v>
      </c>
      <c r="M90" s="708" t="str">
        <f>IF($AM$1=TRUE,IF(K90="","",IF(IF($AE$2="",IF(K90="","",SUBTOTAL(2,$K$3:K90)),IF(AND(G90&gt;=0,K90=""),"",IF(AND(G90&gt;0,OR(K90&gt;0,K90&lt;0)),SUBTOTAL(2,$K$3:K90),IF(AND(G90=0,OR(K90&gt;0,K90&lt;0)),SUBTOTAL(2,$K$3:K90)+200,""))))&gt;200,"",1)),IF(K90="","",IF(IF($AE$2="",IF(K90="","",SUBTOTAL(2,$K$3:K90)),IF(AND(G90&gt;=0,K90=""),"",IF(AND(G90&gt;0,OR(K90&gt;0,K90&lt;0)),SUBTOTAL(2,$K$3:K90),IF(AND(G90=0,OR(K90&gt;0,K90&lt;0)),SUBTOTAL(2,$K$3:K90)+200,""))))&gt;200,"",1)))</f>
        <v/>
      </c>
      <c r="N90" s="214" t="str">
        <f>IF($AM$1=TRUE,IF(K90="","",IF(IF($AE$2="",IF(K90="","",SUBTOTAL(2,$K$3:K90)),IF(AND(G90&gt;=0,K90=""),"",IF(AND(G90&gt;0,OR(K90&gt;0,K90&lt;0)),SUBTOTAL(2,$K$3:K90),IF(AND(G90=0,OR(K90&gt;0,K90&lt;0)),SUBTOTAL(2,$K$3:K90)+200,""))))&lt;=200,"",2)),IF(K90="","",IF(IF($AE$2="",IF(K90="","",SUBTOTAL(2,$K$3:K90)),IF(AND(G90&gt;=0,K90=""),"",IF(AND(G90&gt;0,OR(K90&gt;0,K90&lt;0)),SUBTOTAL(2,$K$3:K90),IF(AND(G90=0,OR(K90&gt;0,K90&lt;0)),SUBTOTAL(2,$K$3:K90)+200,""))))&lt;=200,"",2)))</f>
        <v/>
      </c>
      <c r="O90" s="561"/>
      <c r="P90" s="435">
        <f>IFERROR(IF($AE$2="추경",IF(VLOOKUP(R90,$B$42:$L$80,6,FALSE)&gt;=VLOOKUP(R90,$B$42:$L$80,11,FALSE),VLOOKUP(R90,$B$42:$L$80,6,FALSE),VLOOKUP(R90,예산평균!$B:$D,3,FALSE)),IF(VLOOKUP(R90,$B$42:$L$80,11,FALSE)&gt;0,IF(VLOOKUP(R90,$B$42:$L$80,6,FALSE)&gt;=VLOOKUP(R90,$B$42:$L$80,11,FALSE),VLOOKUP(R90,$B$42:$L$80,6,FALSE),ROUNDUP(VLOOKUP(R90,$B$42:$L$80,11,FALSE)/U90,-4)*U90),VLOOKUP(R90,예산평균!$B:$D,3,FALSE))),0)</f>
        <v>0</v>
      </c>
      <c r="Q90" s="566">
        <v>0</v>
      </c>
      <c r="R90" s="493" t="s">
        <v>66</v>
      </c>
      <c r="S90" s="494" t="s">
        <v>80</v>
      </c>
      <c r="T90" s="429">
        <f t="shared" si="27"/>
        <v>0</v>
      </c>
      <c r="U90" s="569">
        <f t="shared" si="28"/>
        <v>12</v>
      </c>
      <c r="V90" s="431" t="s">
        <v>127</v>
      </c>
      <c r="X90" s="499" t="s">
        <v>196</v>
      </c>
      <c r="Y90" s="1406">
        <f t="shared" si="29"/>
        <v>0</v>
      </c>
      <c r="Z90" s="1412"/>
      <c r="AA90" s="1406">
        <f>보수일람표!$J$262</f>
        <v>0</v>
      </c>
      <c r="AB90" s="1407"/>
      <c r="AC90" s="1408">
        <f t="shared" si="30"/>
        <v>0</v>
      </c>
      <c r="AD90" s="1409"/>
      <c r="AE90" s="1410"/>
      <c r="AF90" s="1411"/>
      <c r="AH90" s="1314" t="str">
        <f>세입예산서!L90</f>
        <v xml:space="preserve">    - </v>
      </c>
      <c r="AI90" s="1398">
        <f>세입예산서!X90</f>
        <v>0</v>
      </c>
      <c r="AJ90" s="1399"/>
      <c r="AP90" s="1182" t="str">
        <f>IF(예산실적비교표!AL90&lt;&gt;"",예산실적비교표!AL90,"")</f>
        <v/>
      </c>
      <c r="AQ90" s="1183" t="str">
        <f>IF(예산실적비교표!AM90&lt;&gt;"",예산실적비교표!AM90,"")</f>
        <v/>
      </c>
      <c r="AR90" s="1184">
        <f>IF(예산실적비교표!AN90&lt;&gt;"",예산실적비교표!AN90,0)</f>
        <v>0</v>
      </c>
      <c r="AS90" s="1185">
        <f>IF(예산실적비교표!AO90&lt;&gt;"",예산실적비교표!AO90,0)</f>
        <v>0</v>
      </c>
      <c r="AT90" s="1118">
        <f t="shared" si="23"/>
        <v>0</v>
      </c>
      <c r="AU90" s="1186">
        <f>IF(예산실적비교표!AQ90&lt;&gt;"",예산실적비교표!AQ90,0)</f>
        <v>0</v>
      </c>
      <c r="AV90" s="1120">
        <f t="shared" si="24"/>
        <v>0</v>
      </c>
      <c r="AW90" s="1121">
        <f>IF(AR90="",0,ROUND((AT90*$AT$7)*데이터입력!$AF$14+(AT90*$AU$7)*데이터입력!$AF$14+(AT90*$AU$7*$AV$7)*데이터입력!$AF$14+(AT90*$AW$7)*데이터입력!$AF$14+(AT90*$AX$7)*데이터입력!$AF$14,-1))</f>
        <v>0</v>
      </c>
      <c r="AX90" s="1122">
        <f t="shared" si="25"/>
        <v>0</v>
      </c>
      <c r="AY90" s="1123">
        <f>IFERROR(IF(AR90+AS90=0,0,ROUND(IF(데이터입력!$AF$14=100%,ROUND(AR90*$AR$1,-3),ROUND(AR90*$AR$1,-3)-ROUND(((AR90*$AR$1)*$AT$4)*(데이터입력!$AF$14-100%)+((AR90*$AR$1)*$AU$4)*(데이터입력!$AF$14-100%)+((AR90*$AR$1)*$AU$4*$AV$4)*(데이터입력!$AF$14-100%)+((AR90*$AR$1)*$AW$4)*(데이터입력!$AF$14-100%),-1)),0)),0)</f>
        <v>0</v>
      </c>
      <c r="AZ90" s="1124">
        <f>IFERROR(IF(AR90+AS90=0,0,IF(데이터입력!$AF$12=100%,(AT90),(AT90)+ROUND(AT90*(데이터입력!$AF$12-100%),-1))),0)</f>
        <v>0</v>
      </c>
      <c r="BA90" s="1265" t="str">
        <f t="shared" si="22"/>
        <v/>
      </c>
      <c r="BB90" s="1264" t="str">
        <f>IF(BA90="","",IF(데이터입력!$O$68="",ROUND(AZ90/12,0),ROUND(데이터입력!$O$68/데이터입력!$Y$8/$BC$63,0)))</f>
        <v/>
      </c>
    </row>
    <row r="91" spans="1:54">
      <c r="A91" s="1047" t="str">
        <f>IF($AM$1=TRUE,IF(K91="","",SUBTOTAL(2,$K$3:K91)),IF(AND(M91="",N91=""),"",IF(N91="",COUNT($M$3:M91),COUNT($N$3:N91)+200)))</f>
        <v/>
      </c>
      <c r="B91" s="411" t="s">
        <v>50</v>
      </c>
      <c r="C91" s="411" t="s">
        <v>600</v>
      </c>
      <c r="D91" s="410">
        <v>501020101</v>
      </c>
      <c r="E91" s="410" t="s">
        <v>84</v>
      </c>
      <c r="F91" s="410" t="s">
        <v>81</v>
      </c>
      <c r="G91" s="412">
        <f>IFERROR(IF($E91="07",VLOOKUP($B91,예산실적비교표!$X$7:$Z$200,2,FALSE),0),0)</f>
        <v>0</v>
      </c>
      <c r="H91" s="412">
        <f>IFERROR(IF($E91="06",VLOOKUP($C91,세출예산서!$K$3:$X$304,12,FALSE),0),0)</f>
        <v>0</v>
      </c>
      <c r="I91" s="412">
        <f>IFERROR(IF($E91="07",VLOOKUP($C91,세출예산서!$K$3:$X$304,13,FALSE),0),0)</f>
        <v>0</v>
      </c>
      <c r="J91" s="412">
        <f>IFERROR(IF($E91="05",VLOOKUP($C91,세출예산서!$K$3:$X$304,14,FALSE),0),0)</f>
        <v>0</v>
      </c>
      <c r="K91" s="412" t="str">
        <f t="shared" si="15"/>
        <v/>
      </c>
      <c r="L91" s="413">
        <f>IFERROR(IF($AB$2="",0,ROUNDUP(VLOOKUP($B91,예산실적비교표!$X$7:$Z$200,3,FALSE)*$Y$7/$Y$10,-3)*$Y$8),0)</f>
        <v>0</v>
      </c>
      <c r="M91" s="708" t="str">
        <f>IF($AM$1=TRUE,IF(K91="","",IF(IF($AE$2="",IF(K91="","",SUBTOTAL(2,$K$3:K91)),IF(AND(G91&gt;=0,K91=""),"",IF(AND(G91&gt;0,OR(K91&gt;0,K91&lt;0)),SUBTOTAL(2,$K$3:K91),IF(AND(G91=0,OR(K91&gt;0,K91&lt;0)),SUBTOTAL(2,$K$3:K91)+200,""))))&gt;200,"",1)),IF(K91="","",IF(IF($AE$2="",IF(K91="","",SUBTOTAL(2,$K$3:K91)),IF(AND(G91&gt;=0,K91=""),"",IF(AND(G91&gt;0,OR(K91&gt;0,K91&lt;0)),SUBTOTAL(2,$K$3:K91),IF(AND(G91=0,OR(K91&gt;0,K91&lt;0)),SUBTOTAL(2,$K$3:K91)+200,""))))&gt;200,"",1)))</f>
        <v/>
      </c>
      <c r="N91" s="214" t="str">
        <f>IF($AM$1=TRUE,IF(K91="","",IF(IF($AE$2="",IF(K91="","",SUBTOTAL(2,$K$3:K91)),IF(AND(G91&gt;=0,K91=""),"",IF(AND(G91&gt;0,OR(K91&gt;0,K91&lt;0)),SUBTOTAL(2,$K$3:K91),IF(AND(G91=0,OR(K91&gt;0,K91&lt;0)),SUBTOTAL(2,$K$3:K91)+200,""))))&lt;=200,"",2)),IF(K91="","",IF(IF($AE$2="",IF(K91="","",SUBTOTAL(2,$K$3:K91)),IF(AND(G91&gt;=0,K91=""),"",IF(AND(G91&gt;0,OR(K91&gt;0,K91&lt;0)),SUBTOTAL(2,$K$3:K91),IF(AND(G91=0,OR(K91&gt;0,K91&lt;0)),SUBTOTAL(2,$K$3:K91)+200,""))))&lt;=200,"",2)))</f>
        <v/>
      </c>
      <c r="O91" s="562"/>
      <c r="P91" s="435">
        <f>Y20</f>
        <v>30000000</v>
      </c>
      <c r="Q91" s="565"/>
      <c r="R91" s="493" t="s">
        <v>67</v>
      </c>
      <c r="S91" s="494" t="s">
        <v>80</v>
      </c>
      <c r="T91" s="429">
        <f t="shared" si="27"/>
        <v>30000000</v>
      </c>
      <c r="U91" s="569">
        <f t="shared" si="28"/>
        <v>12</v>
      </c>
      <c r="V91" s="495" t="s">
        <v>142</v>
      </c>
      <c r="X91" s="499" t="s">
        <v>197</v>
      </c>
      <c r="Y91" s="1406">
        <f t="shared" si="29"/>
        <v>0</v>
      </c>
      <c r="Z91" s="1412"/>
      <c r="AA91" s="1406">
        <f>보수일람표!$J$261</f>
        <v>0</v>
      </c>
      <c r="AB91" s="1407"/>
      <c r="AC91" s="1408">
        <f t="shared" si="30"/>
        <v>0</v>
      </c>
      <c r="AD91" s="1409"/>
      <c r="AE91" s="1410"/>
      <c r="AF91" s="1411"/>
      <c r="AP91" s="1182" t="str">
        <f>IF(예산실적비교표!AL91&lt;&gt;"",예산실적비교표!AL91,"")</f>
        <v/>
      </c>
      <c r="AQ91" s="1183" t="str">
        <f>IF(예산실적비교표!AM91&lt;&gt;"",예산실적비교표!AM91,"")</f>
        <v/>
      </c>
      <c r="AR91" s="1184">
        <f>IF(예산실적비교표!AN91&lt;&gt;"",예산실적비교표!AN91,0)</f>
        <v>0</v>
      </c>
      <c r="AS91" s="1185">
        <f>IF(예산실적비교표!AO91&lt;&gt;"",예산실적비교표!AO91,0)</f>
        <v>0</v>
      </c>
      <c r="AT91" s="1118">
        <f t="shared" si="23"/>
        <v>0</v>
      </c>
      <c r="AU91" s="1186">
        <f>IF(예산실적비교표!AQ91&lt;&gt;"",예산실적비교표!AQ91,0)</f>
        <v>0</v>
      </c>
      <c r="AV91" s="1120">
        <f t="shared" si="24"/>
        <v>0</v>
      </c>
      <c r="AW91" s="1121">
        <f>IF(AR91="",0,ROUND((AT91*$AT$7)*데이터입력!$AF$14+(AT91*$AU$7)*데이터입력!$AF$14+(AT91*$AU$7*$AV$7)*데이터입력!$AF$14+(AT91*$AW$7)*데이터입력!$AF$14+(AT91*$AX$7)*데이터입력!$AF$14,-1))</f>
        <v>0</v>
      </c>
      <c r="AX91" s="1122">
        <f t="shared" si="25"/>
        <v>0</v>
      </c>
      <c r="AY91" s="1123">
        <f>IFERROR(IF(AR91+AS91=0,0,ROUND(IF(데이터입력!$AF$14=100%,ROUND(AR91*$AR$1,-3),ROUND(AR91*$AR$1,-3)-ROUND(((AR91*$AR$1)*$AT$4)*(데이터입력!$AF$14-100%)+((AR91*$AR$1)*$AU$4)*(데이터입력!$AF$14-100%)+((AR91*$AR$1)*$AU$4*$AV$4)*(데이터입력!$AF$14-100%)+((AR91*$AR$1)*$AW$4)*(데이터입력!$AF$14-100%),-1)),0)),0)</f>
        <v>0</v>
      </c>
      <c r="AZ91" s="1124">
        <f>IFERROR(IF(AR91+AS91=0,0,IF(데이터입력!$AF$12=100%,(AT91),(AT91)+ROUND(AT91*(데이터입력!$AF$12-100%),-1))),0)</f>
        <v>0</v>
      </c>
      <c r="BA91" s="1265" t="str">
        <f t="shared" si="22"/>
        <v/>
      </c>
      <c r="BB91" s="1264" t="str">
        <f>IF(BA91="","",IF(데이터입력!$O$68="",ROUND(AZ91/12,0),ROUND(데이터입력!$O$68/데이터입력!$Y$8/$BC$63,0)))</f>
        <v/>
      </c>
    </row>
    <row r="92" spans="1:54">
      <c r="A92" s="1047" t="str">
        <f>IF($AM$1=TRUE,IF(K92="","",SUBTOTAL(2,$K$3:K92)),IF(AND(M92="",N92=""),"",IF(N92="",COUNT($M$3:M92),COUNT($N$3:N92)+200)))</f>
        <v/>
      </c>
      <c r="B92" s="411" t="s">
        <v>51</v>
      </c>
      <c r="C92" s="411" t="s">
        <v>601</v>
      </c>
      <c r="D92" s="410">
        <v>501020201</v>
      </c>
      <c r="E92" s="410" t="s">
        <v>84</v>
      </c>
      <c r="F92" s="410" t="s">
        <v>81</v>
      </c>
      <c r="G92" s="412">
        <f>IFERROR(IF($E92="07",VLOOKUP($B92,예산실적비교표!$X$7:$Z$200,2,FALSE),0),0)</f>
        <v>0</v>
      </c>
      <c r="H92" s="412">
        <f>IFERROR(IF($E92="06",VLOOKUP($C92,세출예산서!$K$3:$X$304,12,FALSE),0),0)</f>
        <v>0</v>
      </c>
      <c r="I92" s="412">
        <f>IFERROR(IF($E92="07",VLOOKUP($C92,세출예산서!$K$3:$X$304,13,FALSE),0),0)</f>
        <v>0</v>
      </c>
      <c r="J92" s="412">
        <f>IFERROR(IF($E92="05",VLOOKUP($C92,세출예산서!$K$3:$X$304,14,FALSE),0),0)</f>
        <v>0</v>
      </c>
      <c r="K92" s="412" t="str">
        <f t="shared" si="15"/>
        <v/>
      </c>
      <c r="L92" s="413">
        <f>IFERROR(IF($AB$2="",0,ROUNDUP(VLOOKUP($B92,예산실적비교표!$X$7:$Z$200,3,FALSE)*$Y$7/$Y$10,-3)*$Y$8),0)</f>
        <v>0</v>
      </c>
      <c r="M92" s="708" t="str">
        <f>IF($AM$1=TRUE,IF(K92="","",IF(IF($AE$2="",IF(K92="","",SUBTOTAL(2,$K$3:K92)),IF(AND(G92&gt;=0,K92=""),"",IF(AND(G92&gt;0,OR(K92&gt;0,K92&lt;0)),SUBTOTAL(2,$K$3:K92),IF(AND(G92=0,OR(K92&gt;0,K92&lt;0)),SUBTOTAL(2,$K$3:K92)+200,""))))&gt;200,"",1)),IF(K92="","",IF(IF($AE$2="",IF(K92="","",SUBTOTAL(2,$K$3:K92)),IF(AND(G92&gt;=0,K92=""),"",IF(AND(G92&gt;0,OR(K92&gt;0,K92&lt;0)),SUBTOTAL(2,$K$3:K92),IF(AND(G92=0,OR(K92&gt;0,K92&lt;0)),SUBTOTAL(2,$K$3:K92)+200,""))))&gt;200,"",1)))</f>
        <v/>
      </c>
      <c r="N92" s="214" t="str">
        <f>IF($AM$1=TRUE,IF(K92="","",IF(IF($AE$2="",IF(K92="","",SUBTOTAL(2,$K$3:K92)),IF(AND(G92&gt;=0,K92=""),"",IF(AND(G92&gt;0,OR(K92&gt;0,K92&lt;0)),SUBTOTAL(2,$K$3:K92),IF(AND(G92=0,OR(K92&gt;0,K92&lt;0)),SUBTOTAL(2,$K$3:K92)+200,""))))&lt;=200,"",2)),IF(K92="","",IF(IF($AE$2="",IF(K92="","",SUBTOTAL(2,$K$3:K92)),IF(AND(G92&gt;=0,K92=""),"",IF(AND(G92&gt;0,OR(K92&gt;0,K92&lt;0)),SUBTOTAL(2,$K$3:K92),IF(AND(G92=0,OR(K92&gt;0,K92&lt;0)),SUBTOTAL(2,$K$3:K92)+200,""))))&lt;=200,"",2)))</f>
        <v/>
      </c>
      <c r="O92" s="561"/>
      <c r="P92" s="435">
        <f>IFERROR(IF($AE$2="추경",IF(VLOOKUP(R92,$B$42:$L$80,6,FALSE)&gt;=VLOOKUP(R92,$B$42:$L$80,11,FALSE),VLOOKUP(R92,$B$42:$L$80,6,FALSE),VLOOKUP(R92,예산평균!$B:$D,3,FALSE)),IF(VLOOKUP(R92,$B$42:$L$80,11,FALSE)&gt;0,IF(VLOOKUP(R92,$B$42:$L$80,6,FALSE)&gt;=VLOOKUP(R92,$B$42:$L$80,11,FALSE),VLOOKUP(R92,$B$42:$L$80,6,FALSE),ROUNDUP(VLOOKUP(R92,$B$42:$L$80,11,FALSE)/U92,-3)*U92),VLOOKUP(R92,예산평균!$B:$D,3,FALSE))),0)</f>
        <v>0</v>
      </c>
      <c r="Q92" s="566">
        <v>0</v>
      </c>
      <c r="R92" s="493" t="s">
        <v>68</v>
      </c>
      <c r="S92" s="494" t="s">
        <v>80</v>
      </c>
      <c r="T92" s="429">
        <f t="shared" si="27"/>
        <v>0</v>
      </c>
      <c r="U92" s="569">
        <f>IF(Q92=0,$Y$8,Q92)</f>
        <v>12</v>
      </c>
      <c r="V92" s="431" t="s">
        <v>127</v>
      </c>
      <c r="X92" s="499" t="s">
        <v>198</v>
      </c>
      <c r="Y92" s="1406">
        <f t="shared" si="29"/>
        <v>0</v>
      </c>
      <c r="Z92" s="1412"/>
      <c r="AA92" s="1406">
        <f>보수일람표!$K$262</f>
        <v>0</v>
      </c>
      <c r="AB92" s="1407"/>
      <c r="AC92" s="1408">
        <f t="shared" si="30"/>
        <v>0</v>
      </c>
      <c r="AD92" s="1409"/>
      <c r="AE92" s="1410"/>
      <c r="AF92" s="1411"/>
      <c r="AP92" s="1182" t="str">
        <f>IF(예산실적비교표!AL92&lt;&gt;"",예산실적비교표!AL92,"")</f>
        <v/>
      </c>
      <c r="AQ92" s="1183" t="str">
        <f>IF(예산실적비교표!AM92&lt;&gt;"",예산실적비교표!AM92,"")</f>
        <v/>
      </c>
      <c r="AR92" s="1184">
        <f>IF(예산실적비교표!AN92&lt;&gt;"",예산실적비교표!AN92,0)</f>
        <v>0</v>
      </c>
      <c r="AS92" s="1185">
        <f>IF(예산실적비교표!AO92&lt;&gt;"",예산실적비교표!AO92,0)</f>
        <v>0</v>
      </c>
      <c r="AT92" s="1118">
        <f t="shared" si="23"/>
        <v>0</v>
      </c>
      <c r="AU92" s="1186">
        <f>IF(예산실적비교표!AQ92&lt;&gt;"",예산실적비교표!AQ92,0)</f>
        <v>0</v>
      </c>
      <c r="AV92" s="1120">
        <f t="shared" si="24"/>
        <v>0</v>
      </c>
      <c r="AW92" s="1121">
        <f>IF(AR92="",0,ROUND((AT92*$AT$7)*데이터입력!$AF$14+(AT92*$AU$7)*데이터입력!$AF$14+(AT92*$AU$7*$AV$7)*데이터입력!$AF$14+(AT92*$AW$7)*데이터입력!$AF$14+(AT92*$AX$7)*데이터입력!$AF$14,-1))</f>
        <v>0</v>
      </c>
      <c r="AX92" s="1122">
        <f t="shared" si="25"/>
        <v>0</v>
      </c>
      <c r="AY92" s="1123">
        <f>IFERROR(IF(AR92+AS92=0,0,ROUND(IF(데이터입력!$AF$14=100%,ROUND(AR92*$AR$1,-3),ROUND(AR92*$AR$1,-3)-ROUND(((AR92*$AR$1)*$AT$4)*(데이터입력!$AF$14-100%)+((AR92*$AR$1)*$AU$4)*(데이터입력!$AF$14-100%)+((AR92*$AR$1)*$AU$4*$AV$4)*(데이터입력!$AF$14-100%)+((AR92*$AR$1)*$AW$4)*(데이터입력!$AF$14-100%),-1)),0)),0)</f>
        <v>0</v>
      </c>
      <c r="AZ92" s="1124">
        <f>IFERROR(IF(AR92+AS92=0,0,IF(데이터입력!$AF$12=100%,(AT92),(AT92)+ROUND(AT92*(데이터입력!$AF$12-100%),-1))),0)</f>
        <v>0</v>
      </c>
      <c r="BA92" s="1265" t="str">
        <f t="shared" si="22"/>
        <v/>
      </c>
      <c r="BB92" s="1264" t="str">
        <f>IF(BA92="","",IF(데이터입력!$O$68="",ROUND(AZ92/12,0),ROUND(데이터입력!$O$68/데이터입력!$Y$8/$BC$63,0)))</f>
        <v/>
      </c>
    </row>
    <row r="93" spans="1:54">
      <c r="A93" s="1047" t="str">
        <f>IF($AM$1=TRUE,IF(K93="","",SUBTOTAL(2,$K$3:K93)),IF(AND(M93="",N93=""),"",IF(N93="",COUNT($M$3:M93),COUNT($N$3:N93)+200)))</f>
        <v/>
      </c>
      <c r="B93" s="411" t="s">
        <v>52</v>
      </c>
      <c r="C93" s="411" t="s">
        <v>602</v>
      </c>
      <c r="D93" s="410">
        <v>501020301</v>
      </c>
      <c r="E93" s="410" t="s">
        <v>84</v>
      </c>
      <c r="F93" s="410" t="s">
        <v>81</v>
      </c>
      <c r="G93" s="412">
        <f>IFERROR(IF($E93="07",VLOOKUP($B93,예산실적비교표!$X$7:$Z$200,2,FALSE),0),0)</f>
        <v>0</v>
      </c>
      <c r="H93" s="412">
        <f>IFERROR(IF($E93="06",VLOOKUP($C93,세출예산서!$K$3:$X$304,12,FALSE),0),0)</f>
        <v>0</v>
      </c>
      <c r="I93" s="412">
        <f>IFERROR(IF($E93="07",VLOOKUP($C93,세출예산서!$K$3:$X$304,13,FALSE),0),0)</f>
        <v>0</v>
      </c>
      <c r="J93" s="412">
        <f>IFERROR(IF($E93="05",VLOOKUP($C93,세출예산서!$K$3:$X$304,14,FALSE),0),0)</f>
        <v>0</v>
      </c>
      <c r="K93" s="412" t="str">
        <f t="shared" si="15"/>
        <v/>
      </c>
      <c r="L93" s="413">
        <f>IFERROR(IF($AB$2="",0,ROUNDUP(VLOOKUP($B93,예산실적비교표!$X$7:$Z$200,3,FALSE)*$Y$7/$Y$10,-3)*$Y$8),0)</f>
        <v>0</v>
      </c>
      <c r="M93" s="708" t="str">
        <f>IF($AM$1=TRUE,IF(K93="","",IF(IF($AE$2="",IF(K93="","",SUBTOTAL(2,$K$3:K93)),IF(AND(G93&gt;=0,K93=""),"",IF(AND(G93&gt;0,OR(K93&gt;0,K93&lt;0)),SUBTOTAL(2,$K$3:K93),IF(AND(G93=0,OR(K93&gt;0,K93&lt;0)),SUBTOTAL(2,$K$3:K93)+200,""))))&gt;200,"",1)),IF(K93="","",IF(IF($AE$2="",IF(K93="","",SUBTOTAL(2,$K$3:K93)),IF(AND(G93&gt;=0,K93=""),"",IF(AND(G93&gt;0,OR(K93&gt;0,K93&lt;0)),SUBTOTAL(2,$K$3:K93),IF(AND(G93=0,OR(K93&gt;0,K93&lt;0)),SUBTOTAL(2,$K$3:K93)+200,""))))&gt;200,"",1)))</f>
        <v/>
      </c>
      <c r="N93" s="214" t="str">
        <f>IF($AM$1=TRUE,IF(K93="","",IF(IF($AE$2="",IF(K93="","",SUBTOTAL(2,$K$3:K93)),IF(AND(G93&gt;=0,K93=""),"",IF(AND(G93&gt;0,OR(K93&gt;0,K93&lt;0)),SUBTOTAL(2,$K$3:K93),IF(AND(G93=0,OR(K93&gt;0,K93&lt;0)),SUBTOTAL(2,$K$3:K93)+200,""))))&lt;=200,"",2)),IF(K93="","",IF(IF($AE$2="",IF(K93="","",SUBTOTAL(2,$K$3:K93)),IF(AND(G93&gt;=0,K93=""),"",IF(AND(G93&gt;0,OR(K93&gt;0,K93&lt;0)),SUBTOTAL(2,$K$3:K93),IF(AND(G93=0,OR(K93&gt;0,K93&lt;0)),SUBTOTAL(2,$K$3:K93)+200,""))))&lt;=200,"",2)))</f>
        <v/>
      </c>
      <c r="O93" s="561"/>
      <c r="P93" s="435">
        <f>IFERROR(H18+H19,0)</f>
        <v>0</v>
      </c>
      <c r="Q93" s="566">
        <v>0</v>
      </c>
      <c r="R93" s="493" t="s">
        <v>69</v>
      </c>
      <c r="S93" s="494" t="s">
        <v>80</v>
      </c>
      <c r="T93" s="429">
        <f t="shared" si="27"/>
        <v>0</v>
      </c>
      <c r="U93" s="569">
        <f>IF(Q93=0,$Y$8,Q93)</f>
        <v>12</v>
      </c>
      <c r="V93" s="431" t="s">
        <v>127</v>
      </c>
      <c r="X93" s="499" t="s">
        <v>199</v>
      </c>
      <c r="Y93" s="1406">
        <f t="shared" si="29"/>
        <v>0</v>
      </c>
      <c r="Z93" s="1412"/>
      <c r="AA93" s="1406">
        <f>보수일람표!$K$261</f>
        <v>0</v>
      </c>
      <c r="AB93" s="1407"/>
      <c r="AC93" s="1408">
        <f t="shared" si="30"/>
        <v>0</v>
      </c>
      <c r="AD93" s="1409"/>
      <c r="AE93" s="1410"/>
      <c r="AF93" s="1411"/>
      <c r="AP93" s="1182" t="str">
        <f>IF(예산실적비교표!AL93&lt;&gt;"",예산실적비교표!AL93,"")</f>
        <v/>
      </c>
      <c r="AQ93" s="1183" t="str">
        <f>IF(예산실적비교표!AM93&lt;&gt;"",예산실적비교표!AM93,"")</f>
        <v/>
      </c>
      <c r="AR93" s="1184">
        <f>IF(예산실적비교표!AN93&lt;&gt;"",예산실적비교표!AN93,0)</f>
        <v>0</v>
      </c>
      <c r="AS93" s="1185">
        <f>IF(예산실적비교표!AO93&lt;&gt;"",예산실적비교표!AO93,0)</f>
        <v>0</v>
      </c>
      <c r="AT93" s="1118">
        <f t="shared" si="23"/>
        <v>0</v>
      </c>
      <c r="AU93" s="1186">
        <f>IF(예산실적비교표!AQ93&lt;&gt;"",예산실적비교표!AQ93,0)</f>
        <v>0</v>
      </c>
      <c r="AV93" s="1120">
        <f t="shared" si="24"/>
        <v>0</v>
      </c>
      <c r="AW93" s="1121">
        <f>IF(AR93="",0,ROUND((AT93*$AT$7)*데이터입력!$AF$14+(AT93*$AU$7)*데이터입력!$AF$14+(AT93*$AU$7*$AV$7)*데이터입력!$AF$14+(AT93*$AW$7)*데이터입력!$AF$14+(AT93*$AX$7)*데이터입력!$AF$14,-1))</f>
        <v>0</v>
      </c>
      <c r="AX93" s="1122">
        <f t="shared" si="25"/>
        <v>0</v>
      </c>
      <c r="AY93" s="1123">
        <f>IFERROR(IF(AR93+AS93=0,0,ROUND(IF(데이터입력!$AF$14=100%,ROUND(AR93*$AR$1,-3),ROUND(AR93*$AR$1,-3)-ROUND(((AR93*$AR$1)*$AT$4)*(데이터입력!$AF$14-100%)+((AR93*$AR$1)*$AU$4)*(데이터입력!$AF$14-100%)+((AR93*$AR$1)*$AU$4*$AV$4)*(데이터입력!$AF$14-100%)+((AR93*$AR$1)*$AW$4)*(데이터입력!$AF$14-100%),-1)),0)),0)</f>
        <v>0</v>
      </c>
      <c r="AZ93" s="1124">
        <f>IFERROR(IF(AR93+AS93=0,0,IF(데이터입력!$AF$12=100%,(AT93),(AT93)+ROUND(AT93*(데이터입력!$AF$12-100%),-1))),0)</f>
        <v>0</v>
      </c>
      <c r="BA93" s="1265" t="str">
        <f t="shared" si="22"/>
        <v/>
      </c>
      <c r="BB93" s="1264" t="str">
        <f>IF(BA93="","",IF(데이터입력!$O$68="",ROUND(AZ93/12,0),ROUND(데이터입력!$O$68/데이터입력!$Y$8/$BC$63,0)))</f>
        <v/>
      </c>
    </row>
    <row r="94" spans="1:54">
      <c r="A94" s="1047" t="str">
        <f>IF($AM$1=TRUE,IF(K94="","",SUBTOTAL(2,$K$3:K94)),IF(AND(M94="",N94=""),"",IF(N94="",COUNT($M$3:M94),COUNT($N$3:N94)+200)))</f>
        <v/>
      </c>
      <c r="B94" s="411" t="s">
        <v>53</v>
      </c>
      <c r="C94" s="411" t="s">
        <v>603</v>
      </c>
      <c r="D94" s="410">
        <v>501030101</v>
      </c>
      <c r="E94" s="410" t="s">
        <v>84</v>
      </c>
      <c r="F94" s="410" t="s">
        <v>81</v>
      </c>
      <c r="G94" s="412">
        <f>IFERROR(IF($E94="07",VLOOKUP($B94,예산실적비교표!$X$7:$Z$200,2,FALSE),0),0)</f>
        <v>0</v>
      </c>
      <c r="H94" s="412">
        <f>IFERROR(IF($E94="06",VLOOKUP($C94,세출예산서!$K$3:$X$304,12,FALSE),0),0)</f>
        <v>0</v>
      </c>
      <c r="I94" s="412">
        <f>IFERROR(IF($E94="07",VLOOKUP($C94,세출예산서!$K$3:$X$304,13,FALSE),0),0)</f>
        <v>0</v>
      </c>
      <c r="J94" s="412">
        <f>IFERROR(IF($E94="05",VLOOKUP($C94,세출예산서!$K$3:$X$304,14,FALSE),0),0)</f>
        <v>0</v>
      </c>
      <c r="K94" s="412" t="str">
        <f t="shared" si="15"/>
        <v/>
      </c>
      <c r="L94" s="413">
        <f>IFERROR(IF($AB$2="",0,ROUNDUP(VLOOKUP($B94,예산실적비교표!$X$7:$Z$200,3,FALSE)*$Y$7/$Y$10,-3)*$Y$8),0)</f>
        <v>0</v>
      </c>
      <c r="M94" s="708" t="str">
        <f>IF($AM$1=TRUE,IF(K94="","",IF(IF($AE$2="",IF(K94="","",SUBTOTAL(2,$K$3:K94)),IF(AND(G94&gt;=0,K94=""),"",IF(AND(G94&gt;0,OR(K94&gt;0,K94&lt;0)),SUBTOTAL(2,$K$3:K94),IF(AND(G94=0,OR(K94&gt;0,K94&lt;0)),SUBTOTAL(2,$K$3:K94)+200,""))))&gt;200,"",1)),IF(K94="","",IF(IF($AE$2="",IF(K94="","",SUBTOTAL(2,$K$3:K94)),IF(AND(G94&gt;=0,K94=""),"",IF(AND(G94&gt;0,OR(K94&gt;0,K94&lt;0)),SUBTOTAL(2,$K$3:K94),IF(AND(G94=0,OR(K94&gt;0,K94&lt;0)),SUBTOTAL(2,$K$3:K94)+200,""))))&gt;200,"",1)))</f>
        <v/>
      </c>
      <c r="N94" s="214" t="str">
        <f>IF($AM$1=TRUE,IF(K94="","",IF(IF($AE$2="",IF(K94="","",SUBTOTAL(2,$K$3:K94)),IF(AND(G94&gt;=0,K94=""),"",IF(AND(G94&gt;0,OR(K94&gt;0,K94&lt;0)),SUBTOTAL(2,$K$3:K94),IF(AND(G94=0,OR(K94&gt;0,K94&lt;0)),SUBTOTAL(2,$K$3:K94)+200,""))))&lt;=200,"",2)),IF(K94="","",IF(IF($AE$2="",IF(K94="","",SUBTOTAL(2,$K$3:K94)),IF(AND(G94&gt;=0,K94=""),"",IF(AND(G94&gt;0,OR(K94&gt;0,K94&lt;0)),SUBTOTAL(2,$K$3:K94),IF(AND(G94=0,OR(K94&gt;0,K94&lt;0)),SUBTOTAL(2,$K$3:K94)+200,""))))&lt;=200,"",2)))</f>
        <v/>
      </c>
      <c r="O94" s="561"/>
      <c r="P94" s="435">
        <f>IFERROR(IF($AE$2="추경",IF(VLOOKUP(R94,$B$42:$L$80,6,FALSE)&gt;=VLOOKUP(R94,$B$42:$L$80,11,FALSE),VLOOKUP(R94,$B$42:$L$80,6,FALSE),VLOOKUP(R94,예산평균!$B:$D,3,FALSE)),IF(VLOOKUP(R94,$B$42:$L$80,11,FALSE)&gt;0,IF(VLOOKUP(R94,$B$42:$L$80,6,FALSE)&gt;=VLOOKUP(R94,$B$42:$L$80,11,FALSE),VLOOKUP(R94,$B$42:$L$80,6,FALSE),ROUNDUP(VLOOKUP(R94,$B$42:$L$80,11,FALSE)/U94,-4)*U94),VLOOKUP(R94,예산평균!$B:$D,3,FALSE))),0)</f>
        <v>0</v>
      </c>
      <c r="Q94" s="566">
        <v>0</v>
      </c>
      <c r="R94" s="493" t="s">
        <v>70</v>
      </c>
      <c r="S94" s="494" t="s">
        <v>80</v>
      </c>
      <c r="T94" s="429">
        <f t="shared" si="27"/>
        <v>0</v>
      </c>
      <c r="U94" s="569">
        <f>IF(Q94=0,$Y$8,Q94)</f>
        <v>12</v>
      </c>
      <c r="V94" s="431" t="s">
        <v>127</v>
      </c>
      <c r="X94" s="499" t="s">
        <v>200</v>
      </c>
      <c r="Y94" s="1406">
        <f t="shared" si="29"/>
        <v>10578012</v>
      </c>
      <c r="Z94" s="1412"/>
      <c r="AA94" s="1406">
        <f>보수일람표!$L$262</f>
        <v>10578012</v>
      </c>
      <c r="AB94" s="1407"/>
      <c r="AC94" s="1408">
        <f t="shared" si="30"/>
        <v>0</v>
      </c>
      <c r="AD94" s="1409"/>
      <c r="AE94" s="1410"/>
      <c r="AF94" s="1411"/>
      <c r="AP94" s="1182" t="str">
        <f>IF(예산실적비교표!AL94&lt;&gt;"",예산실적비교표!AL94,"")</f>
        <v/>
      </c>
      <c r="AQ94" s="1183" t="str">
        <f>IF(예산실적비교표!AM94&lt;&gt;"",예산실적비교표!AM94,"")</f>
        <v/>
      </c>
      <c r="AR94" s="1184">
        <f>IF(예산실적비교표!AN94&lt;&gt;"",예산실적비교표!AN94,0)</f>
        <v>0</v>
      </c>
      <c r="AS94" s="1185">
        <f>IF(예산실적비교표!AO94&lt;&gt;"",예산실적비교표!AO94,0)</f>
        <v>0</v>
      </c>
      <c r="AT94" s="1118">
        <f t="shared" si="23"/>
        <v>0</v>
      </c>
      <c r="AU94" s="1186">
        <f>IF(예산실적비교표!AQ94&lt;&gt;"",예산실적비교표!AQ94,0)</f>
        <v>0</v>
      </c>
      <c r="AV94" s="1120">
        <f t="shared" si="24"/>
        <v>0</v>
      </c>
      <c r="AW94" s="1121">
        <f>IF(AR94="",0,ROUND((AT94*$AT$7)*데이터입력!$AF$14+(AT94*$AU$7)*데이터입력!$AF$14+(AT94*$AU$7*$AV$7)*데이터입력!$AF$14+(AT94*$AW$7)*데이터입력!$AF$14+(AT94*$AX$7)*데이터입력!$AF$14,-1))</f>
        <v>0</v>
      </c>
      <c r="AX94" s="1122">
        <f t="shared" si="25"/>
        <v>0</v>
      </c>
      <c r="AY94" s="1123">
        <f>IFERROR(IF(AR94+AS94=0,0,ROUND(IF(데이터입력!$AF$14=100%,ROUND(AR94*$AR$1,-3),ROUND(AR94*$AR$1,-3)-ROUND(((AR94*$AR$1)*$AT$4)*(데이터입력!$AF$14-100%)+((AR94*$AR$1)*$AU$4)*(데이터입력!$AF$14-100%)+((AR94*$AR$1)*$AU$4*$AV$4)*(데이터입력!$AF$14-100%)+((AR94*$AR$1)*$AW$4)*(데이터입력!$AF$14-100%),-1)),0)),0)</f>
        <v>0</v>
      </c>
      <c r="AZ94" s="1124">
        <f>IFERROR(IF(AR94+AS94=0,0,IF(데이터입력!$AF$12=100%,(AT94),(AT94)+ROUND(AT94*(데이터입력!$AF$12-100%),-1))),0)</f>
        <v>0</v>
      </c>
      <c r="BA94" s="1265" t="str">
        <f t="shared" si="22"/>
        <v/>
      </c>
      <c r="BB94" s="1264" t="str">
        <f>IF(BA94="","",IF(데이터입력!$O$68="",ROUND(AZ94/12,0),ROUND(데이터입력!$O$68/데이터입력!$Y$8/$BC$63,0)))</f>
        <v/>
      </c>
    </row>
    <row r="95" spans="1:54">
      <c r="A95" s="1047" t="str">
        <f>IF($AM$1=TRUE,IF(K95="","",SUBTOTAL(2,$K$3:K95)),IF(AND(M95="",N95=""),"",IF(N95="",COUNT($M$3:M95),COUNT($N$3:N95)+200)))</f>
        <v/>
      </c>
      <c r="B95" s="411" t="s">
        <v>54</v>
      </c>
      <c r="C95" s="411" t="s">
        <v>604</v>
      </c>
      <c r="D95" s="410">
        <v>501030201</v>
      </c>
      <c r="E95" s="410" t="s">
        <v>84</v>
      </c>
      <c r="F95" s="410" t="s">
        <v>81</v>
      </c>
      <c r="G95" s="412">
        <f>IFERROR(IF($E95="07",VLOOKUP($B95,예산실적비교표!$X$7:$Z$200,2,FALSE),0),0)</f>
        <v>0</v>
      </c>
      <c r="H95" s="412">
        <f>IFERROR(IF($E95="06",VLOOKUP($C95,세출예산서!$K$3:$X$304,12,FALSE),0),0)</f>
        <v>0</v>
      </c>
      <c r="I95" s="412">
        <f>IFERROR(IF($E95="07",VLOOKUP($C95,세출예산서!$K$3:$X$304,13,FALSE),0),0)</f>
        <v>0</v>
      </c>
      <c r="J95" s="412">
        <f>IFERROR(IF($E95="05",VLOOKUP($C95,세출예산서!$K$3:$X$304,14,FALSE),0),0)</f>
        <v>0</v>
      </c>
      <c r="K95" s="412" t="str">
        <f t="shared" si="15"/>
        <v/>
      </c>
      <c r="L95" s="413">
        <f>IFERROR(IF($AB$2="",0,ROUNDUP(VLOOKUP($B95,예산실적비교표!$X$7:$Z$200,3,FALSE)*$Y$7/$Y$10,-3)*$Y$8),0)</f>
        <v>0</v>
      </c>
      <c r="M95" s="708" t="str">
        <f>IF($AM$1=TRUE,IF(K95="","",IF(IF($AE$2="",IF(K95="","",SUBTOTAL(2,$K$3:K95)),IF(AND(G95&gt;=0,K95=""),"",IF(AND(G95&gt;0,OR(K95&gt;0,K95&lt;0)),SUBTOTAL(2,$K$3:K95),IF(AND(G95=0,OR(K95&gt;0,K95&lt;0)),SUBTOTAL(2,$K$3:K95)+200,""))))&gt;200,"",1)),IF(K95="","",IF(IF($AE$2="",IF(K95="","",SUBTOTAL(2,$K$3:K95)),IF(AND(G95&gt;=0,K95=""),"",IF(AND(G95&gt;0,OR(K95&gt;0,K95&lt;0)),SUBTOTAL(2,$K$3:K95),IF(AND(G95=0,OR(K95&gt;0,K95&lt;0)),SUBTOTAL(2,$K$3:K95)+200,""))))&gt;200,"",1)))</f>
        <v/>
      </c>
      <c r="N95" s="214" t="str">
        <f>IF($AM$1=TRUE,IF(K95="","",IF(IF($AE$2="",IF(K95="","",SUBTOTAL(2,$K$3:K95)),IF(AND(G95&gt;=0,K95=""),"",IF(AND(G95&gt;0,OR(K95&gt;0,K95&lt;0)),SUBTOTAL(2,$K$3:K95),IF(AND(G95=0,OR(K95&gt;0,K95&lt;0)),SUBTOTAL(2,$K$3:K95)+200,""))))&lt;=200,"",2)),IF(K95="","",IF(IF($AE$2="",IF(K95="","",SUBTOTAL(2,$K$3:K95)),IF(AND(G95&gt;=0,K95=""),"",IF(AND(G95&gt;0,OR(K95&gt;0,K95&lt;0)),SUBTOTAL(2,$K$3:K95),IF(AND(G95=0,OR(K95&gt;0,K95&lt;0)),SUBTOTAL(2,$K$3:K95)+200,""))))&lt;=200,"",2)))</f>
        <v/>
      </c>
      <c r="O95" s="562"/>
      <c r="P95" s="435">
        <f>Y21</f>
        <v>3912994</v>
      </c>
      <c r="Q95" s="565"/>
      <c r="R95" s="493" t="s">
        <v>71</v>
      </c>
      <c r="S95" s="494" t="s">
        <v>80</v>
      </c>
      <c r="T95" s="429">
        <f t="shared" si="27"/>
        <v>3912994</v>
      </c>
      <c r="U95" s="571"/>
      <c r="V95" s="495" t="s">
        <v>130</v>
      </c>
      <c r="X95" s="499" t="s">
        <v>201</v>
      </c>
      <c r="Y95" s="1406">
        <f t="shared" si="29"/>
        <v>4800000</v>
      </c>
      <c r="Z95" s="1412"/>
      <c r="AA95" s="1406">
        <f>보수일람표!$L$261</f>
        <v>4800000</v>
      </c>
      <c r="AB95" s="1407"/>
      <c r="AC95" s="1408">
        <f t="shared" si="30"/>
        <v>0</v>
      </c>
      <c r="AD95" s="1409"/>
      <c r="AE95" s="1410"/>
      <c r="AF95" s="1411"/>
      <c r="AP95" s="1182" t="str">
        <f>IF(예산실적비교표!AL95&lt;&gt;"",예산실적비교표!AL95,"")</f>
        <v/>
      </c>
      <c r="AQ95" s="1183" t="str">
        <f>IF(예산실적비교표!AM95&lt;&gt;"",예산실적비교표!AM95,"")</f>
        <v/>
      </c>
      <c r="AR95" s="1184">
        <f>IF(예산실적비교표!AN95&lt;&gt;"",예산실적비교표!AN95,0)</f>
        <v>0</v>
      </c>
      <c r="AS95" s="1185">
        <f>IF(예산실적비교표!AO95&lt;&gt;"",예산실적비교표!AO95,0)</f>
        <v>0</v>
      </c>
      <c r="AT95" s="1118">
        <f t="shared" si="23"/>
        <v>0</v>
      </c>
      <c r="AU95" s="1186">
        <f>IF(예산실적비교표!AQ95&lt;&gt;"",예산실적비교표!AQ95,0)</f>
        <v>0</v>
      </c>
      <c r="AV95" s="1120">
        <f t="shared" si="24"/>
        <v>0</v>
      </c>
      <c r="AW95" s="1121">
        <f>IF(AR95="",0,ROUND((AT95*$AT$7)*데이터입력!$AF$14+(AT95*$AU$7)*데이터입력!$AF$14+(AT95*$AU$7*$AV$7)*데이터입력!$AF$14+(AT95*$AW$7)*데이터입력!$AF$14+(AT95*$AX$7)*데이터입력!$AF$14,-1))</f>
        <v>0</v>
      </c>
      <c r="AX95" s="1122">
        <f t="shared" si="25"/>
        <v>0</v>
      </c>
      <c r="AY95" s="1123">
        <f>IFERROR(IF(AR95+AS95=0,0,ROUND(IF(데이터입력!$AF$14=100%,ROUND(AR95*$AR$1,-3),ROUND(AR95*$AR$1,-3)-ROUND(((AR95*$AR$1)*$AT$4)*(데이터입력!$AF$14-100%)+((AR95*$AR$1)*$AU$4)*(데이터입력!$AF$14-100%)+((AR95*$AR$1)*$AU$4*$AV$4)*(데이터입력!$AF$14-100%)+((AR95*$AR$1)*$AW$4)*(데이터입력!$AF$14-100%),-1)),0)),0)</f>
        <v>0</v>
      </c>
      <c r="AZ95" s="1124">
        <f>IFERROR(IF(AR95+AS95=0,0,IF(데이터입력!$AF$12=100%,(AT95),(AT95)+ROUND(AT95*(데이터입력!$AF$12-100%),-1))),0)</f>
        <v>0</v>
      </c>
      <c r="BA95" s="1265" t="str">
        <f t="shared" si="22"/>
        <v/>
      </c>
      <c r="BB95" s="1264" t="str">
        <f>IF(BA95="","",IF(데이터입력!$O$68="",ROUND(AZ95/12,0),ROUND(데이터입력!$O$68/데이터입력!$Y$8/$BC$63,0)))</f>
        <v/>
      </c>
    </row>
    <row r="96" spans="1:54">
      <c r="A96" s="1047" t="str">
        <f>IF($AM$1=TRUE,IF(K96="","",SUBTOTAL(2,$K$3:K96)),IF(AND(M96="",N96=""),"",IF(N96="",COUNT($M$3:M96),COUNT($N$3:N96)+200)))</f>
        <v/>
      </c>
      <c r="B96" s="411" t="str">
        <f>R115</f>
        <v>공공요금 및 각종 세금공과금</v>
      </c>
      <c r="C96" s="411" t="str">
        <f>B96&amp;"(보조금)"</f>
        <v>공공요금 및 각종 세금공과금(보조금)</v>
      </c>
      <c r="D96" s="410">
        <v>501030301</v>
      </c>
      <c r="E96" s="410" t="s">
        <v>84</v>
      </c>
      <c r="F96" s="410" t="s">
        <v>81</v>
      </c>
      <c r="G96" s="412">
        <f>IFERROR(IF($E96="07",VLOOKUP($B96,예산실적비교표!$X$7:$Z$200,2,FALSE),0),0)</f>
        <v>0</v>
      </c>
      <c r="H96" s="412">
        <f>IFERROR(IF($E96="06",VLOOKUP($C96,세출예산서!$K$3:$X$304,12,FALSE),0),0)</f>
        <v>0</v>
      </c>
      <c r="I96" s="412">
        <f>IFERROR(IF($E96="07",VLOOKUP($C96,세출예산서!$K$3:$X$304,13,FALSE),0),0)</f>
        <v>0</v>
      </c>
      <c r="J96" s="412">
        <f>IFERROR(IF($E96="05",VLOOKUP($C96,세출예산서!$K$3:$X$304,14,FALSE),0),0)</f>
        <v>0</v>
      </c>
      <c r="K96" s="412" t="str">
        <f t="shared" si="15"/>
        <v/>
      </c>
      <c r="L96" s="413">
        <f>IFERROR(IF($AB$2="",0,ROUNDUP(VLOOKUP($B96,예산실적비교표!$X$7:$Z$200,3,FALSE)*$Y$7/$Y$10,-3)*$Y$8),0)</f>
        <v>0</v>
      </c>
      <c r="M96" s="708" t="str">
        <f>IF($AM$1=TRUE,IF(K96="","",IF(IF($AE$2="",IF(K96="","",SUBTOTAL(2,$K$3:K96)),IF(AND(G96&gt;=0,K96=""),"",IF(AND(G96&gt;0,OR(K96&gt;0,K96&lt;0)),SUBTOTAL(2,$K$3:K96),IF(AND(G96=0,OR(K96&gt;0,K96&lt;0)),SUBTOTAL(2,$K$3:K96)+200,""))))&gt;200,"",1)),IF(K96="","",IF(IF($AE$2="",IF(K96="","",SUBTOTAL(2,$K$3:K96)),IF(AND(G96&gt;=0,K96=""),"",IF(AND(G96&gt;0,OR(K96&gt;0,K96&lt;0)),SUBTOTAL(2,$K$3:K96),IF(AND(G96=0,OR(K96&gt;0,K96&lt;0)),SUBTOTAL(2,$K$3:K96)+200,""))))&gt;200,"",1)))</f>
        <v/>
      </c>
      <c r="N96" s="214" t="str">
        <f>IF($AM$1=TRUE,IF(K96="","",IF(IF($AE$2="",IF(K96="","",SUBTOTAL(2,$K$3:K96)),IF(AND(G96&gt;=0,K96=""),"",IF(AND(G96&gt;0,OR(K96&gt;0,K96&lt;0)),SUBTOTAL(2,$K$3:K96),IF(AND(G96=0,OR(K96&gt;0,K96&lt;0)),SUBTOTAL(2,$K$3:K96)+200,""))))&lt;=200,"",2)),IF(K96="","",IF(IF($AE$2="",IF(K96="","",SUBTOTAL(2,$K$3:K96)),IF(AND(G96&gt;=0,K96=""),"",IF(AND(G96&gt;0,OR(K96&gt;0,K96&lt;0)),SUBTOTAL(2,$K$3:K96),IF(AND(G96=0,OR(K96&gt;0,K96&lt;0)),SUBTOTAL(2,$K$3:K96)+200,""))))&lt;=200,"",2)))</f>
        <v/>
      </c>
      <c r="O96" s="562"/>
      <c r="P96" s="435">
        <f>Y22</f>
        <v>0</v>
      </c>
      <c r="Q96" s="565"/>
      <c r="R96" s="493" t="s">
        <v>72</v>
      </c>
      <c r="S96" s="494" t="s">
        <v>80</v>
      </c>
      <c r="T96" s="429">
        <f t="shared" si="27"/>
        <v>0</v>
      </c>
      <c r="U96" s="571"/>
      <c r="V96" s="495" t="s">
        <v>146</v>
      </c>
      <c r="X96" s="499" t="s">
        <v>202</v>
      </c>
      <c r="Y96" s="1406">
        <f t="shared" si="29"/>
        <v>13276370</v>
      </c>
      <c r="Z96" s="1412"/>
      <c r="AA96" s="1406">
        <f>보수일람표!$M$262</f>
        <v>13276370</v>
      </c>
      <c r="AB96" s="1407"/>
      <c r="AC96" s="1408">
        <f t="shared" si="30"/>
        <v>0</v>
      </c>
      <c r="AD96" s="1409"/>
      <c r="AE96" s="1410">
        <v>50</v>
      </c>
      <c r="AF96" s="1411"/>
      <c r="AP96" s="1182" t="str">
        <f>IF(예산실적비교표!AL96&lt;&gt;"",예산실적비교표!AL96,"")</f>
        <v/>
      </c>
      <c r="AQ96" s="1183" t="str">
        <f>IF(예산실적비교표!AM96&lt;&gt;"",예산실적비교표!AM96,"")</f>
        <v/>
      </c>
      <c r="AR96" s="1184">
        <f>IF(예산실적비교표!AN96&lt;&gt;"",예산실적비교표!AN96,0)</f>
        <v>0</v>
      </c>
      <c r="AS96" s="1185">
        <f>IF(예산실적비교표!AO96&lt;&gt;"",예산실적비교표!AO96,0)</f>
        <v>0</v>
      </c>
      <c r="AT96" s="1118">
        <f t="shared" si="23"/>
        <v>0</v>
      </c>
      <c r="AU96" s="1186">
        <f>IF(예산실적비교표!AQ96&lt;&gt;"",예산실적비교표!AQ96,0)</f>
        <v>0</v>
      </c>
      <c r="AV96" s="1120">
        <f t="shared" si="24"/>
        <v>0</v>
      </c>
      <c r="AW96" s="1121">
        <f>IF(AR96="",0,ROUND((AT96*$AT$7)*데이터입력!$AF$14+(AT96*$AU$7)*데이터입력!$AF$14+(AT96*$AU$7*$AV$7)*데이터입력!$AF$14+(AT96*$AW$7)*데이터입력!$AF$14+(AT96*$AX$7)*데이터입력!$AF$14,-1))</f>
        <v>0</v>
      </c>
      <c r="AX96" s="1122">
        <f t="shared" si="25"/>
        <v>0</v>
      </c>
      <c r="AY96" s="1123">
        <f>IFERROR(IF(AR96+AS96=0,0,ROUND(IF(데이터입력!$AF$14=100%,ROUND(AR96*$AR$1,-3),ROUND(AR96*$AR$1,-3)-ROUND(((AR96*$AR$1)*$AT$4)*(데이터입력!$AF$14-100%)+((AR96*$AR$1)*$AU$4)*(데이터입력!$AF$14-100%)+((AR96*$AR$1)*$AU$4*$AV$4)*(데이터입력!$AF$14-100%)+((AR96*$AR$1)*$AW$4)*(데이터입력!$AF$14-100%),-1)),0)),0)</f>
        <v>0</v>
      </c>
      <c r="AZ96" s="1124">
        <f>IFERROR(IF(AR96+AS96=0,0,IF(데이터입력!$AF$12=100%,(AT96),(AT96)+ROUND(AT96*(데이터입력!$AF$12-100%),-1))),0)</f>
        <v>0</v>
      </c>
      <c r="BA96" s="1265" t="str">
        <f t="shared" si="22"/>
        <v/>
      </c>
      <c r="BB96" s="1264" t="str">
        <f>IF(BA96="","",IF(데이터입력!$O$68="",ROUND(AZ96/12,0),ROUND(데이터입력!$O$68/데이터입력!$Y$8/$BC$63,0)))</f>
        <v/>
      </c>
    </row>
    <row r="97" spans="1:54" ht="17.25" thickBot="1">
      <c r="A97" s="1047" t="str">
        <f>IF($AM$1=TRUE,IF(K97="","",SUBTOTAL(2,$K$3:K97)),IF(AND(M97="",N97=""),"",IF(N97="",COUNT($M$3:M97),COUNT($N$3:N97)+200)))</f>
        <v/>
      </c>
      <c r="B97" s="411" t="s">
        <v>55</v>
      </c>
      <c r="C97" s="411" t="s">
        <v>605</v>
      </c>
      <c r="D97" s="410">
        <v>501030501</v>
      </c>
      <c r="E97" s="410" t="s">
        <v>84</v>
      </c>
      <c r="F97" s="410" t="s">
        <v>81</v>
      </c>
      <c r="G97" s="412">
        <f>IFERROR(IF($E97="07",VLOOKUP($B97,예산실적비교표!$X$7:$Z$200,2,FALSE),0),0)</f>
        <v>0</v>
      </c>
      <c r="H97" s="412">
        <f>IFERROR(IF($E97="06",VLOOKUP($C97,세출예산서!$K$3:$X$304,12,FALSE),0),0)</f>
        <v>0</v>
      </c>
      <c r="I97" s="412">
        <f>IFERROR(IF($E97="07",VLOOKUP($C97,세출예산서!$K$3:$X$304,13,FALSE),0),0)</f>
        <v>0</v>
      </c>
      <c r="J97" s="412">
        <f>IFERROR(IF($E97="05",VLOOKUP($C97,세출예산서!$K$3:$X$304,14,FALSE),0),0)</f>
        <v>0</v>
      </c>
      <c r="K97" s="412" t="str">
        <f t="shared" si="15"/>
        <v/>
      </c>
      <c r="L97" s="413">
        <f>IFERROR(IF($AB$2="",0,ROUNDUP(VLOOKUP($B97,예산실적비교표!$X$7:$Z$200,3,FALSE)*$Y$7/$Y$10,-3)*$Y$8),0)</f>
        <v>0</v>
      </c>
      <c r="M97" s="708" t="str">
        <f>IF($AM$1=TRUE,IF(K97="","",IF(IF($AE$2="",IF(K97="","",SUBTOTAL(2,$K$3:K97)),IF(AND(G97&gt;=0,K97=""),"",IF(AND(G97&gt;0,OR(K97&gt;0,K97&lt;0)),SUBTOTAL(2,$K$3:K97),IF(AND(G97=0,OR(K97&gt;0,K97&lt;0)),SUBTOTAL(2,$K$3:K97)+200,""))))&gt;200,"",1)),IF(K97="","",IF(IF($AE$2="",IF(K97="","",SUBTOTAL(2,$K$3:K97)),IF(AND(G97&gt;=0,K97=""),"",IF(AND(G97&gt;0,OR(K97&gt;0,K97&lt;0)),SUBTOTAL(2,$K$3:K97),IF(AND(G97=0,OR(K97&gt;0,K97&lt;0)),SUBTOTAL(2,$K$3:K97)+200,""))))&gt;200,"",1)))</f>
        <v/>
      </c>
      <c r="N97" s="214" t="str">
        <f>IF($AM$1=TRUE,IF(K97="","",IF(IF($AE$2="",IF(K97="","",SUBTOTAL(2,$K$3:K97)),IF(AND(G97&gt;=0,K97=""),"",IF(AND(G97&gt;0,OR(K97&gt;0,K97&lt;0)),SUBTOTAL(2,$K$3:K97),IF(AND(G97=0,OR(K97&gt;0,K97&lt;0)),SUBTOTAL(2,$K$3:K97)+200,""))))&lt;=200,"",2)),IF(K97="","",IF(IF($AE$2="",IF(K97="","",SUBTOTAL(2,$K$3:K97)),IF(AND(G97&gt;=0,K97=""),"",IF(AND(G97&gt;0,OR(K97&gt;0,K97&lt;0)),SUBTOTAL(2,$K$3:K97),IF(AND(G97=0,OR(K97&gt;0,K97&lt;0)),SUBTOTAL(2,$K$3:K97)+200,""))))&lt;=200,"",2)))</f>
        <v/>
      </c>
      <c r="O97" s="562"/>
      <c r="P97" s="435">
        <f>IFERROR(IF($AE$2="추경",IF(VLOOKUP(R97,$B$42:$L$80,6,FALSE)&gt;=VLOOKUP(R97,$B$42:$L$80,11,FALSE),VLOOKUP(R97,$B$42:$L$80,6,FALSE),VLOOKUP(R97,예산평균!$B:$D,3,FALSE)),IF(VLOOKUP(R97,$B$42:$L$80,11,FALSE)&gt;0,IF(VLOOKUP(R97,$B$42:$L$80,6,FALSE)&gt;=VLOOKUP(R97,$B$42:$L$80,11,FALSE),VLOOKUP(R97,$B$42:$L$80,6,FALSE),ROUNDUP(VLOOKUP(R97,$B$42:$L$80,11,FALSE)/U97,0)*U97),VLOOKUP(R97,예산평균!$B:$D,3,FALSE))),0)</f>
        <v>0</v>
      </c>
      <c r="Q97" s="565"/>
      <c r="R97" s="493" t="s">
        <v>73</v>
      </c>
      <c r="S97" s="494" t="s">
        <v>80</v>
      </c>
      <c r="T97" s="429">
        <f t="shared" si="27"/>
        <v>0</v>
      </c>
      <c r="U97" s="569">
        <v>1</v>
      </c>
      <c r="V97" s="495" t="s">
        <v>428</v>
      </c>
      <c r="X97" s="500" t="s">
        <v>203</v>
      </c>
      <c r="Y97" s="1406">
        <f t="shared" si="29"/>
        <v>8434220</v>
      </c>
      <c r="Z97" s="1412"/>
      <c r="AA97" s="1406">
        <f>보수일람표!$M$261</f>
        <v>8434220</v>
      </c>
      <c r="AB97" s="1407"/>
      <c r="AC97" s="1408">
        <f t="shared" si="30"/>
        <v>0</v>
      </c>
      <c r="AD97" s="1409"/>
      <c r="AE97" s="1410">
        <v>-100</v>
      </c>
      <c r="AF97" s="1411"/>
      <c r="AP97" s="1182" t="str">
        <f>IF(예산실적비교표!AL97&lt;&gt;"",예산실적비교표!AL97,"")</f>
        <v/>
      </c>
      <c r="AQ97" s="1183" t="str">
        <f>IF(예산실적비교표!AM97&lt;&gt;"",예산실적비교표!AM97,"")</f>
        <v/>
      </c>
      <c r="AR97" s="1184">
        <f>IF(예산실적비교표!AN97&lt;&gt;"",예산실적비교표!AN97,0)</f>
        <v>0</v>
      </c>
      <c r="AS97" s="1185">
        <f>IF(예산실적비교표!AO97&lt;&gt;"",예산실적비교표!AO97,0)</f>
        <v>0</v>
      </c>
      <c r="AT97" s="1118">
        <f t="shared" si="23"/>
        <v>0</v>
      </c>
      <c r="AU97" s="1186">
        <f>IF(예산실적비교표!AQ97&lt;&gt;"",예산실적비교표!AQ97,0)</f>
        <v>0</v>
      </c>
      <c r="AV97" s="1120">
        <f t="shared" si="24"/>
        <v>0</v>
      </c>
      <c r="AW97" s="1121">
        <f>IF(AR97="",0,ROUND((AT97*$AT$7)*데이터입력!$AF$14+(AT97*$AU$7)*데이터입력!$AF$14+(AT97*$AU$7*$AV$7)*데이터입력!$AF$14+(AT97*$AW$7)*데이터입력!$AF$14+(AT97*$AX$7)*데이터입력!$AF$14,-1))</f>
        <v>0</v>
      </c>
      <c r="AX97" s="1122">
        <f t="shared" si="25"/>
        <v>0</v>
      </c>
      <c r="AY97" s="1123">
        <f>IFERROR(IF(AR97+AS97=0,0,ROUND(IF(데이터입력!$AF$14=100%,ROUND(AR97*$AR$1,-3),ROUND(AR97*$AR$1,-3)-ROUND(((AR97*$AR$1)*$AT$4)*(데이터입력!$AF$14-100%)+((AR97*$AR$1)*$AU$4)*(데이터입력!$AF$14-100%)+((AR97*$AR$1)*$AU$4*$AV$4)*(데이터입력!$AF$14-100%)+((AR97*$AR$1)*$AW$4)*(데이터입력!$AF$14-100%),-1)),0)),0)</f>
        <v>0</v>
      </c>
      <c r="AZ97" s="1124">
        <f>IFERROR(IF(AR97+AS97=0,0,IF(데이터입력!$AF$12=100%,(AT97),(AT97)+ROUND(AT97*(데이터입력!$AF$12-100%),-1))),0)</f>
        <v>0</v>
      </c>
      <c r="BA97" s="1265" t="str">
        <f t="shared" si="22"/>
        <v/>
      </c>
      <c r="BB97" s="1264" t="str">
        <f>IF(BA97="","",IF(데이터입력!$O$68="",ROUND(AZ97/12,0),ROUND(데이터입력!$O$68/데이터입력!$Y$8/$BC$63,0)))</f>
        <v/>
      </c>
    </row>
    <row r="98" spans="1:54" ht="17.25" thickBot="1">
      <c r="A98" s="1047" t="str">
        <f>IF($AM$1=TRUE,IF(K98="","",SUBTOTAL(2,$K$3:K98)),IF(AND(M98="",N98=""),"",IF(N98="",COUNT($M$3:M98),COUNT($N$3:N98)+200)))</f>
        <v/>
      </c>
      <c r="B98" s="411" t="s">
        <v>56</v>
      </c>
      <c r="C98" s="411" t="s">
        <v>606</v>
      </c>
      <c r="D98" s="410">
        <v>501030601</v>
      </c>
      <c r="E98" s="410" t="s">
        <v>84</v>
      </c>
      <c r="F98" s="410" t="s">
        <v>81</v>
      </c>
      <c r="G98" s="412">
        <f>IFERROR(IF($E98="07",VLOOKUP($B98,예산실적비교표!$X$7:$Z$200,2,FALSE),0),0)</f>
        <v>0</v>
      </c>
      <c r="H98" s="412">
        <f>IFERROR(IF($E98="06",VLOOKUP($C98,세출예산서!$K$3:$X$304,12,FALSE),0),0)</f>
        <v>0</v>
      </c>
      <c r="I98" s="412">
        <f>IFERROR(IF($E98="07",VLOOKUP($C98,세출예산서!$K$3:$X$304,13,FALSE),0),0)</f>
        <v>0</v>
      </c>
      <c r="J98" s="412">
        <f>IFERROR(IF($E98="05",VLOOKUP($C98,세출예산서!$K$3:$X$304,14,FALSE),0),0)</f>
        <v>0</v>
      </c>
      <c r="K98" s="412" t="str">
        <f t="shared" si="15"/>
        <v/>
      </c>
      <c r="L98" s="413">
        <f>IFERROR(IF($AB$2="",0,ROUNDUP(VLOOKUP($B98,예산실적비교표!$X$7:$Z$200,3,FALSE)*$Y$7/$Y$10,-3)*$Y$8),0)</f>
        <v>0</v>
      </c>
      <c r="M98" s="708" t="str">
        <f>IF($AM$1=TRUE,IF(K98="","",IF(IF($AE$2="",IF(K98="","",SUBTOTAL(2,$K$3:K98)),IF(AND(G98&gt;=0,K98=""),"",IF(AND(G98&gt;0,OR(K98&gt;0,K98&lt;0)),SUBTOTAL(2,$K$3:K98),IF(AND(G98=0,OR(K98&gt;0,K98&lt;0)),SUBTOTAL(2,$K$3:K98)+200,""))))&gt;200,"",1)),IF(K98="","",IF(IF($AE$2="",IF(K98="","",SUBTOTAL(2,$K$3:K98)),IF(AND(G98&gt;=0,K98=""),"",IF(AND(G98&gt;0,OR(K98&gt;0,K98&lt;0)),SUBTOTAL(2,$K$3:K98),IF(AND(G98=0,OR(K98&gt;0,K98&lt;0)),SUBTOTAL(2,$K$3:K98)+200,""))))&gt;200,"",1)))</f>
        <v/>
      </c>
      <c r="N98" s="214" t="str">
        <f>IF($AM$1=TRUE,IF(K98="","",IF(IF($AE$2="",IF(K98="","",SUBTOTAL(2,$K$3:K98)),IF(AND(G98&gt;=0,K98=""),"",IF(AND(G98&gt;0,OR(K98&gt;0,K98&lt;0)),SUBTOTAL(2,$K$3:K98),IF(AND(G98=0,OR(K98&gt;0,K98&lt;0)),SUBTOTAL(2,$K$3:K98)+200,""))))&lt;=200,"",2)),IF(K98="","",IF(IF($AE$2="",IF(K98="","",SUBTOTAL(2,$K$3:K98)),IF(AND(G98&gt;=0,K98=""),"",IF(AND(G98&gt;0,OR(K98&gt;0,K98&lt;0)),SUBTOTAL(2,$K$3:K98),IF(AND(G98=0,OR(K98&gt;0,K98&lt;0)),SUBTOTAL(2,$K$3:K98)+200,""))))&lt;=200,"",2)))</f>
        <v/>
      </c>
      <c r="O98" s="561"/>
      <c r="P98" s="435">
        <f>IFERROR(IF($AE$2="추경",IF(VLOOKUP(R98,$B$42:$L$80,6,FALSE)&gt;=VLOOKUP(R98,$B$42:$L$80,11,FALSE),VLOOKUP(R98,$B$42:$L$80,6,FALSE),VLOOKUP(R98,예산평균!$B:$D,3,FALSE)),IF(VLOOKUP(R98,$B$42:$L$80,11,FALSE)&gt;0,IF(VLOOKUP(R98,$B$42:$L$80,6,FALSE)&gt;=VLOOKUP(R98,$B$42:$L$80,11,FALSE),VLOOKUP(R98,$B$42:$L$80,6,FALSE),ROUNDUP(VLOOKUP(R98,$B$42:$L$80,11,FALSE)/U98,-4)*U98),VLOOKUP(R98,예산평균!$B:$D,3,FALSE))),0)</f>
        <v>0</v>
      </c>
      <c r="Q98" s="566">
        <v>0</v>
      </c>
      <c r="R98" s="493" t="s">
        <v>3</v>
      </c>
      <c r="S98" s="494" t="s">
        <v>80</v>
      </c>
      <c r="T98" s="429">
        <f t="shared" si="27"/>
        <v>0</v>
      </c>
      <c r="U98" s="569">
        <f t="shared" ref="U98:U121" si="31">IF(Q98=0,$Y$8,Q98)</f>
        <v>12</v>
      </c>
      <c r="V98" s="431" t="s">
        <v>127</v>
      </c>
      <c r="X98" s="501"/>
      <c r="Y98" s="502"/>
      <c r="Z98" s="502"/>
      <c r="AA98" s="502"/>
      <c r="AB98" s="502"/>
      <c r="AC98" s="502"/>
      <c r="AD98" s="502"/>
      <c r="AE98" s="502"/>
      <c r="AF98" s="503"/>
      <c r="AP98" s="1182" t="str">
        <f>IF(예산실적비교표!AL98&lt;&gt;"",예산실적비교표!AL98,"")</f>
        <v/>
      </c>
      <c r="AQ98" s="1183" t="str">
        <f>IF(예산실적비교표!AM98&lt;&gt;"",예산실적비교표!AM98,"")</f>
        <v/>
      </c>
      <c r="AR98" s="1184">
        <f>IF(예산실적비교표!AN98&lt;&gt;"",예산실적비교표!AN98,0)</f>
        <v>0</v>
      </c>
      <c r="AS98" s="1185">
        <f>IF(예산실적비교표!AO98&lt;&gt;"",예산실적비교표!AO98,0)</f>
        <v>0</v>
      </c>
      <c r="AT98" s="1118">
        <f t="shared" si="23"/>
        <v>0</v>
      </c>
      <c r="AU98" s="1186">
        <f>IF(예산실적비교표!AQ98&lt;&gt;"",예산실적비교표!AQ98,0)</f>
        <v>0</v>
      </c>
      <c r="AV98" s="1120">
        <f t="shared" si="24"/>
        <v>0</v>
      </c>
      <c r="AW98" s="1121">
        <f>IF(AR98="",0,ROUND((AT98*$AT$7)*데이터입력!$AF$14+(AT98*$AU$7)*데이터입력!$AF$14+(AT98*$AU$7*$AV$7)*데이터입력!$AF$14+(AT98*$AW$7)*데이터입력!$AF$14+(AT98*$AX$7)*데이터입력!$AF$14,-1))</f>
        <v>0</v>
      </c>
      <c r="AX98" s="1122">
        <f t="shared" si="25"/>
        <v>0</v>
      </c>
      <c r="AY98" s="1123">
        <f>IFERROR(IF(AR98+AS98=0,0,ROUND(IF(데이터입력!$AF$14=100%,ROUND(AR98*$AR$1,-3),ROUND(AR98*$AR$1,-3)-ROUND(((AR98*$AR$1)*$AT$4)*(데이터입력!$AF$14-100%)+((AR98*$AR$1)*$AU$4)*(데이터입력!$AF$14-100%)+((AR98*$AR$1)*$AU$4*$AV$4)*(데이터입력!$AF$14-100%)+((AR98*$AR$1)*$AW$4)*(데이터입력!$AF$14-100%),-1)),0)),0)</f>
        <v>0</v>
      </c>
      <c r="AZ98" s="1124">
        <f>IFERROR(IF(AR98+AS98=0,0,IF(데이터입력!$AF$12=100%,(AT98),(AT98)+ROUND(AT98*(데이터입력!$AF$12-100%),-1))),0)</f>
        <v>0</v>
      </c>
      <c r="BA98" s="1265" t="str">
        <f t="shared" si="22"/>
        <v/>
      </c>
      <c r="BB98" s="1264" t="str">
        <f>IF(BA98="","",IF(데이터입력!$O$68="",ROUND(AZ98/12,0),ROUND(데이터입력!$O$68/데이터입력!$Y$8/$BC$63,0)))</f>
        <v/>
      </c>
    </row>
    <row r="99" spans="1:54" ht="17.25" thickBot="1">
      <c r="A99" s="1047" t="str">
        <f>IF($AM$1=TRUE,IF(K99="","",SUBTOTAL(2,$K$3:K99)),IF(AND(M99="",N99=""),"",IF(N99="",COUNT($M$3:M99),COUNT($N$3:N99)+200)))</f>
        <v/>
      </c>
      <c r="B99" s="411" t="s">
        <v>57</v>
      </c>
      <c r="C99" s="411" t="s">
        <v>607</v>
      </c>
      <c r="D99" s="410">
        <v>501030701</v>
      </c>
      <c r="E99" s="410" t="s">
        <v>84</v>
      </c>
      <c r="F99" s="410" t="s">
        <v>81</v>
      </c>
      <c r="G99" s="412">
        <f>IFERROR(IF($E99="07",VLOOKUP($B99,예산실적비교표!$X$7:$Z$200,2,FALSE),0),0)</f>
        <v>0</v>
      </c>
      <c r="H99" s="412">
        <f>IFERROR(IF($E99="06",VLOOKUP($C99,세출예산서!$K$3:$X$304,12,FALSE),0),0)</f>
        <v>0</v>
      </c>
      <c r="I99" s="412">
        <f>IFERROR(IF($E99="07",VLOOKUP($C99,세출예산서!$K$3:$X$304,13,FALSE),0),0)</f>
        <v>0</v>
      </c>
      <c r="J99" s="412">
        <f>IFERROR(IF($E99="05",VLOOKUP($C99,세출예산서!$K$3:$X$304,14,FALSE),0),0)</f>
        <v>0</v>
      </c>
      <c r="K99" s="412" t="str">
        <f t="shared" si="15"/>
        <v/>
      </c>
      <c r="L99" s="413">
        <f>IFERROR(IF($AB$2="",0,ROUNDUP(VLOOKUP($B99,예산실적비교표!$X$7:$Z$200,3,FALSE)*$Y$7/$Y$10,-3)*$Y$8),0)</f>
        <v>0</v>
      </c>
      <c r="M99" s="708" t="str">
        <f>IF($AM$1=TRUE,IF(K99="","",IF(IF($AE$2="",IF(K99="","",SUBTOTAL(2,$K$3:K99)),IF(AND(G99&gt;=0,K99=""),"",IF(AND(G99&gt;0,OR(K99&gt;0,K99&lt;0)),SUBTOTAL(2,$K$3:K99),IF(AND(G99=0,OR(K99&gt;0,K99&lt;0)),SUBTOTAL(2,$K$3:K99)+200,""))))&gt;200,"",1)),IF(K99="","",IF(IF($AE$2="",IF(K99="","",SUBTOTAL(2,$K$3:K99)),IF(AND(G99&gt;=0,K99=""),"",IF(AND(G99&gt;0,OR(K99&gt;0,K99&lt;0)),SUBTOTAL(2,$K$3:K99),IF(AND(G99=0,OR(K99&gt;0,K99&lt;0)),SUBTOTAL(2,$K$3:K99)+200,""))))&gt;200,"",1)))</f>
        <v/>
      </c>
      <c r="N99" s="214" t="str">
        <f>IF($AM$1=TRUE,IF(K99="","",IF(IF($AE$2="",IF(K99="","",SUBTOTAL(2,$K$3:K99)),IF(AND(G99&gt;=0,K99=""),"",IF(AND(G99&gt;0,OR(K99&gt;0,K99&lt;0)),SUBTOTAL(2,$K$3:K99),IF(AND(G99=0,OR(K99&gt;0,K99&lt;0)),SUBTOTAL(2,$K$3:K99)+200,""))))&lt;=200,"",2)),IF(K99="","",IF(IF($AE$2="",IF(K99="","",SUBTOTAL(2,$K$3:K99)),IF(AND(G99&gt;=0,K99=""),"",IF(AND(G99&gt;0,OR(K99&gt;0,K99&lt;0)),SUBTOTAL(2,$K$3:K99),IF(AND(G99=0,OR(K99&gt;0,K99&lt;0)),SUBTOTAL(2,$K$3:K99)+200,""))))&lt;=200,"",2)))</f>
        <v/>
      </c>
      <c r="O99" s="563"/>
      <c r="P99" s="435">
        <f>IFERROR(IF($AE$2="추경",IF(VLOOKUP(R99,$B$42:$L$80,6,FALSE)&gt;=VLOOKUP(R99,$B$42:$L$80,11,FALSE),VLOOKUP(R99,$B$42:$L$80,6,FALSE),VLOOKUP(R99,예산평균!$B:$D,3,FALSE)),IF(VLOOKUP(R99,$B$42:$L$80,11,FALSE)&gt;0,IF(VLOOKUP(R99,$B$42:$L$80,6,FALSE)&gt;=VLOOKUP(R99,$B$42:$L$80,11,FALSE),VLOOKUP(R99,$B$42:$L$80,6,FALSE),ROUNDUP(VLOOKUP(R99,$B$42:$L$80,11,FALSE)/U99,-4)*U99),VLOOKUP(R99,예산평균!$B:$D,3,FALSE))),0)</f>
        <v>0</v>
      </c>
      <c r="Q99" s="567">
        <v>0</v>
      </c>
      <c r="R99" s="508" t="s">
        <v>74</v>
      </c>
      <c r="S99" s="509" t="s">
        <v>80</v>
      </c>
      <c r="T99" s="510">
        <f t="shared" si="27"/>
        <v>0</v>
      </c>
      <c r="U99" s="572">
        <f t="shared" si="31"/>
        <v>12</v>
      </c>
      <c r="V99" s="476" t="s">
        <v>127</v>
      </c>
      <c r="X99" s="504" t="s">
        <v>204</v>
      </c>
      <c r="Y99" s="1417" t="s">
        <v>205</v>
      </c>
      <c r="Z99" s="1418"/>
      <c r="AA99" s="1417" t="s">
        <v>206</v>
      </c>
      <c r="AB99" s="1419"/>
      <c r="AC99" s="1420" t="s">
        <v>207</v>
      </c>
      <c r="AD99" s="1421"/>
      <c r="AE99" s="1420" t="s">
        <v>208</v>
      </c>
      <c r="AF99" s="1421"/>
      <c r="AP99" s="1182" t="str">
        <f>IF(예산실적비교표!AL99&lt;&gt;"",예산실적비교표!AL99,"")</f>
        <v/>
      </c>
      <c r="AQ99" s="1183" t="str">
        <f>IF(예산실적비교표!AM99&lt;&gt;"",예산실적비교표!AM99,"")</f>
        <v/>
      </c>
      <c r="AR99" s="1184">
        <f>IF(예산실적비교표!AN99&lt;&gt;"",예산실적비교표!AN99,0)</f>
        <v>0</v>
      </c>
      <c r="AS99" s="1185">
        <f>IF(예산실적비교표!AO99&lt;&gt;"",예산실적비교표!AO99,0)</f>
        <v>0</v>
      </c>
      <c r="AT99" s="1118">
        <f t="shared" si="23"/>
        <v>0</v>
      </c>
      <c r="AU99" s="1186">
        <f>IF(예산실적비교표!AQ99&lt;&gt;"",예산실적비교표!AQ99,0)</f>
        <v>0</v>
      </c>
      <c r="AV99" s="1120">
        <f t="shared" si="24"/>
        <v>0</v>
      </c>
      <c r="AW99" s="1121">
        <f>IF(AR99="",0,ROUND((AT99*$AT$7)*데이터입력!$AF$14+(AT99*$AU$7)*데이터입력!$AF$14+(AT99*$AU$7*$AV$7)*데이터입력!$AF$14+(AT99*$AW$7)*데이터입력!$AF$14+(AT99*$AX$7)*데이터입력!$AF$14,-1))</f>
        <v>0</v>
      </c>
      <c r="AX99" s="1122">
        <f t="shared" si="25"/>
        <v>0</v>
      </c>
      <c r="AY99" s="1123">
        <f>IFERROR(IF(AR99+AS99=0,0,ROUND(IF(데이터입력!$AF$14=100%,ROUND(AR99*$AR$1,-3),ROUND(AR99*$AR$1,-3)-ROUND(((AR99*$AR$1)*$AT$4)*(데이터입력!$AF$14-100%)+((AR99*$AR$1)*$AU$4)*(데이터입력!$AF$14-100%)+((AR99*$AR$1)*$AU$4*$AV$4)*(데이터입력!$AF$14-100%)+((AR99*$AR$1)*$AW$4)*(데이터입력!$AF$14-100%),-1)),0)),0)</f>
        <v>0</v>
      </c>
      <c r="AZ99" s="1124">
        <f>IFERROR(IF(AR99+AS99=0,0,IF(데이터입력!$AF$12=100%,(AT99),(AT99)+ROUND(AT99*(데이터입력!$AF$12-100%),-1))),0)</f>
        <v>0</v>
      </c>
      <c r="BA99" s="1265" t="str">
        <f t="shared" si="22"/>
        <v/>
      </c>
      <c r="BB99" s="1264" t="str">
        <f>IF(BA99="","",IF(데이터입력!$O$68="",ROUND(AZ99/12,0),ROUND(데이터입력!$O$68/데이터입력!$Y$8/$BC$63,0)))</f>
        <v/>
      </c>
    </row>
    <row r="100" spans="1:54">
      <c r="A100" s="1047" t="str">
        <f>IF($AM$1=TRUE,IF(K100="","",SUBTOTAL(2,$K$3:K100)),IF(AND(M100="",N100=""),"",IF(N100="",COUNT($M$3:M100),COUNT($N$3:N100)+200)))</f>
        <v/>
      </c>
      <c r="B100" s="411" t="s">
        <v>58</v>
      </c>
      <c r="C100" s="411" t="s">
        <v>608</v>
      </c>
      <c r="D100" s="410">
        <v>502010101</v>
      </c>
      <c r="E100" s="410" t="s">
        <v>84</v>
      </c>
      <c r="F100" s="410" t="s">
        <v>81</v>
      </c>
      <c r="G100" s="412">
        <f>IFERROR(IF($E100="07",VLOOKUP($B100,예산실적비교표!$X$7:$Z$200,2,FALSE),0),0)</f>
        <v>0</v>
      </c>
      <c r="H100" s="412">
        <f>IFERROR(IF($E100="06",VLOOKUP($C100,세출예산서!$K$3:$X$304,12,FALSE),0),0)</f>
        <v>0</v>
      </c>
      <c r="I100" s="412">
        <f>IFERROR(IF($E100="07",VLOOKUP($C100,세출예산서!$K$3:$X$304,13,FALSE),0),0)</f>
        <v>0</v>
      </c>
      <c r="J100" s="412">
        <f>IFERROR(IF($E100="05",VLOOKUP($C100,세출예산서!$K$3:$X$304,14,FALSE),0),0)</f>
        <v>0</v>
      </c>
      <c r="K100" s="412" t="str">
        <f t="shared" si="15"/>
        <v/>
      </c>
      <c r="L100" s="413">
        <f>IFERROR(IF($AB$2="",0,ROUNDUP(VLOOKUP($B100,예산실적비교표!$X$7:$Z$200,3,FALSE)*$Y$7/$Y$10,-3)*$Y$8),0)</f>
        <v>0</v>
      </c>
      <c r="M100" s="708" t="str">
        <f>IF($AM$1=TRUE,IF(K100="","",IF(IF($AE$2="",IF(K100="","",SUBTOTAL(2,$K$3:K100)),IF(AND(G100&gt;=0,K100=""),"",IF(AND(G100&gt;0,OR(K100&gt;0,K100&lt;0)),SUBTOTAL(2,$K$3:K100),IF(AND(G100=0,OR(K100&gt;0,K100&lt;0)),SUBTOTAL(2,$K$3:K100)+200,""))))&gt;200,"",1)),IF(K100="","",IF(IF($AE$2="",IF(K100="","",SUBTOTAL(2,$K$3:K100)),IF(AND(G100&gt;=0,K100=""),"",IF(AND(G100&gt;0,OR(K100&gt;0,K100&lt;0)),SUBTOTAL(2,$K$3:K100),IF(AND(G100=0,OR(K100&gt;0,K100&lt;0)),SUBTOTAL(2,$K$3:K100)+200,""))))&gt;200,"",1)))</f>
        <v/>
      </c>
      <c r="N100" s="214" t="str">
        <f>IF($AM$1=TRUE,IF(K100="","",IF(IF($AE$2="",IF(K100="","",SUBTOTAL(2,$K$3:K100)),IF(AND(G100&gt;=0,K100=""),"",IF(AND(G100&gt;0,OR(K100&gt;0,K100&lt;0)),SUBTOTAL(2,$K$3:K100),IF(AND(G100=0,OR(K100&gt;0,K100&lt;0)),SUBTOTAL(2,$K$3:K100)+200,""))))&lt;=200,"",2)),IF(K100="","",IF(IF($AE$2="",IF(K100="","",SUBTOTAL(2,$K$3:K100)),IF(AND(G100&gt;=0,K100=""),"",IF(AND(G100&gt;0,OR(K100&gt;0,K100&lt;0)),SUBTOTAL(2,$K$3:K100),IF(AND(G100=0,OR(K100&gt;0,K100&lt;0)),SUBTOTAL(2,$K$3:K100)+200,""))))&lt;=200,"",2)))</f>
        <v/>
      </c>
      <c r="O100" s="560"/>
      <c r="P100" s="427">
        <f t="shared" ref="P100:P121" si="32">IFERROR(IF(VLOOKUP(R100,$B$81:$L$110,11,FALSE)&gt;0,VLOOKUP(R100,$B$81:$L$110,11,FALSE),0),0)</f>
        <v>0</v>
      </c>
      <c r="Q100" s="551">
        <v>0</v>
      </c>
      <c r="R100" s="511" t="s">
        <v>40</v>
      </c>
      <c r="S100" s="512" t="s">
        <v>81</v>
      </c>
      <c r="T100" s="462">
        <f t="shared" si="27"/>
        <v>0</v>
      </c>
      <c r="U100" s="573">
        <f t="shared" si="31"/>
        <v>12</v>
      </c>
      <c r="V100" s="513" t="s">
        <v>127</v>
      </c>
      <c r="X100" s="505" t="s">
        <v>209</v>
      </c>
      <c r="Y100" s="1436"/>
      <c r="Z100" s="1437"/>
      <c r="AA100" s="1438"/>
      <c r="AB100" s="1439"/>
      <c r="AC100" s="1424">
        <f>총괄표!E17-총괄표!L17</f>
        <v>0</v>
      </c>
      <c r="AD100" s="1425"/>
      <c r="AE100" s="1424">
        <f>총괄표!F17-총괄표!M17</f>
        <v>0</v>
      </c>
      <c r="AF100" s="1425"/>
      <c r="AP100" s="1182" t="str">
        <f>IF(예산실적비교표!AL100&lt;&gt;"",예산실적비교표!AL100,"")</f>
        <v/>
      </c>
      <c r="AQ100" s="1183" t="str">
        <f>IF(예산실적비교표!AM100&lt;&gt;"",예산실적비교표!AM100,"")</f>
        <v/>
      </c>
      <c r="AR100" s="1184">
        <f>IF(예산실적비교표!AN100&lt;&gt;"",예산실적비교표!AN100,0)</f>
        <v>0</v>
      </c>
      <c r="AS100" s="1185">
        <f>IF(예산실적비교표!AO100&lt;&gt;"",예산실적비교표!AO100,0)</f>
        <v>0</v>
      </c>
      <c r="AT100" s="1118">
        <f t="shared" si="23"/>
        <v>0</v>
      </c>
      <c r="AU100" s="1186">
        <f>IF(예산실적비교표!AQ100&lt;&gt;"",예산실적비교표!AQ100,0)</f>
        <v>0</v>
      </c>
      <c r="AV100" s="1120">
        <f t="shared" si="24"/>
        <v>0</v>
      </c>
      <c r="AW100" s="1121">
        <f>IF(AR100="",0,ROUND((AT100*$AT$7)*데이터입력!$AF$14+(AT100*$AU$7)*데이터입력!$AF$14+(AT100*$AU$7*$AV$7)*데이터입력!$AF$14+(AT100*$AW$7)*데이터입력!$AF$14+(AT100*$AX$7)*데이터입력!$AF$14,-1))</f>
        <v>0</v>
      </c>
      <c r="AX100" s="1122">
        <f t="shared" si="25"/>
        <v>0</v>
      </c>
      <c r="AY100" s="1123">
        <f>IFERROR(IF(AR100+AS100=0,0,ROUND(IF(데이터입력!$AF$14=100%,ROUND(AR100*$AR$1,-3),ROUND(AR100*$AR$1,-3)-ROUND(((AR100*$AR$1)*$AT$4)*(데이터입력!$AF$14-100%)+((AR100*$AR$1)*$AU$4)*(데이터입력!$AF$14-100%)+((AR100*$AR$1)*$AU$4*$AV$4)*(데이터입력!$AF$14-100%)+((AR100*$AR$1)*$AW$4)*(데이터입력!$AF$14-100%),-1)),0)),0)</f>
        <v>0</v>
      </c>
      <c r="AZ100" s="1124">
        <f>IFERROR(IF(AR100+AS100=0,0,IF(데이터입력!$AF$12=100%,(AT100),(AT100)+ROUND(AT100*(데이터입력!$AF$12-100%),-1))),0)</f>
        <v>0</v>
      </c>
      <c r="BA100" s="1265" t="str">
        <f t="shared" si="22"/>
        <v/>
      </c>
      <c r="BB100" s="1264" t="str">
        <f>IF(BA100="","",IF(데이터입력!$O$68="",ROUND(AZ100/12,0),ROUND(데이터입력!$O$68/데이터입력!$Y$8/$BC$63,0)))</f>
        <v/>
      </c>
    </row>
    <row r="101" spans="1:54">
      <c r="A101" s="1047" t="str">
        <f>IF($AM$1=TRUE,IF(K101="","",SUBTOTAL(2,$K$3:K101)),IF(AND(M101="",N101=""),"",IF(N101="",COUNT($M$3:M101),COUNT($N$3:N101)+200)))</f>
        <v/>
      </c>
      <c r="B101" s="411" t="s">
        <v>59</v>
      </c>
      <c r="C101" s="411" t="s">
        <v>609</v>
      </c>
      <c r="D101" s="410">
        <v>502010201</v>
      </c>
      <c r="E101" s="410" t="s">
        <v>84</v>
      </c>
      <c r="F101" s="410" t="s">
        <v>81</v>
      </c>
      <c r="G101" s="412">
        <f>IFERROR(IF($E101="07",VLOOKUP($B101,예산실적비교표!$X$7:$Z$200,2,FALSE),0),0)</f>
        <v>0</v>
      </c>
      <c r="H101" s="412">
        <f>IFERROR(IF($E101="06",VLOOKUP($C101,세출예산서!$K$3:$X$304,12,FALSE),0),0)</f>
        <v>0</v>
      </c>
      <c r="I101" s="412">
        <f>IFERROR(IF($E101="07",VLOOKUP($C101,세출예산서!$K$3:$X$304,13,FALSE),0),0)</f>
        <v>0</v>
      </c>
      <c r="J101" s="412">
        <f>IFERROR(IF($E101="05",VLOOKUP($C101,세출예산서!$K$3:$X$304,14,FALSE),0),0)</f>
        <v>0</v>
      </c>
      <c r="K101" s="412" t="str">
        <f t="shared" si="15"/>
        <v/>
      </c>
      <c r="L101" s="413">
        <f>IFERROR(IF($AB$2="",0,ROUNDUP(VLOOKUP($B101,예산실적비교표!$X$7:$Z$200,3,FALSE)*$Y$7/$Y$10,-3)*$Y$8),0)</f>
        <v>0</v>
      </c>
      <c r="M101" s="708" t="str">
        <f>IF($AM$1=TRUE,IF(K101="","",IF(IF($AE$2="",IF(K101="","",SUBTOTAL(2,$K$3:K101)),IF(AND(G101&gt;=0,K101=""),"",IF(AND(G101&gt;0,OR(K101&gt;0,K101&lt;0)),SUBTOTAL(2,$K$3:K101),IF(AND(G101=0,OR(K101&gt;0,K101&lt;0)),SUBTOTAL(2,$K$3:K101)+200,""))))&gt;200,"",1)),IF(K101="","",IF(IF($AE$2="",IF(K101="","",SUBTOTAL(2,$K$3:K101)),IF(AND(G101&gt;=0,K101=""),"",IF(AND(G101&gt;0,OR(K101&gt;0,K101&lt;0)),SUBTOTAL(2,$K$3:K101),IF(AND(G101=0,OR(K101&gt;0,K101&lt;0)),SUBTOTAL(2,$K$3:K101)+200,""))))&gt;200,"",1)))</f>
        <v/>
      </c>
      <c r="N101" s="214" t="str">
        <f>IF($AM$1=TRUE,IF(K101="","",IF(IF($AE$2="",IF(K101="","",SUBTOTAL(2,$K$3:K101)),IF(AND(G101&gt;=0,K101=""),"",IF(AND(G101&gt;0,OR(K101&gt;0,K101&lt;0)),SUBTOTAL(2,$K$3:K101),IF(AND(G101=0,OR(K101&gt;0,K101&lt;0)),SUBTOTAL(2,$K$3:K101)+200,""))))&lt;=200,"",2)),IF(K101="","",IF(IF($AE$2="",IF(K101="","",SUBTOTAL(2,$K$3:K101)),IF(AND(G101&gt;=0,K101=""),"",IF(AND(G101&gt;0,OR(K101&gt;0,K101&lt;0)),SUBTOTAL(2,$K$3:K101),IF(AND(G101=0,OR(K101&gt;0,K101&lt;0)),SUBTOTAL(2,$K$3:K101)+200,""))))&lt;=200,"",2)))</f>
        <v/>
      </c>
      <c r="O101" s="561"/>
      <c r="P101" s="435">
        <f t="shared" si="32"/>
        <v>0</v>
      </c>
      <c r="Q101" s="566">
        <v>0</v>
      </c>
      <c r="R101" s="514" t="s">
        <v>41</v>
      </c>
      <c r="S101" s="515" t="s">
        <v>81</v>
      </c>
      <c r="T101" s="468">
        <f t="shared" si="27"/>
        <v>0</v>
      </c>
      <c r="U101" s="574">
        <f t="shared" si="31"/>
        <v>12</v>
      </c>
      <c r="V101" s="431" t="s">
        <v>127</v>
      </c>
      <c r="X101" s="506" t="s">
        <v>4</v>
      </c>
      <c r="Y101" s="1426">
        <f>IF(IFERROR(VLOOKUP(X101,예산실적비교표!$M:$R,4,FALSE),0)=0,SUM(G3:G7),IFERROR(VLOOKUP(X101,예산실적비교표!$M:$R,4,FALSE),0))</f>
        <v>72577584</v>
      </c>
      <c r="Z101" s="1434"/>
      <c r="AA101" s="1426">
        <f>세입예산서!V4</f>
        <v>71949444</v>
      </c>
      <c r="AB101" s="1427"/>
      <c r="AC101" s="1430"/>
      <c r="AD101" s="1431"/>
      <c r="AE101" s="1430"/>
      <c r="AF101" s="1431"/>
      <c r="AP101" s="1182" t="str">
        <f>IF(예산실적비교표!AL101&lt;&gt;"",예산실적비교표!AL101,"")</f>
        <v/>
      </c>
      <c r="AQ101" s="1183" t="str">
        <f>IF(예산실적비교표!AM101&lt;&gt;"",예산실적비교표!AM101,"")</f>
        <v/>
      </c>
      <c r="AR101" s="1184">
        <f>IF(예산실적비교표!AN101&lt;&gt;"",예산실적비교표!AN101,0)</f>
        <v>0</v>
      </c>
      <c r="AS101" s="1185">
        <f>IF(예산실적비교표!AO101&lt;&gt;"",예산실적비교표!AO101,0)</f>
        <v>0</v>
      </c>
      <c r="AT101" s="1118">
        <f t="shared" si="23"/>
        <v>0</v>
      </c>
      <c r="AU101" s="1186">
        <f>IF(예산실적비교표!AQ101&lt;&gt;"",예산실적비교표!AQ101,0)</f>
        <v>0</v>
      </c>
      <c r="AV101" s="1120">
        <f t="shared" si="24"/>
        <v>0</v>
      </c>
      <c r="AW101" s="1121">
        <f>IF(AR101="",0,ROUND((AT101*$AT$7)*데이터입력!$AF$14+(AT101*$AU$7)*데이터입력!$AF$14+(AT101*$AU$7*$AV$7)*데이터입력!$AF$14+(AT101*$AW$7)*데이터입력!$AF$14+(AT101*$AX$7)*데이터입력!$AF$14,-1))</f>
        <v>0</v>
      </c>
      <c r="AX101" s="1122">
        <f t="shared" si="25"/>
        <v>0</v>
      </c>
      <c r="AY101" s="1123">
        <f>IFERROR(IF(AR101+AS101=0,0,ROUND(IF(데이터입력!$AF$14=100%,ROUND(AR101*$AR$1,-3),ROUND(AR101*$AR$1,-3)-ROUND(((AR101*$AR$1)*$AT$4)*(데이터입력!$AF$14-100%)+((AR101*$AR$1)*$AU$4)*(데이터입력!$AF$14-100%)+((AR101*$AR$1)*$AU$4*$AV$4)*(데이터입력!$AF$14-100%)+((AR101*$AR$1)*$AW$4)*(데이터입력!$AF$14-100%),-1)),0)),0)</f>
        <v>0</v>
      </c>
      <c r="AZ101" s="1124">
        <f>IFERROR(IF(AR101+AS101=0,0,IF(데이터입력!$AF$12=100%,(AT101),(AT101)+ROUND(AT101*(데이터입력!$AF$12-100%),-1))),0)</f>
        <v>0</v>
      </c>
      <c r="BA101" s="1265" t="str">
        <f t="shared" si="22"/>
        <v/>
      </c>
      <c r="BB101" s="1264" t="str">
        <f>IF(BA101="","",IF(데이터입력!$O$68="",ROUND(AZ101/12,0),ROUND(데이터입력!$O$68/데이터입력!$Y$8/$BC$63,0)))</f>
        <v/>
      </c>
    </row>
    <row r="102" spans="1:54" ht="17.25" thickBot="1">
      <c r="A102" s="1047" t="str">
        <f>IF($AM$1=TRUE,IF(K102="","",SUBTOTAL(2,$K$3:K102)),IF(AND(M102="",N102=""),"",IF(N102="",COUNT($M$3:M102),COUNT($N$3:N102)+200)))</f>
        <v/>
      </c>
      <c r="B102" s="411" t="s">
        <v>60</v>
      </c>
      <c r="C102" s="411" t="s">
        <v>610</v>
      </c>
      <c r="D102" s="410">
        <v>502010301</v>
      </c>
      <c r="E102" s="410" t="s">
        <v>84</v>
      </c>
      <c r="F102" s="410" t="s">
        <v>81</v>
      </c>
      <c r="G102" s="412">
        <f>IFERROR(IF($E102="07",VLOOKUP($B102,예산실적비교표!$X$7:$Z$200,2,FALSE),0),0)</f>
        <v>0</v>
      </c>
      <c r="H102" s="412">
        <f>IFERROR(IF($E102="06",VLOOKUP($C102,세출예산서!$K$3:$X$304,12,FALSE),0),0)</f>
        <v>0</v>
      </c>
      <c r="I102" s="412">
        <f>IFERROR(IF($E102="07",VLOOKUP($C102,세출예산서!$K$3:$X$304,13,FALSE),0),0)</f>
        <v>0</v>
      </c>
      <c r="J102" s="412">
        <f>IFERROR(IF($E102="05",VLOOKUP($C102,세출예산서!$K$3:$X$304,14,FALSE),0),0)</f>
        <v>0</v>
      </c>
      <c r="K102" s="412" t="str">
        <f t="shared" si="15"/>
        <v/>
      </c>
      <c r="L102" s="413">
        <f>IFERROR(IF($AB$2="",0,ROUNDUP(VLOOKUP($B102,예산실적비교표!$X$7:$Z$200,3,FALSE)*$Y$7/$Y$10,-3)*$Y$8),0)</f>
        <v>0</v>
      </c>
      <c r="M102" s="708" t="str">
        <f>IF($AM$1=TRUE,IF(K102="","",IF(IF($AE$2="",IF(K102="","",SUBTOTAL(2,$K$3:K102)),IF(AND(G102&gt;=0,K102=""),"",IF(AND(G102&gt;0,OR(K102&gt;0,K102&lt;0)),SUBTOTAL(2,$K$3:K102),IF(AND(G102=0,OR(K102&gt;0,K102&lt;0)),SUBTOTAL(2,$K$3:K102)+200,""))))&gt;200,"",1)),IF(K102="","",IF(IF($AE$2="",IF(K102="","",SUBTOTAL(2,$K$3:K102)),IF(AND(G102&gt;=0,K102=""),"",IF(AND(G102&gt;0,OR(K102&gt;0,K102&lt;0)),SUBTOTAL(2,$K$3:K102),IF(AND(G102=0,OR(K102&gt;0,K102&lt;0)),SUBTOTAL(2,$K$3:K102)+200,""))))&gt;200,"",1)))</f>
        <v/>
      </c>
      <c r="N102" s="214" t="str">
        <f>IF($AM$1=TRUE,IF(K102="","",IF(IF($AE$2="",IF(K102="","",SUBTOTAL(2,$K$3:K102)),IF(AND(G102&gt;=0,K102=""),"",IF(AND(G102&gt;0,OR(K102&gt;0,K102&lt;0)),SUBTOTAL(2,$K$3:K102),IF(AND(G102=0,OR(K102&gt;0,K102&lt;0)),SUBTOTAL(2,$K$3:K102)+200,""))))&lt;=200,"",2)),IF(K102="","",IF(IF($AE$2="",IF(K102="","",SUBTOTAL(2,$K$3:K102)),IF(AND(G102&gt;=0,K102=""),"",IF(AND(G102&gt;0,OR(K102&gt;0,K102&lt;0)),SUBTOTAL(2,$K$3:K102),IF(AND(G102=0,OR(K102&gt;0,K102&lt;0)),SUBTOTAL(2,$K$3:K102)+200,""))))&lt;=200,"",2)))</f>
        <v/>
      </c>
      <c r="O102" s="561"/>
      <c r="P102" s="435">
        <f t="shared" si="32"/>
        <v>0</v>
      </c>
      <c r="Q102" s="566">
        <v>0</v>
      </c>
      <c r="R102" s="514" t="s">
        <v>42</v>
      </c>
      <c r="S102" s="515" t="s">
        <v>81</v>
      </c>
      <c r="T102" s="468">
        <f t="shared" si="27"/>
        <v>0</v>
      </c>
      <c r="U102" s="574">
        <f t="shared" si="31"/>
        <v>12</v>
      </c>
      <c r="V102" s="431" t="s">
        <v>127</v>
      </c>
      <c r="X102" s="507" t="s">
        <v>39</v>
      </c>
      <c r="Y102" s="1428">
        <f>IFERROR(SUM(G42:G51,G81:G90,G111:G120),0)</f>
        <v>207213873</v>
      </c>
      <c r="Z102" s="1435"/>
      <c r="AA102" s="1428">
        <f>세출예산서!$Y$5</f>
        <v>219459082</v>
      </c>
      <c r="AB102" s="1429"/>
      <c r="AC102" s="1432">
        <v>-1</v>
      </c>
      <c r="AD102" s="1433"/>
      <c r="AE102" s="1432"/>
      <c r="AF102" s="1433"/>
      <c r="AP102" s="1182" t="str">
        <f>IF(예산실적비교표!AL102&lt;&gt;"",예산실적비교표!AL102,"")</f>
        <v/>
      </c>
      <c r="AQ102" s="1183" t="str">
        <f>IF(예산실적비교표!AM102&lt;&gt;"",예산실적비교표!AM102,"")</f>
        <v/>
      </c>
      <c r="AR102" s="1184">
        <f>IF(예산실적비교표!AN102&lt;&gt;"",예산실적비교표!AN102,0)</f>
        <v>0</v>
      </c>
      <c r="AS102" s="1185">
        <f>IF(예산실적비교표!AO102&lt;&gt;"",예산실적비교표!AO102,0)</f>
        <v>0</v>
      </c>
      <c r="AT102" s="1118">
        <f t="shared" si="23"/>
        <v>0</v>
      </c>
      <c r="AU102" s="1186">
        <f>IF(예산실적비교표!AQ102&lt;&gt;"",예산실적비교표!AQ102,0)</f>
        <v>0</v>
      </c>
      <c r="AV102" s="1120">
        <f t="shared" si="24"/>
        <v>0</v>
      </c>
      <c r="AW102" s="1121">
        <f>IF(AR102="",0,ROUND((AT102*$AT$7)*데이터입력!$AF$14+(AT102*$AU$7)*데이터입력!$AF$14+(AT102*$AU$7*$AV$7)*데이터입력!$AF$14+(AT102*$AW$7)*데이터입력!$AF$14+(AT102*$AX$7)*데이터입력!$AF$14,-1))</f>
        <v>0</v>
      </c>
      <c r="AX102" s="1122">
        <f t="shared" si="25"/>
        <v>0</v>
      </c>
      <c r="AY102" s="1123">
        <f>IFERROR(IF(AR102+AS102=0,0,ROUND(IF(데이터입력!$AF$14=100%,ROUND(AR102*$AR$1,-3),ROUND(AR102*$AR$1,-3)-ROUND(((AR102*$AR$1)*$AT$4)*(데이터입력!$AF$14-100%)+((AR102*$AR$1)*$AU$4)*(데이터입력!$AF$14-100%)+((AR102*$AR$1)*$AU$4*$AV$4)*(데이터입력!$AF$14-100%)+((AR102*$AR$1)*$AW$4)*(데이터입력!$AF$14-100%),-1)),0)),0)</f>
        <v>0</v>
      </c>
      <c r="AZ102" s="1124">
        <f>IFERROR(IF(AR102+AS102=0,0,IF(데이터입력!$AF$12=100%,(AT102),(AT102)+ROUND(AT102*(데이터입력!$AF$12-100%),-1))),0)</f>
        <v>0</v>
      </c>
      <c r="BA102" s="1265" t="str">
        <f t="shared" si="22"/>
        <v/>
      </c>
      <c r="BB102" s="1264" t="str">
        <f>IF(BA102="","",IF(데이터입력!$O$68="",ROUND(AZ102/12,0),ROUND(데이터입력!$O$68/데이터입력!$Y$8/$BC$63,0)))</f>
        <v/>
      </c>
    </row>
    <row r="103" spans="1:54">
      <c r="A103" s="1047" t="str">
        <f>IF($AM$1=TRUE,IF(K103="","",SUBTOTAL(2,$K$3:K103)),IF(AND(M103="",N103=""),"",IF(N103="",COUNT($M$3:M103),COUNT($N$3:N103)+200)))</f>
        <v/>
      </c>
      <c r="B103" s="411" t="s">
        <v>61</v>
      </c>
      <c r="C103" s="411" t="s">
        <v>611</v>
      </c>
      <c r="D103" s="410">
        <v>503010101</v>
      </c>
      <c r="E103" s="410" t="s">
        <v>84</v>
      </c>
      <c r="F103" s="410" t="s">
        <v>81</v>
      </c>
      <c r="G103" s="412">
        <f>IFERROR(IF($E103="07",VLOOKUP($B103,예산실적비교표!$X$7:$Z$200,2,FALSE),0),0)</f>
        <v>0</v>
      </c>
      <c r="H103" s="412">
        <f>IFERROR(IF($E103="06",VLOOKUP($C103,세출예산서!$K$3:$X$304,12,FALSE),0),0)</f>
        <v>0</v>
      </c>
      <c r="I103" s="412">
        <f>IFERROR(IF($E103="07",VLOOKUP($C103,세출예산서!$K$3:$X$304,13,FALSE),0),0)</f>
        <v>0</v>
      </c>
      <c r="J103" s="412">
        <f>IFERROR(IF($E103="05",VLOOKUP($C103,세출예산서!$K$3:$X$304,14,FALSE),0),0)</f>
        <v>0</v>
      </c>
      <c r="K103" s="412" t="str">
        <f t="shared" si="15"/>
        <v/>
      </c>
      <c r="L103" s="413">
        <f>IFERROR(IF($AB$2="",0,ROUNDUP(VLOOKUP($B103,예산실적비교표!$X$7:$Z$200,3,FALSE)/$Y$10,-3)*$Y$8),0)</f>
        <v>0</v>
      </c>
      <c r="M103" s="708" t="str">
        <f>IF($AM$1=TRUE,IF(K103="","",IF(IF($AE$2="",IF(K103="","",SUBTOTAL(2,$K$3:K103)),IF(AND(G103&gt;=0,K103=""),"",IF(AND(G103&gt;0,OR(K103&gt;0,K103&lt;0)),SUBTOTAL(2,$K$3:K103),IF(AND(G103=0,OR(K103&gt;0,K103&lt;0)),SUBTOTAL(2,$K$3:K103)+200,""))))&gt;200,"",1)),IF(K103="","",IF(IF($AE$2="",IF(K103="","",SUBTOTAL(2,$K$3:K103)),IF(AND(G103&gt;=0,K103=""),"",IF(AND(G103&gt;0,OR(K103&gt;0,K103&lt;0)),SUBTOTAL(2,$K$3:K103),IF(AND(G103=0,OR(K103&gt;0,K103&lt;0)),SUBTOTAL(2,$K$3:K103)+200,""))))&gt;200,"",1)))</f>
        <v/>
      </c>
      <c r="N103" s="214" t="str">
        <f>IF($AM$1=TRUE,IF(K103="","",IF(IF($AE$2="",IF(K103="","",SUBTOTAL(2,$K$3:K103)),IF(AND(G103&gt;=0,K103=""),"",IF(AND(G103&gt;0,OR(K103&gt;0,K103&lt;0)),SUBTOTAL(2,$K$3:K103),IF(AND(G103=0,OR(K103&gt;0,K103&lt;0)),SUBTOTAL(2,$K$3:K103)+200,""))))&lt;=200,"",2)),IF(K103="","",IF(IF($AE$2="",IF(K103="","",SUBTOTAL(2,$K$3:K103)),IF(AND(G103&gt;=0,K103=""),"",IF(AND(G103&gt;0,OR(K103&gt;0,K103&lt;0)),SUBTOTAL(2,$K$3:K103),IF(AND(G103=0,OR(K103&gt;0,K103&lt;0)),SUBTOTAL(2,$K$3:K103)+200,""))))&lt;=200,"",2)))</f>
        <v/>
      </c>
      <c r="O103" s="561"/>
      <c r="P103" s="435">
        <f t="shared" si="32"/>
        <v>0</v>
      </c>
      <c r="Q103" s="566">
        <v>0</v>
      </c>
      <c r="R103" s="514" t="s">
        <v>43</v>
      </c>
      <c r="S103" s="515" t="s">
        <v>81</v>
      </c>
      <c r="T103" s="468">
        <f t="shared" si="27"/>
        <v>0</v>
      </c>
      <c r="U103" s="574">
        <f t="shared" si="31"/>
        <v>12</v>
      </c>
      <c r="V103" s="431" t="s">
        <v>127</v>
      </c>
      <c r="AP103" s="1182" t="str">
        <f>IF(예산실적비교표!AL103&lt;&gt;"",예산실적비교표!AL103,"")</f>
        <v/>
      </c>
      <c r="AQ103" s="1183" t="str">
        <f>IF(예산실적비교표!AM103&lt;&gt;"",예산실적비교표!AM103,"")</f>
        <v/>
      </c>
      <c r="AR103" s="1184">
        <f>IF(예산실적비교표!AN103&lt;&gt;"",예산실적비교표!AN103,0)</f>
        <v>0</v>
      </c>
      <c r="AS103" s="1185">
        <f>IF(예산실적비교표!AO103&lt;&gt;"",예산실적비교표!AO103,0)</f>
        <v>0</v>
      </c>
      <c r="AT103" s="1118">
        <f t="shared" si="23"/>
        <v>0</v>
      </c>
      <c r="AU103" s="1186">
        <f>IF(예산실적비교표!AQ103&lt;&gt;"",예산실적비교표!AQ103,0)</f>
        <v>0</v>
      </c>
      <c r="AV103" s="1120">
        <f t="shared" si="24"/>
        <v>0</v>
      </c>
      <c r="AW103" s="1121">
        <f>IF(AR103="",0,ROUND((AT103*$AT$7)*데이터입력!$AF$14+(AT103*$AU$7)*데이터입력!$AF$14+(AT103*$AU$7*$AV$7)*데이터입력!$AF$14+(AT103*$AW$7)*데이터입력!$AF$14+(AT103*$AX$7)*데이터입력!$AF$14,-1))</f>
        <v>0</v>
      </c>
      <c r="AX103" s="1122">
        <f t="shared" si="25"/>
        <v>0</v>
      </c>
      <c r="AY103" s="1123">
        <f>IFERROR(IF(AR103+AS103=0,0,ROUND(IF(데이터입력!$AF$14=100%,ROUND(AR103*$AR$1,-3),ROUND(AR103*$AR$1,-3)-ROUND(((AR103*$AR$1)*$AT$4)*(데이터입력!$AF$14-100%)+((AR103*$AR$1)*$AU$4)*(데이터입력!$AF$14-100%)+((AR103*$AR$1)*$AU$4*$AV$4)*(데이터입력!$AF$14-100%)+((AR103*$AR$1)*$AW$4)*(데이터입력!$AF$14-100%),-1)),0)),0)</f>
        <v>0</v>
      </c>
      <c r="AZ103" s="1124">
        <f>IFERROR(IF(AR103+AS103=0,0,IF(데이터입력!$AF$12=100%,(AT103),(AT103)+ROUND(AT103*(데이터입력!$AF$12-100%),-1))),0)</f>
        <v>0</v>
      </c>
      <c r="BA103" s="1265" t="str">
        <f t="shared" si="22"/>
        <v/>
      </c>
      <c r="BB103" s="1264" t="str">
        <f>IF(BA103="","",IF(데이터입력!$O$68="",ROUND(AZ103/12,0),ROUND(데이터입력!$O$68/데이터입력!$Y$8/$BC$63,0)))</f>
        <v/>
      </c>
    </row>
    <row r="104" spans="1:54">
      <c r="A104" s="1047" t="str">
        <f>IF($AM$1=TRUE,IF(K104="","",SUBTOTAL(2,$K$3:K104)),IF(AND(M104="",N104=""),"",IF(N104="",COUNT($M$3:M104),COUNT($N$3:N104)+200)))</f>
        <v/>
      </c>
      <c r="B104" s="411" t="s">
        <v>62</v>
      </c>
      <c r="C104" s="411" t="s">
        <v>612</v>
      </c>
      <c r="D104" s="410">
        <v>503010201</v>
      </c>
      <c r="E104" s="410" t="s">
        <v>84</v>
      </c>
      <c r="F104" s="410" t="s">
        <v>81</v>
      </c>
      <c r="G104" s="412">
        <f>IFERROR(IF($E104="07",VLOOKUP($B104,예산실적비교표!$X$7:$Z$200,2,FALSE),0),0)</f>
        <v>0</v>
      </c>
      <c r="H104" s="412">
        <f>IFERROR(IF($E104="06",VLOOKUP($C104,세출예산서!$K$3:$X$304,12,FALSE),0),0)</f>
        <v>0</v>
      </c>
      <c r="I104" s="412">
        <f>IFERROR(IF($E104="07",VLOOKUP($C104,세출예산서!$K$3:$X$304,13,FALSE),0),0)</f>
        <v>0</v>
      </c>
      <c r="J104" s="412">
        <f>IFERROR(IF($E104="05",VLOOKUP($C104,세출예산서!$K$3:$X$304,14,FALSE),0),0)</f>
        <v>0</v>
      </c>
      <c r="K104" s="412" t="str">
        <f t="shared" si="15"/>
        <v/>
      </c>
      <c r="L104" s="413">
        <f>IFERROR(IF($AB$2="",0,ROUNDUP(VLOOKUP($B104,예산실적비교표!$X$7:$Z$200,3,FALSE)*$Y$7/$Y$10,-3)*$Y$8),0)</f>
        <v>0</v>
      </c>
      <c r="M104" s="708" t="str">
        <f>IF($AM$1=TRUE,IF(K104="","",IF(IF($AE$2="",IF(K104="","",SUBTOTAL(2,$K$3:K104)),IF(AND(G104&gt;=0,K104=""),"",IF(AND(G104&gt;0,OR(K104&gt;0,K104&lt;0)),SUBTOTAL(2,$K$3:K104),IF(AND(G104=0,OR(K104&gt;0,K104&lt;0)),SUBTOTAL(2,$K$3:K104)+200,""))))&gt;200,"",1)),IF(K104="","",IF(IF($AE$2="",IF(K104="","",SUBTOTAL(2,$K$3:K104)),IF(AND(G104&gt;=0,K104=""),"",IF(AND(G104&gt;0,OR(K104&gt;0,K104&lt;0)),SUBTOTAL(2,$K$3:K104),IF(AND(G104=0,OR(K104&gt;0,K104&lt;0)),SUBTOTAL(2,$K$3:K104)+200,""))))&gt;200,"",1)))</f>
        <v/>
      </c>
      <c r="N104" s="214" t="str">
        <f>IF($AM$1=TRUE,IF(K104="","",IF(IF($AE$2="",IF(K104="","",SUBTOTAL(2,$K$3:K104)),IF(AND(G104&gt;=0,K104=""),"",IF(AND(G104&gt;0,OR(K104&gt;0,K104&lt;0)),SUBTOTAL(2,$K$3:K104),IF(AND(G104=0,OR(K104&gt;0,K104&lt;0)),SUBTOTAL(2,$K$3:K104)+200,""))))&lt;=200,"",2)),IF(K104="","",IF(IF($AE$2="",IF(K104="","",SUBTOTAL(2,$K$3:K104)),IF(AND(G104&gt;=0,K104=""),"",IF(AND(G104&gt;0,OR(K104&gt;0,K104&lt;0)),SUBTOTAL(2,$K$3:K104),IF(AND(G104=0,OR(K104&gt;0,K104&lt;0)),SUBTOTAL(2,$K$3:K104)+200,""))))&lt;=200,"",2)))</f>
        <v/>
      </c>
      <c r="O104" s="561"/>
      <c r="P104" s="435">
        <f t="shared" si="32"/>
        <v>0</v>
      </c>
      <c r="Q104" s="566">
        <v>0</v>
      </c>
      <c r="R104" s="514" t="s">
        <v>44</v>
      </c>
      <c r="S104" s="515" t="s">
        <v>81</v>
      </c>
      <c r="T104" s="468">
        <f t="shared" si="27"/>
        <v>0</v>
      </c>
      <c r="U104" s="574">
        <f t="shared" si="31"/>
        <v>12</v>
      </c>
      <c r="V104" s="431" t="s">
        <v>127</v>
      </c>
      <c r="AP104" s="1182" t="str">
        <f>IF(예산실적비교표!AL104&lt;&gt;"",예산실적비교표!AL104,"")</f>
        <v/>
      </c>
      <c r="AQ104" s="1183" t="str">
        <f>IF(예산실적비교표!AM104&lt;&gt;"",예산실적비교표!AM104,"")</f>
        <v/>
      </c>
      <c r="AR104" s="1184">
        <f>IF(예산실적비교표!AN104&lt;&gt;"",예산실적비교표!AN104,0)</f>
        <v>0</v>
      </c>
      <c r="AS104" s="1185">
        <f>IF(예산실적비교표!AO104&lt;&gt;"",예산실적비교표!AO104,0)</f>
        <v>0</v>
      </c>
      <c r="AT104" s="1118">
        <f t="shared" si="23"/>
        <v>0</v>
      </c>
      <c r="AU104" s="1186">
        <f>IF(예산실적비교표!AQ104&lt;&gt;"",예산실적비교표!AQ104,0)</f>
        <v>0</v>
      </c>
      <c r="AV104" s="1120">
        <f t="shared" si="24"/>
        <v>0</v>
      </c>
      <c r="AW104" s="1121">
        <f>IF(AR104="",0,ROUND((AT104*$AT$7)*데이터입력!$AF$14+(AT104*$AU$7)*데이터입력!$AF$14+(AT104*$AU$7*$AV$7)*데이터입력!$AF$14+(AT104*$AW$7)*데이터입력!$AF$14+(AT104*$AX$7)*데이터입력!$AF$14,-1))</f>
        <v>0</v>
      </c>
      <c r="AX104" s="1122">
        <f t="shared" si="25"/>
        <v>0</v>
      </c>
      <c r="AY104" s="1123">
        <f>IFERROR(IF(AR104+AS104=0,0,ROUND(IF(데이터입력!$AF$14=100%,ROUND(AR104*$AR$1,-3),ROUND(AR104*$AR$1,-3)-ROUND(((AR104*$AR$1)*$AT$4)*(데이터입력!$AF$14-100%)+((AR104*$AR$1)*$AU$4)*(데이터입력!$AF$14-100%)+((AR104*$AR$1)*$AU$4*$AV$4)*(데이터입력!$AF$14-100%)+((AR104*$AR$1)*$AW$4)*(데이터입력!$AF$14-100%),-1)),0)),0)</f>
        <v>0</v>
      </c>
      <c r="AZ104" s="1124">
        <f>IFERROR(IF(AR104+AS104=0,0,IF(데이터입력!$AF$12=100%,(AT104),(AT104)+ROUND(AT104*(데이터입력!$AF$12-100%),-1))),0)</f>
        <v>0</v>
      </c>
      <c r="BA104" s="1265" t="str">
        <f t="shared" si="22"/>
        <v/>
      </c>
      <c r="BB104" s="1264" t="str">
        <f>IF(BA104="","",IF(데이터입력!$O$68="",ROUND(AZ104/12,0),ROUND(데이터입력!$O$68/데이터입력!$Y$8/$BC$63,0)))</f>
        <v/>
      </c>
    </row>
    <row r="105" spans="1:54">
      <c r="A105" s="1047" t="str">
        <f>IF($AM$1=TRUE,IF(K105="","",SUBTOTAL(2,$K$3:K105)),IF(AND(M105="",N105=""),"",IF(N105="",COUNT($M$3:M105),COUNT($N$3:N105)+200)))</f>
        <v/>
      </c>
      <c r="B105" s="411" t="s">
        <v>63</v>
      </c>
      <c r="C105" s="411" t="s">
        <v>613</v>
      </c>
      <c r="D105" s="410">
        <v>503010401</v>
      </c>
      <c r="E105" s="410" t="s">
        <v>84</v>
      </c>
      <c r="F105" s="410" t="s">
        <v>81</v>
      </c>
      <c r="G105" s="412">
        <f>IFERROR(IF($E105="07",VLOOKUP($B105,예산실적비교표!$X$7:$Z$200,2,FALSE),0),0)</f>
        <v>0</v>
      </c>
      <c r="H105" s="412">
        <f>IFERROR(IF($E105="06",VLOOKUP($C105,세출예산서!$K$3:$X$304,12,FALSE),0),0)</f>
        <v>0</v>
      </c>
      <c r="I105" s="412">
        <f>IFERROR(IF($E105="07",VLOOKUP($C105,세출예산서!$K$3:$X$304,13,FALSE),0),0)</f>
        <v>0</v>
      </c>
      <c r="J105" s="412">
        <f>IFERROR(IF($E105="05",VLOOKUP($C105,세출예산서!$K$3:$X$304,14,FALSE),0),0)</f>
        <v>0</v>
      </c>
      <c r="K105" s="412" t="str">
        <f t="shared" si="15"/>
        <v/>
      </c>
      <c r="L105" s="413">
        <f>IFERROR(IF($AB$2="",0,ROUNDUP(VLOOKUP($B105,예산실적비교표!$X$7:$Z$200,3,FALSE)*$Y$7/$Y$10,-3)*$Y$8),0)</f>
        <v>0</v>
      </c>
      <c r="M105" s="708" t="str">
        <f>IF($AM$1=TRUE,IF(K105="","",IF(IF($AE$2="",IF(K105="","",SUBTOTAL(2,$K$3:K105)),IF(AND(G105&gt;=0,K105=""),"",IF(AND(G105&gt;0,OR(K105&gt;0,K105&lt;0)),SUBTOTAL(2,$K$3:K105),IF(AND(G105=0,OR(K105&gt;0,K105&lt;0)),SUBTOTAL(2,$K$3:K105)+200,""))))&gt;200,"",1)),IF(K105="","",IF(IF($AE$2="",IF(K105="","",SUBTOTAL(2,$K$3:K105)),IF(AND(G105&gt;=0,K105=""),"",IF(AND(G105&gt;0,OR(K105&gt;0,K105&lt;0)),SUBTOTAL(2,$K$3:K105),IF(AND(G105=0,OR(K105&gt;0,K105&lt;0)),SUBTOTAL(2,$K$3:K105)+200,""))))&gt;200,"",1)))</f>
        <v/>
      </c>
      <c r="N105" s="214" t="str">
        <f>IF($AM$1=TRUE,IF(K105="","",IF(IF($AE$2="",IF(K105="","",SUBTOTAL(2,$K$3:K105)),IF(AND(G105&gt;=0,K105=""),"",IF(AND(G105&gt;0,OR(K105&gt;0,K105&lt;0)),SUBTOTAL(2,$K$3:K105),IF(AND(G105=0,OR(K105&gt;0,K105&lt;0)),SUBTOTAL(2,$K$3:K105)+200,""))))&lt;=200,"",2)),IF(K105="","",IF(IF($AE$2="",IF(K105="","",SUBTOTAL(2,$K$3:K105)),IF(AND(G105&gt;=0,K105=""),"",IF(AND(G105&gt;0,OR(K105&gt;0,K105&lt;0)),SUBTOTAL(2,$K$3:K105),IF(AND(G105=0,OR(K105&gt;0,K105&lt;0)),SUBTOTAL(2,$K$3:K105)+200,""))))&lt;=200,"",2)))</f>
        <v/>
      </c>
      <c r="O105" s="561"/>
      <c r="P105" s="435">
        <f t="shared" si="32"/>
        <v>0</v>
      </c>
      <c r="Q105" s="566">
        <v>0</v>
      </c>
      <c r="R105" s="514" t="s">
        <v>45</v>
      </c>
      <c r="S105" s="515" t="s">
        <v>81</v>
      </c>
      <c r="T105" s="468">
        <f t="shared" si="27"/>
        <v>0</v>
      </c>
      <c r="U105" s="574">
        <f t="shared" si="31"/>
        <v>12</v>
      </c>
      <c r="V105" s="431" t="s">
        <v>127</v>
      </c>
      <c r="AP105" s="1182" t="str">
        <f>IF(예산실적비교표!AL105&lt;&gt;"",예산실적비교표!AL105,"")</f>
        <v/>
      </c>
      <c r="AQ105" s="1183" t="str">
        <f>IF(예산실적비교표!AM105&lt;&gt;"",예산실적비교표!AM105,"")</f>
        <v/>
      </c>
      <c r="AR105" s="1184">
        <f>IF(예산실적비교표!AN105&lt;&gt;"",예산실적비교표!AN105,0)</f>
        <v>0</v>
      </c>
      <c r="AS105" s="1185">
        <f>IF(예산실적비교표!AO105&lt;&gt;"",예산실적비교표!AO105,0)</f>
        <v>0</v>
      </c>
      <c r="AT105" s="1118">
        <f t="shared" si="23"/>
        <v>0</v>
      </c>
      <c r="AU105" s="1186">
        <f>IF(예산실적비교표!AQ105&lt;&gt;"",예산실적비교표!AQ105,0)</f>
        <v>0</v>
      </c>
      <c r="AV105" s="1120">
        <f t="shared" si="24"/>
        <v>0</v>
      </c>
      <c r="AW105" s="1121">
        <f>IF(AR105="",0,ROUND((AT105*$AT$7)*데이터입력!$AF$14+(AT105*$AU$7)*데이터입력!$AF$14+(AT105*$AU$7*$AV$7)*데이터입력!$AF$14+(AT105*$AW$7)*데이터입력!$AF$14+(AT105*$AX$7)*데이터입력!$AF$14,-1))</f>
        <v>0</v>
      </c>
      <c r="AX105" s="1122">
        <f t="shared" si="25"/>
        <v>0</v>
      </c>
      <c r="AY105" s="1123">
        <f>IFERROR(IF(AR105+AS105=0,0,ROUND(IF(데이터입력!$AF$14=100%,ROUND(AR105*$AR$1,-3),ROUND(AR105*$AR$1,-3)-ROUND(((AR105*$AR$1)*$AT$4)*(데이터입력!$AF$14-100%)+((AR105*$AR$1)*$AU$4)*(데이터입력!$AF$14-100%)+((AR105*$AR$1)*$AU$4*$AV$4)*(데이터입력!$AF$14-100%)+((AR105*$AR$1)*$AW$4)*(데이터입력!$AF$14-100%),-1)),0)),0)</f>
        <v>0</v>
      </c>
      <c r="AZ105" s="1124">
        <f>IFERROR(IF(AR105+AS105=0,0,IF(데이터입력!$AF$12=100%,(AT105),(AT105)+ROUND(AT105*(데이터입력!$AF$12-100%),-1))),0)</f>
        <v>0</v>
      </c>
      <c r="BA105" s="1265" t="str">
        <f t="shared" si="22"/>
        <v/>
      </c>
      <c r="BB105" s="1264" t="str">
        <f>IF(BA105="","",IF(데이터입력!$O$68="",ROUND(AZ105/12,0),ROUND(데이터입력!$O$68/데이터입력!$Y$8/$BC$63,0)))</f>
        <v/>
      </c>
    </row>
    <row r="106" spans="1:54">
      <c r="A106" s="1047" t="str">
        <f>IF($AM$1=TRUE,IF(K106="","",SUBTOTAL(2,$K$3:K106)),IF(AND(M106="",N106=""),"",IF(N106="",COUNT($M$3:M106),COUNT($N$3:N106)+200)))</f>
        <v/>
      </c>
      <c r="B106" s="411" t="s">
        <v>64</v>
      </c>
      <c r="C106" s="411" t="s">
        <v>614</v>
      </c>
      <c r="D106" s="410">
        <v>503010501</v>
      </c>
      <c r="E106" s="410" t="s">
        <v>84</v>
      </c>
      <c r="F106" s="410" t="s">
        <v>81</v>
      </c>
      <c r="G106" s="412">
        <f>IFERROR(IF($E106="07",VLOOKUP($B106,예산실적비교표!$X$7:$Z$200,2,FALSE),0),0)</f>
        <v>0</v>
      </c>
      <c r="H106" s="412">
        <f>IFERROR(IF($E106="06",VLOOKUP($C106,세출예산서!$K$3:$X$304,12,FALSE),0),0)</f>
        <v>0</v>
      </c>
      <c r="I106" s="412">
        <f>IFERROR(IF($E106="07",VLOOKUP($C106,세출예산서!$K$3:$X$304,13,FALSE),0),0)</f>
        <v>0</v>
      </c>
      <c r="J106" s="412">
        <f>IFERROR(IF($E106="05",VLOOKUP($C106,세출예산서!$K$3:$X$304,14,FALSE),0),0)</f>
        <v>0</v>
      </c>
      <c r="K106" s="412" t="str">
        <f t="shared" si="15"/>
        <v/>
      </c>
      <c r="L106" s="413">
        <f>IFERROR(IF($AB$2="",0,ROUNDUP(VLOOKUP($B106,예산실적비교표!$X$7:$Z$200,3,FALSE)*$Y$7/$Y$10,-3)*$Y$8),0)</f>
        <v>0</v>
      </c>
      <c r="M106" s="708" t="str">
        <f>IF($AM$1=TRUE,IF(K106="","",IF(IF($AE$2="",IF(K106="","",SUBTOTAL(2,$K$3:K106)),IF(AND(G106&gt;=0,K106=""),"",IF(AND(G106&gt;0,OR(K106&gt;0,K106&lt;0)),SUBTOTAL(2,$K$3:K106),IF(AND(G106=0,OR(K106&gt;0,K106&lt;0)),SUBTOTAL(2,$K$3:K106)+200,""))))&gt;200,"",1)),IF(K106="","",IF(IF($AE$2="",IF(K106="","",SUBTOTAL(2,$K$3:K106)),IF(AND(G106&gt;=0,K106=""),"",IF(AND(G106&gt;0,OR(K106&gt;0,K106&lt;0)),SUBTOTAL(2,$K$3:K106),IF(AND(G106=0,OR(K106&gt;0,K106&lt;0)),SUBTOTAL(2,$K$3:K106)+200,""))))&gt;200,"",1)))</f>
        <v/>
      </c>
      <c r="N106" s="214" t="str">
        <f>IF($AM$1=TRUE,IF(K106="","",IF(IF($AE$2="",IF(K106="","",SUBTOTAL(2,$K$3:K106)),IF(AND(G106&gt;=0,K106=""),"",IF(AND(G106&gt;0,OR(K106&gt;0,K106&lt;0)),SUBTOTAL(2,$K$3:K106),IF(AND(G106=0,OR(K106&gt;0,K106&lt;0)),SUBTOTAL(2,$K$3:K106)+200,""))))&lt;=200,"",2)),IF(K106="","",IF(IF($AE$2="",IF(K106="","",SUBTOTAL(2,$K$3:K106)),IF(AND(G106&gt;=0,K106=""),"",IF(AND(G106&gt;0,OR(K106&gt;0,K106&lt;0)),SUBTOTAL(2,$K$3:K106),IF(AND(G106=0,OR(K106&gt;0,K106&lt;0)),SUBTOTAL(2,$K$3:K106)+200,""))))&lt;=200,"",2)))</f>
        <v/>
      </c>
      <c r="O106" s="561"/>
      <c r="P106" s="435">
        <f t="shared" si="32"/>
        <v>0</v>
      </c>
      <c r="Q106" s="566">
        <v>0</v>
      </c>
      <c r="R106" s="514" t="s">
        <v>46</v>
      </c>
      <c r="S106" s="515" t="s">
        <v>81</v>
      </c>
      <c r="T106" s="468">
        <f t="shared" si="27"/>
        <v>0</v>
      </c>
      <c r="U106" s="574">
        <f t="shared" si="31"/>
        <v>12</v>
      </c>
      <c r="V106" s="431" t="s">
        <v>127</v>
      </c>
      <c r="AP106" s="1182" t="str">
        <f>IF(예산실적비교표!AL106&lt;&gt;"",예산실적비교표!AL106,"")</f>
        <v/>
      </c>
      <c r="AQ106" s="1183" t="str">
        <f>IF(예산실적비교표!AM106&lt;&gt;"",예산실적비교표!AM106,"")</f>
        <v/>
      </c>
      <c r="AR106" s="1184">
        <f>IF(예산실적비교표!AN106&lt;&gt;"",예산실적비교표!AN106,0)</f>
        <v>0</v>
      </c>
      <c r="AS106" s="1185">
        <f>IF(예산실적비교표!AO106&lt;&gt;"",예산실적비교표!AO106,0)</f>
        <v>0</v>
      </c>
      <c r="AT106" s="1118">
        <f t="shared" si="23"/>
        <v>0</v>
      </c>
      <c r="AU106" s="1186">
        <f>IF(예산실적비교표!AQ106&lt;&gt;"",예산실적비교표!AQ106,0)</f>
        <v>0</v>
      </c>
      <c r="AV106" s="1120">
        <f t="shared" si="24"/>
        <v>0</v>
      </c>
      <c r="AW106" s="1121">
        <f>IF(AR106="",0,ROUND((AT106*$AT$7)*데이터입력!$AF$14+(AT106*$AU$7)*데이터입력!$AF$14+(AT106*$AU$7*$AV$7)*데이터입력!$AF$14+(AT106*$AW$7)*데이터입력!$AF$14+(AT106*$AX$7)*데이터입력!$AF$14,-1))</f>
        <v>0</v>
      </c>
      <c r="AX106" s="1122">
        <f t="shared" si="25"/>
        <v>0</v>
      </c>
      <c r="AY106" s="1123">
        <f>IFERROR(IF(AR106+AS106=0,0,ROUND(IF(데이터입력!$AF$14=100%,ROUND(AR106*$AR$1,-3),ROUND(AR106*$AR$1,-3)-ROUND(((AR106*$AR$1)*$AT$4)*(데이터입력!$AF$14-100%)+((AR106*$AR$1)*$AU$4)*(데이터입력!$AF$14-100%)+((AR106*$AR$1)*$AU$4*$AV$4)*(데이터입력!$AF$14-100%)+((AR106*$AR$1)*$AW$4)*(데이터입력!$AF$14-100%),-1)),0)),0)</f>
        <v>0</v>
      </c>
      <c r="AZ106" s="1124">
        <f>IFERROR(IF(AR106+AS106=0,0,IF(데이터입력!$AF$12=100%,(AT106),(AT106)+ROUND(AT106*(데이터입력!$AF$12-100%),-1))),0)</f>
        <v>0</v>
      </c>
      <c r="BA106" s="1265" t="str">
        <f t="shared" si="22"/>
        <v/>
      </c>
      <c r="BB106" s="1264" t="str">
        <f>IF(BA106="","",IF(데이터입력!$O$68="",ROUND(AZ106/12,0),ROUND(데이터입력!$O$68/데이터입력!$Y$8/$BC$63,0)))</f>
        <v/>
      </c>
    </row>
    <row r="107" spans="1:54">
      <c r="A107" s="1047" t="str">
        <f>IF($AM$1=TRUE,IF(K107="","",SUBTOTAL(2,$K$3:K107)),IF(AND(M107="",N107=""),"",IF(N107="",COUNT($M$3:M107),COUNT($N$3:N107)+200)))</f>
        <v/>
      </c>
      <c r="B107" s="411" t="s">
        <v>65</v>
      </c>
      <c r="C107" s="411" t="s">
        <v>615</v>
      </c>
      <c r="D107" s="410">
        <v>503030101</v>
      </c>
      <c r="E107" s="410" t="s">
        <v>84</v>
      </c>
      <c r="F107" s="410" t="s">
        <v>81</v>
      </c>
      <c r="G107" s="412">
        <f>IFERROR(IF($E107="07",VLOOKUP($B107,예산실적비교표!$X$7:$Z$200,2,FALSE),0),0)</f>
        <v>0</v>
      </c>
      <c r="H107" s="412">
        <f>IFERROR(IF($E107="06",VLOOKUP($C107,세출예산서!$K$3:$X$304,12,FALSE),0),0)</f>
        <v>0</v>
      </c>
      <c r="I107" s="412">
        <f>IFERROR(IF($E107="07",VLOOKUP($C107,세출예산서!$K$3:$X$304,13,FALSE),0),0)</f>
        <v>0</v>
      </c>
      <c r="J107" s="412">
        <f>IFERROR(IF($E107="05",VLOOKUP($C107,세출예산서!$K$3:$X$304,14,FALSE),0),0)</f>
        <v>0</v>
      </c>
      <c r="K107" s="412" t="str">
        <f t="shared" ref="K107:K137" si="33">IF($AE$2="",IF(SUM(H107:J107)=0,"",SUM(H107:J107)-G107),IF(AND(G107=0,SUM(H107:J107)=0),"",SUM(H107:J107)-G107))</f>
        <v/>
      </c>
      <c r="L107" s="413">
        <f>IFERROR(IF($AB$2="",0,ROUNDUP(VLOOKUP($B107,예산실적비교표!$X$7:$Z$200,3,FALSE)*$Y$7/$Y$10,-3)*$Y$8),0)</f>
        <v>0</v>
      </c>
      <c r="M107" s="708" t="str">
        <f>IF($AM$1=TRUE,IF(K107="","",IF(IF($AE$2="",IF(K107="","",SUBTOTAL(2,$K$3:K107)),IF(AND(G107&gt;=0,K107=""),"",IF(AND(G107&gt;0,OR(K107&gt;0,K107&lt;0)),SUBTOTAL(2,$K$3:K107),IF(AND(G107=0,OR(K107&gt;0,K107&lt;0)),SUBTOTAL(2,$K$3:K107)+200,""))))&gt;200,"",1)),IF(K107="","",IF(IF($AE$2="",IF(K107="","",SUBTOTAL(2,$K$3:K107)),IF(AND(G107&gt;=0,K107=""),"",IF(AND(G107&gt;0,OR(K107&gt;0,K107&lt;0)),SUBTOTAL(2,$K$3:K107),IF(AND(G107=0,OR(K107&gt;0,K107&lt;0)),SUBTOTAL(2,$K$3:K107)+200,""))))&gt;200,"",1)))</f>
        <v/>
      </c>
      <c r="N107" s="214" t="str">
        <f>IF($AM$1=TRUE,IF(K107="","",IF(IF($AE$2="",IF(K107="","",SUBTOTAL(2,$K$3:K107)),IF(AND(G107&gt;=0,K107=""),"",IF(AND(G107&gt;0,OR(K107&gt;0,K107&lt;0)),SUBTOTAL(2,$K$3:K107),IF(AND(G107=0,OR(K107&gt;0,K107&lt;0)),SUBTOTAL(2,$K$3:K107)+200,""))))&lt;=200,"",2)),IF(K107="","",IF(IF($AE$2="",IF(K107="","",SUBTOTAL(2,$K$3:K107)),IF(AND(G107&gt;=0,K107=""),"",IF(AND(G107&gt;0,OR(K107&gt;0,K107&lt;0)),SUBTOTAL(2,$K$3:K107),IF(AND(G107=0,OR(K107&gt;0,K107&lt;0)),SUBTOTAL(2,$K$3:K107)+200,""))))&lt;=200,"",2)))</f>
        <v/>
      </c>
      <c r="O107" s="561"/>
      <c r="P107" s="435">
        <f t="shared" si="32"/>
        <v>0</v>
      </c>
      <c r="Q107" s="566">
        <v>0</v>
      </c>
      <c r="R107" s="514" t="s">
        <v>47</v>
      </c>
      <c r="S107" s="515" t="s">
        <v>81</v>
      </c>
      <c r="T107" s="468">
        <f t="shared" si="27"/>
        <v>0</v>
      </c>
      <c r="U107" s="574">
        <f t="shared" si="31"/>
        <v>12</v>
      </c>
      <c r="V107" s="431" t="s">
        <v>127</v>
      </c>
      <c r="AP107" s="1182" t="str">
        <f>IF(예산실적비교표!AL107&lt;&gt;"",예산실적비교표!AL107,"")</f>
        <v/>
      </c>
      <c r="AQ107" s="1183" t="str">
        <f>IF(예산실적비교표!AM107&lt;&gt;"",예산실적비교표!AM107,"")</f>
        <v/>
      </c>
      <c r="AR107" s="1184">
        <f>IF(예산실적비교표!AN107&lt;&gt;"",예산실적비교표!AN107,0)</f>
        <v>0</v>
      </c>
      <c r="AS107" s="1185">
        <f>IF(예산실적비교표!AO107&lt;&gt;"",예산실적비교표!AO107,0)</f>
        <v>0</v>
      </c>
      <c r="AT107" s="1118">
        <f t="shared" si="23"/>
        <v>0</v>
      </c>
      <c r="AU107" s="1186">
        <f>IF(예산실적비교표!AQ107&lt;&gt;"",예산실적비교표!AQ107,0)</f>
        <v>0</v>
      </c>
      <c r="AV107" s="1120">
        <f t="shared" si="24"/>
        <v>0</v>
      </c>
      <c r="AW107" s="1121">
        <f>IF(AR107="",0,ROUND((AT107*$AT$7)*데이터입력!$AF$14+(AT107*$AU$7)*데이터입력!$AF$14+(AT107*$AU$7*$AV$7)*데이터입력!$AF$14+(AT107*$AW$7)*데이터입력!$AF$14+(AT107*$AX$7)*데이터입력!$AF$14,-1))</f>
        <v>0</v>
      </c>
      <c r="AX107" s="1122">
        <f t="shared" si="25"/>
        <v>0</v>
      </c>
      <c r="AY107" s="1123">
        <f>IFERROR(IF(AR107+AS107=0,0,ROUND(IF(데이터입력!$AF$14=100%,ROUND(AR107*$AR$1,-3),ROUND(AR107*$AR$1,-3)-ROUND(((AR107*$AR$1)*$AT$4)*(데이터입력!$AF$14-100%)+((AR107*$AR$1)*$AU$4)*(데이터입력!$AF$14-100%)+((AR107*$AR$1)*$AU$4*$AV$4)*(데이터입력!$AF$14-100%)+((AR107*$AR$1)*$AW$4)*(데이터입력!$AF$14-100%),-1)),0)),0)</f>
        <v>0</v>
      </c>
      <c r="AZ107" s="1124">
        <f>IFERROR(IF(AR107+AS107=0,0,IF(데이터입력!$AF$12=100%,(AT107),(AT107)+ROUND(AT107*(데이터입력!$AF$12-100%),-1))),0)</f>
        <v>0</v>
      </c>
      <c r="BA107" s="1265" t="str">
        <f t="shared" si="22"/>
        <v/>
      </c>
      <c r="BB107" s="1264" t="str">
        <f>IF(BA107="","",IF(데이터입력!$O$68="",ROUND(AZ107/12,0),ROUND(데이터입력!$O$68/데이터입력!$Y$8/$BC$63,0)))</f>
        <v/>
      </c>
    </row>
    <row r="108" spans="1:54">
      <c r="A108" s="1047" t="str">
        <f>IF($AM$1=TRUE,IF(K108="","",SUBTOTAL(2,$K$3:K108)),IF(AND(M108="",N108=""),"",IF(N108="",COUNT($M$3:M108),COUNT($N$3:N108)+200)))</f>
        <v/>
      </c>
      <c r="B108" s="411" t="s">
        <v>68</v>
      </c>
      <c r="C108" s="411" t="s">
        <v>616</v>
      </c>
      <c r="D108" s="410">
        <v>505010101</v>
      </c>
      <c r="E108" s="410" t="s">
        <v>84</v>
      </c>
      <c r="F108" s="410" t="s">
        <v>81</v>
      </c>
      <c r="G108" s="412">
        <f>IFERROR(IF($E108="07",VLOOKUP($B108,예산실적비교표!$X$7:$Z$200,2,FALSE),0),0)</f>
        <v>0</v>
      </c>
      <c r="H108" s="412">
        <f>IFERROR(IF($E108="06",VLOOKUP($C108,세출예산서!$K$3:$X$304,12,FALSE),0),0)</f>
        <v>0</v>
      </c>
      <c r="I108" s="412">
        <f>IFERROR(IF($E108="07",VLOOKUP($C108,세출예산서!$K$3:$X$304,13,FALSE),0),0)</f>
        <v>0</v>
      </c>
      <c r="J108" s="412">
        <f>IFERROR(IF($E108="05",VLOOKUP($C108,세출예산서!$K$3:$X$304,14,FALSE),0),0)</f>
        <v>0</v>
      </c>
      <c r="K108" s="412" t="str">
        <f t="shared" si="33"/>
        <v/>
      </c>
      <c r="L108" s="413">
        <f>IFERROR(IF($AB$2="",0,ROUNDUP(VLOOKUP($B108,예산실적비교표!$X$7:$Z$200,3,FALSE)*$Y$7/$Y$10,-3)*$Y$8),0)</f>
        <v>0</v>
      </c>
      <c r="M108" s="708" t="str">
        <f>IF($AM$1=TRUE,IF(K108="","",IF(IF($AE$2="",IF(K108="","",SUBTOTAL(2,$K$3:K108)),IF(AND(G108&gt;=0,K108=""),"",IF(AND(G108&gt;0,OR(K108&gt;0,K108&lt;0)),SUBTOTAL(2,$K$3:K108),IF(AND(G108=0,OR(K108&gt;0,K108&lt;0)),SUBTOTAL(2,$K$3:K108)+200,""))))&gt;200,"",1)),IF(K108="","",IF(IF($AE$2="",IF(K108="","",SUBTOTAL(2,$K$3:K108)),IF(AND(G108&gt;=0,K108=""),"",IF(AND(G108&gt;0,OR(K108&gt;0,K108&lt;0)),SUBTOTAL(2,$K$3:K108),IF(AND(G108=0,OR(K108&gt;0,K108&lt;0)),SUBTOTAL(2,$K$3:K108)+200,""))))&gt;200,"",1)))</f>
        <v/>
      </c>
      <c r="N108" s="214" t="str">
        <f>IF($AM$1=TRUE,IF(K108="","",IF(IF($AE$2="",IF(K108="","",SUBTOTAL(2,$K$3:K108)),IF(AND(G108&gt;=0,K108=""),"",IF(AND(G108&gt;0,OR(K108&gt;0,K108&lt;0)),SUBTOTAL(2,$K$3:K108),IF(AND(G108=0,OR(K108&gt;0,K108&lt;0)),SUBTOTAL(2,$K$3:K108)+200,""))))&lt;=200,"",2)),IF(K108="","",IF(IF($AE$2="",IF(K108="","",SUBTOTAL(2,$K$3:K108)),IF(AND(G108&gt;=0,K108=""),"",IF(AND(G108&gt;0,OR(K108&gt;0,K108&lt;0)),SUBTOTAL(2,$K$3:K108),IF(AND(G108=0,OR(K108&gt;0,K108&lt;0)),SUBTOTAL(2,$K$3:K108)+200,""))))&lt;=200,"",2)))</f>
        <v/>
      </c>
      <c r="O108" s="561"/>
      <c r="P108" s="435">
        <f t="shared" si="32"/>
        <v>0</v>
      </c>
      <c r="Q108" s="566">
        <v>0</v>
      </c>
      <c r="R108" s="514" t="s">
        <v>48</v>
      </c>
      <c r="S108" s="515" t="s">
        <v>81</v>
      </c>
      <c r="T108" s="468">
        <f t="shared" si="27"/>
        <v>0</v>
      </c>
      <c r="U108" s="574">
        <f t="shared" si="31"/>
        <v>12</v>
      </c>
      <c r="V108" s="431" t="s">
        <v>127</v>
      </c>
      <c r="AP108" s="1182" t="str">
        <f>IF(예산실적비교표!AL108&lt;&gt;"",예산실적비교표!AL108,"")</f>
        <v/>
      </c>
      <c r="AQ108" s="1183" t="str">
        <f>IF(예산실적비교표!AM108&lt;&gt;"",예산실적비교표!AM108,"")</f>
        <v/>
      </c>
      <c r="AR108" s="1184">
        <f>IF(예산실적비교표!AN108&lt;&gt;"",예산실적비교표!AN108,0)</f>
        <v>0</v>
      </c>
      <c r="AS108" s="1185">
        <f>IF(예산실적비교표!AO108&lt;&gt;"",예산실적비교표!AO108,0)</f>
        <v>0</v>
      </c>
      <c r="AT108" s="1118">
        <f t="shared" si="23"/>
        <v>0</v>
      </c>
      <c r="AU108" s="1186">
        <f>IF(예산실적비교표!AQ108&lt;&gt;"",예산실적비교표!AQ108,0)</f>
        <v>0</v>
      </c>
      <c r="AV108" s="1120">
        <f t="shared" si="24"/>
        <v>0</v>
      </c>
      <c r="AW108" s="1121">
        <f>IF(AR108="",0,ROUND((AT108*$AT$7)*데이터입력!$AF$14+(AT108*$AU$7)*데이터입력!$AF$14+(AT108*$AU$7*$AV$7)*데이터입력!$AF$14+(AT108*$AW$7)*데이터입력!$AF$14+(AT108*$AX$7)*데이터입력!$AF$14,-1))</f>
        <v>0</v>
      </c>
      <c r="AX108" s="1122">
        <f t="shared" si="25"/>
        <v>0</v>
      </c>
      <c r="AY108" s="1123">
        <f>IFERROR(IF(AR108+AS108=0,0,ROUND(IF(데이터입력!$AF$14=100%,ROUND(AR108*$AR$1,-3),ROUND(AR108*$AR$1,-3)-ROUND(((AR108*$AR$1)*$AT$4)*(데이터입력!$AF$14-100%)+((AR108*$AR$1)*$AU$4)*(데이터입력!$AF$14-100%)+((AR108*$AR$1)*$AU$4*$AV$4)*(데이터입력!$AF$14-100%)+((AR108*$AR$1)*$AW$4)*(데이터입력!$AF$14-100%),-1)),0)),0)</f>
        <v>0</v>
      </c>
      <c r="AZ108" s="1124">
        <f>IFERROR(IF(AR108+AS108=0,0,IF(데이터입력!$AF$12=100%,(AT108),(AT108)+ROUND(AT108*(데이터입력!$AF$12-100%),-1))),0)</f>
        <v>0</v>
      </c>
      <c r="BA108" s="1265" t="str">
        <f t="shared" si="22"/>
        <v/>
      </c>
      <c r="BB108" s="1264" t="str">
        <f>IF(BA108="","",IF(데이터입력!$O$68="",ROUND(AZ108/12,0),ROUND(데이터입력!$O$68/데이터입력!$Y$8/$BC$63,0)))</f>
        <v/>
      </c>
    </row>
    <row r="109" spans="1:54">
      <c r="A109" s="1047" t="str">
        <f>IF($AM$1=TRUE,IF(K109="","",SUBTOTAL(2,$K$3:K109)),IF(AND(M109="",N109=""),"",IF(N109="",COUNT($M$3:M109),COUNT($N$3:N109)+200)))</f>
        <v/>
      </c>
      <c r="B109" s="411" t="s">
        <v>71</v>
      </c>
      <c r="C109" s="411" t="s">
        <v>617</v>
      </c>
      <c r="D109" s="410">
        <v>507010101</v>
      </c>
      <c r="E109" s="410" t="s">
        <v>84</v>
      </c>
      <c r="F109" s="410" t="s">
        <v>81</v>
      </c>
      <c r="G109" s="412">
        <f>IFERROR(IF($E109="07",VLOOKUP($B109,예산실적비교표!$X$7:$Z$200,2,FALSE),0),0)</f>
        <v>0</v>
      </c>
      <c r="H109" s="412">
        <f>IFERROR(IF($E109="06",VLOOKUP($C109,세출예산서!$K$3:$X$304,12,FALSE),0),0)</f>
        <v>0</v>
      </c>
      <c r="I109" s="412">
        <f>IFERROR(IF($E109="07",VLOOKUP($C109,세출예산서!$K$3:$X$304,13,FALSE),0),0)</f>
        <v>0</v>
      </c>
      <c r="J109" s="412">
        <f>IFERROR(IF($E109="05",VLOOKUP($C109,세출예산서!$K$3:$X$304,14,FALSE),0),0)</f>
        <v>0</v>
      </c>
      <c r="K109" s="412" t="str">
        <f t="shared" si="33"/>
        <v/>
      </c>
      <c r="L109" s="413">
        <f>IFERROR(IF($AB$2="",0,ROUNDUP(VLOOKUP($B109,예산실적비교표!$X$7:$Z$200,3,FALSE)*$Y$7/$Y$10,-3)*$Y$8),0)</f>
        <v>0</v>
      </c>
      <c r="M109" s="708" t="str">
        <f>IF($AM$1=TRUE,IF(K109="","",IF(IF($AE$2="",IF(K109="","",SUBTOTAL(2,$K$3:K109)),IF(AND(G109&gt;=0,K109=""),"",IF(AND(G109&gt;0,OR(K109&gt;0,K109&lt;0)),SUBTOTAL(2,$K$3:K109),IF(AND(G109=0,OR(K109&gt;0,K109&lt;0)),SUBTOTAL(2,$K$3:K109)+200,""))))&gt;200,"",1)),IF(K109="","",IF(IF($AE$2="",IF(K109="","",SUBTOTAL(2,$K$3:K109)),IF(AND(G109&gt;=0,K109=""),"",IF(AND(G109&gt;0,OR(K109&gt;0,K109&lt;0)),SUBTOTAL(2,$K$3:K109),IF(AND(G109=0,OR(K109&gt;0,K109&lt;0)),SUBTOTAL(2,$K$3:K109)+200,""))))&gt;200,"",1)))</f>
        <v/>
      </c>
      <c r="N109" s="214" t="str">
        <f>IF($AM$1=TRUE,IF(K109="","",IF(IF($AE$2="",IF(K109="","",SUBTOTAL(2,$K$3:K109)),IF(AND(G109&gt;=0,K109=""),"",IF(AND(G109&gt;0,OR(K109&gt;0,K109&lt;0)),SUBTOTAL(2,$K$3:K109),IF(AND(G109=0,OR(K109&gt;0,K109&lt;0)),SUBTOTAL(2,$K$3:K109)+200,""))))&lt;=200,"",2)),IF(K109="","",IF(IF($AE$2="",IF(K109="","",SUBTOTAL(2,$K$3:K109)),IF(AND(G109&gt;=0,K109=""),"",IF(AND(G109&gt;0,OR(K109&gt;0,K109&lt;0)),SUBTOTAL(2,$K$3:K109),IF(AND(G109=0,OR(K109&gt;0,K109&lt;0)),SUBTOTAL(2,$K$3:K109)+200,""))))&lt;=200,"",2)))</f>
        <v/>
      </c>
      <c r="O109" s="561"/>
      <c r="P109" s="435">
        <f t="shared" si="32"/>
        <v>0</v>
      </c>
      <c r="Q109" s="566">
        <v>0</v>
      </c>
      <c r="R109" s="514" t="s">
        <v>49</v>
      </c>
      <c r="S109" s="515" t="s">
        <v>81</v>
      </c>
      <c r="T109" s="468">
        <f t="shared" si="27"/>
        <v>0</v>
      </c>
      <c r="U109" s="574">
        <f t="shared" si="31"/>
        <v>12</v>
      </c>
      <c r="V109" s="431" t="s">
        <v>127</v>
      </c>
      <c r="AP109" s="1182" t="str">
        <f>IF(예산실적비교표!AL109&lt;&gt;"",예산실적비교표!AL109,"")</f>
        <v/>
      </c>
      <c r="AQ109" s="1183" t="str">
        <f>IF(예산실적비교표!AM109&lt;&gt;"",예산실적비교표!AM109,"")</f>
        <v/>
      </c>
      <c r="AR109" s="1184">
        <f>IF(예산실적비교표!AN109&lt;&gt;"",예산실적비교표!AN109,0)</f>
        <v>0</v>
      </c>
      <c r="AS109" s="1185">
        <f>IF(예산실적비교표!AO109&lt;&gt;"",예산실적비교표!AO109,0)</f>
        <v>0</v>
      </c>
      <c r="AT109" s="1118">
        <f t="shared" si="23"/>
        <v>0</v>
      </c>
      <c r="AU109" s="1186">
        <f>IF(예산실적비교표!AQ109&lt;&gt;"",예산실적비교표!AQ109,0)</f>
        <v>0</v>
      </c>
      <c r="AV109" s="1120">
        <f t="shared" si="24"/>
        <v>0</v>
      </c>
      <c r="AW109" s="1121">
        <f>IF(AR109="",0,ROUND((AT109*$AT$7)*데이터입력!$AF$14+(AT109*$AU$7)*데이터입력!$AF$14+(AT109*$AU$7*$AV$7)*데이터입력!$AF$14+(AT109*$AW$7)*데이터입력!$AF$14+(AT109*$AX$7)*데이터입력!$AF$14,-1))</f>
        <v>0</v>
      </c>
      <c r="AX109" s="1122">
        <f t="shared" si="25"/>
        <v>0</v>
      </c>
      <c r="AY109" s="1123">
        <f>IFERROR(IF(AR109+AS109=0,0,ROUND(IF(데이터입력!$AF$14=100%,ROUND(AR109*$AR$1,-3),ROUND(AR109*$AR$1,-3)-ROUND(((AR109*$AR$1)*$AT$4)*(데이터입력!$AF$14-100%)+((AR109*$AR$1)*$AU$4)*(데이터입력!$AF$14-100%)+((AR109*$AR$1)*$AU$4*$AV$4)*(데이터입력!$AF$14-100%)+((AR109*$AR$1)*$AW$4)*(데이터입력!$AF$14-100%),-1)),0)),0)</f>
        <v>0</v>
      </c>
      <c r="AZ109" s="1124">
        <f>IFERROR(IF(AR109+AS109=0,0,IF(데이터입력!$AF$12=100%,(AT109),(AT109)+ROUND(AT109*(데이터입력!$AF$12-100%),-1))),0)</f>
        <v>0</v>
      </c>
      <c r="BA109" s="1265" t="str">
        <f t="shared" si="22"/>
        <v/>
      </c>
      <c r="BB109" s="1264" t="str">
        <f>IF(BA109="","",IF(데이터입력!$O$68="",ROUND(AZ109/12,0),ROUND(데이터입력!$O$68/데이터입력!$Y$8/$BC$63,0)))</f>
        <v/>
      </c>
    </row>
    <row r="110" spans="1:54">
      <c r="A110" s="1047" t="str">
        <f>IF($AM$1=TRUE,IF(K110="","",SUBTOTAL(2,$K$3:K110)),IF(AND(M110="",N110=""),"",IF(N110="",COUNT($M$3:M110),COUNT($N$3:N110)+200)))</f>
        <v/>
      </c>
      <c r="B110" s="411" t="s">
        <v>73</v>
      </c>
      <c r="C110" s="411" t="s">
        <v>618</v>
      </c>
      <c r="D110" s="410">
        <v>508010201</v>
      </c>
      <c r="E110" s="410" t="s">
        <v>84</v>
      </c>
      <c r="F110" s="410" t="s">
        <v>81</v>
      </c>
      <c r="G110" s="412">
        <f>IFERROR(IF($E110="07",VLOOKUP($B110,예산실적비교표!$X$7:$Z$200,2,FALSE),0),0)</f>
        <v>0</v>
      </c>
      <c r="H110" s="412">
        <f>IFERROR(IF($E110="06",VLOOKUP($C110,세출예산서!$K$3:$X$304,12,FALSE),0),0)</f>
        <v>0</v>
      </c>
      <c r="I110" s="412">
        <f>IFERROR(IF($E110="07",VLOOKUP($C110,세출예산서!$K$3:$X$304,13,FALSE),0),0)</f>
        <v>0</v>
      </c>
      <c r="J110" s="412">
        <f>IFERROR(IF($E110="05",VLOOKUP($C110,세출예산서!$K$3:$X$304,14,FALSE),0),0)</f>
        <v>0</v>
      </c>
      <c r="K110" s="412" t="str">
        <f t="shared" si="33"/>
        <v/>
      </c>
      <c r="L110" s="413">
        <f>IFERROR(IF($AB$2="",0,ROUNDUP(VLOOKUP($B110,예산실적비교표!$X$7:$Z$200,3,FALSE)/$Y$10,-3)*$Y$8),0)</f>
        <v>0</v>
      </c>
      <c r="M110" s="708" t="str">
        <f>IF($AM$1=TRUE,IF(K110="","",IF(IF($AE$2="",IF(K110="","",SUBTOTAL(2,$K$3:K110)),IF(AND(G110&gt;=0,K110=""),"",IF(AND(G110&gt;0,OR(K110&gt;0,K110&lt;0)),SUBTOTAL(2,$K$3:K110),IF(AND(G110=0,OR(K110&gt;0,K110&lt;0)),SUBTOTAL(2,$K$3:K110)+200,""))))&gt;200,"",1)),IF(K110="","",IF(IF($AE$2="",IF(K110="","",SUBTOTAL(2,$K$3:K110)),IF(AND(G110&gt;=0,K110=""),"",IF(AND(G110&gt;0,OR(K110&gt;0,K110&lt;0)),SUBTOTAL(2,$K$3:K110),IF(AND(G110=0,OR(K110&gt;0,K110&lt;0)),SUBTOTAL(2,$K$3:K110)+200,""))))&gt;200,"",1)))</f>
        <v/>
      </c>
      <c r="N110" s="214" t="str">
        <f>IF($AM$1=TRUE,IF(K110="","",IF(IF($AE$2="",IF(K110="","",SUBTOTAL(2,$K$3:K110)),IF(AND(G110&gt;=0,K110=""),"",IF(AND(G110&gt;0,OR(K110&gt;0,K110&lt;0)),SUBTOTAL(2,$K$3:K110),IF(AND(G110=0,OR(K110&gt;0,K110&lt;0)),SUBTOTAL(2,$K$3:K110)+200,""))))&lt;=200,"",2)),IF(K110="","",IF(IF($AE$2="",IF(K110="","",SUBTOTAL(2,$K$3:K110)),IF(AND(G110&gt;=0,K110=""),"",IF(AND(G110&gt;0,OR(K110&gt;0,K110&lt;0)),SUBTOTAL(2,$K$3:K110),IF(AND(G110=0,OR(K110&gt;0,K110&lt;0)),SUBTOTAL(2,$K$3:K110)+200,""))))&lt;=200,"",2)))</f>
        <v/>
      </c>
      <c r="O110" s="561"/>
      <c r="P110" s="435">
        <f t="shared" si="32"/>
        <v>0</v>
      </c>
      <c r="Q110" s="566">
        <v>0</v>
      </c>
      <c r="R110" s="514" t="s">
        <v>50</v>
      </c>
      <c r="S110" s="515" t="s">
        <v>81</v>
      </c>
      <c r="T110" s="468">
        <f t="shared" si="27"/>
        <v>0</v>
      </c>
      <c r="U110" s="574">
        <f t="shared" si="31"/>
        <v>12</v>
      </c>
      <c r="V110" s="431" t="s">
        <v>127</v>
      </c>
      <c r="AP110" s="1182" t="str">
        <f>IF(예산실적비교표!AL110&lt;&gt;"",예산실적비교표!AL110,"")</f>
        <v/>
      </c>
      <c r="AQ110" s="1183" t="str">
        <f>IF(예산실적비교표!AM110&lt;&gt;"",예산실적비교표!AM110,"")</f>
        <v/>
      </c>
      <c r="AR110" s="1184">
        <f>IF(예산실적비교표!AN110&lt;&gt;"",예산실적비교표!AN110,0)</f>
        <v>0</v>
      </c>
      <c r="AS110" s="1185">
        <f>IF(예산실적비교표!AO110&lt;&gt;"",예산실적비교표!AO110,0)</f>
        <v>0</v>
      </c>
      <c r="AT110" s="1118">
        <f t="shared" si="23"/>
        <v>0</v>
      </c>
      <c r="AU110" s="1186">
        <f>IF(예산실적비교표!AQ110&lt;&gt;"",예산실적비교표!AQ110,0)</f>
        <v>0</v>
      </c>
      <c r="AV110" s="1120">
        <f t="shared" si="24"/>
        <v>0</v>
      </c>
      <c r="AW110" s="1121">
        <f>IF(AR110="",0,ROUND((AT110*$AT$7)*데이터입력!$AF$14+(AT110*$AU$7)*데이터입력!$AF$14+(AT110*$AU$7*$AV$7)*데이터입력!$AF$14+(AT110*$AW$7)*데이터입력!$AF$14+(AT110*$AX$7)*데이터입력!$AF$14,-1))</f>
        <v>0</v>
      </c>
      <c r="AX110" s="1122">
        <f t="shared" si="25"/>
        <v>0</v>
      </c>
      <c r="AY110" s="1123">
        <f>IFERROR(IF(AR110+AS110=0,0,ROUND(IF(데이터입력!$AF$14=100%,ROUND(AR110*$AR$1,-3),ROUND(AR110*$AR$1,-3)-ROUND(((AR110*$AR$1)*$AT$4)*(데이터입력!$AF$14-100%)+((AR110*$AR$1)*$AU$4)*(데이터입력!$AF$14-100%)+((AR110*$AR$1)*$AU$4*$AV$4)*(데이터입력!$AF$14-100%)+((AR110*$AR$1)*$AW$4)*(데이터입력!$AF$14-100%),-1)),0)),0)</f>
        <v>0</v>
      </c>
      <c r="AZ110" s="1124">
        <f>IFERROR(IF(AR110+AS110=0,0,IF(데이터입력!$AF$12=100%,(AT110),(AT110)+ROUND(AT110*(데이터입력!$AF$12-100%),-1))),0)</f>
        <v>0</v>
      </c>
      <c r="BA110" s="1265" t="str">
        <f t="shared" si="22"/>
        <v/>
      </c>
      <c r="BB110" s="1264" t="str">
        <f>IF(BA110="","",IF(데이터입력!$O$68="",ROUND(AZ110/12,0),ROUND(데이터입력!$O$68/데이터입력!$Y$8/$BC$63,0)))</f>
        <v/>
      </c>
    </row>
    <row r="111" spans="1:54">
      <c r="A111" s="1048" t="str">
        <f>IF($AM$1=TRUE,IF(K111="","",SUBTOTAL(2,$K$3:K111)),IF(AND(M111="",N111=""),"",IF(N111="",COUNT($M$3:M111),COUNT($N$3:N111)+200)))</f>
        <v/>
      </c>
      <c r="B111" s="439" t="s">
        <v>40</v>
      </c>
      <c r="C111" s="439" t="s">
        <v>619</v>
      </c>
      <c r="D111" s="438">
        <v>501010101</v>
      </c>
      <c r="E111" s="438" t="s">
        <v>85</v>
      </c>
      <c r="F111" s="438" t="s">
        <v>82</v>
      </c>
      <c r="G111" s="440">
        <f>IFERROR(IF($E111="05",VLOOKUP($B111,예산실적비교표!$AG$7:$AJ$200,2,FALSE),0),0)</f>
        <v>0</v>
      </c>
      <c r="H111" s="440">
        <f>IFERROR(IF($E111="06",VLOOKUP($C111,세출예산서!$K$3:$X$304,12,FALSE),0),0)</f>
        <v>0</v>
      </c>
      <c r="I111" s="440">
        <f>IFERROR(IF($E111="07",VLOOKUP($C111,세출예산서!$K$3:$X$304,13,FALSE),0),0)</f>
        <v>0</v>
      </c>
      <c r="J111" s="440">
        <f>IFERROR(IF($E111="05",VLOOKUP($C111,세출예산서!$K$3:$X$304,14,FALSE),0),0)</f>
        <v>0</v>
      </c>
      <c r="K111" s="440" t="str">
        <f t="shared" si="33"/>
        <v/>
      </c>
      <c r="L111" s="441">
        <f>IFERROR(IF($AB$2="",0,ROUNDUP(VLOOKUP($B111,예산실적비교표!$AG$7:$AJ$200,3,FALSE)*$Y$7/$Y$9,-3)*$Y$8),0)</f>
        <v>0</v>
      </c>
      <c r="M111" s="708" t="str">
        <f>IF($AM$1=TRUE,IF(K111="","",IF(IF($AE$2="",IF(K111="","",SUBTOTAL(2,$K$3:K111)),IF(AND(G111&gt;=0,K111=""),"",IF(AND(G111&gt;0,OR(K111&gt;0,K111&lt;0)),SUBTOTAL(2,$K$3:K111),IF(AND(G111=0,OR(K111&gt;0,K111&lt;0)),SUBTOTAL(2,$K$3:K111)+200,""))))&gt;200,"",1)),IF(K111="","",IF(IF($AE$2="",IF(K111="","",SUBTOTAL(2,$K$3:K111)),IF(AND(G111&gt;=0,K111=""),"",IF(AND(G111&gt;0,OR(K111&gt;0,K111&lt;0)),SUBTOTAL(2,$K$3:K111),IF(AND(G111=0,OR(K111&gt;0,K111&lt;0)),SUBTOTAL(2,$K$3:K111)+200,""))))&gt;200,"",1)))</f>
        <v/>
      </c>
      <c r="N111" s="214" t="str">
        <f>IF($AM$1=TRUE,IF(K111="","",IF(IF($AE$2="",IF(K111="","",SUBTOTAL(2,$K$3:K111)),IF(AND(G111&gt;=0,K111=""),"",IF(AND(G111&gt;0,OR(K111&gt;0,K111&lt;0)),SUBTOTAL(2,$K$3:K111),IF(AND(G111=0,OR(K111&gt;0,K111&lt;0)),SUBTOTAL(2,$K$3:K111)+200,""))))&lt;=200,"",2)),IF(K111="","",IF(IF($AE$2="",IF(K111="","",SUBTOTAL(2,$K$3:K111)),IF(AND(G111&gt;=0,K111=""),"",IF(AND(G111&gt;0,OR(K111&gt;0,K111&lt;0)),SUBTOTAL(2,$K$3:K111),IF(AND(G111=0,OR(K111&gt;0,K111&lt;0)),SUBTOTAL(2,$K$3:K111)+200,""))))&lt;=200,"",2)))</f>
        <v/>
      </c>
      <c r="O111" s="561"/>
      <c r="P111" s="435">
        <f t="shared" si="32"/>
        <v>0</v>
      </c>
      <c r="Q111" s="566">
        <v>0</v>
      </c>
      <c r="R111" s="514" t="s">
        <v>51</v>
      </c>
      <c r="S111" s="515" t="s">
        <v>81</v>
      </c>
      <c r="T111" s="468">
        <f t="shared" si="27"/>
        <v>0</v>
      </c>
      <c r="U111" s="574">
        <f t="shared" si="31"/>
        <v>12</v>
      </c>
      <c r="V111" s="431" t="s">
        <v>127</v>
      </c>
      <c r="AP111" s="1182" t="str">
        <f>IF(예산실적비교표!AL111&lt;&gt;"",예산실적비교표!AL111,"")</f>
        <v/>
      </c>
      <c r="AQ111" s="1183" t="str">
        <f>IF(예산실적비교표!AM111&lt;&gt;"",예산실적비교표!AM111,"")</f>
        <v/>
      </c>
      <c r="AR111" s="1184">
        <f>IF(예산실적비교표!AN111&lt;&gt;"",예산실적비교표!AN111,0)</f>
        <v>0</v>
      </c>
      <c r="AS111" s="1185">
        <f>IF(예산실적비교표!AO111&lt;&gt;"",예산실적비교표!AO111,0)</f>
        <v>0</v>
      </c>
      <c r="AT111" s="1118">
        <f t="shared" si="23"/>
        <v>0</v>
      </c>
      <c r="AU111" s="1186">
        <f>IF(예산실적비교표!AQ111&lt;&gt;"",예산실적비교표!AQ111,0)</f>
        <v>0</v>
      </c>
      <c r="AV111" s="1120">
        <f t="shared" si="24"/>
        <v>0</v>
      </c>
      <c r="AW111" s="1121">
        <f>IF(AR111="",0,ROUND((AT111*$AT$7)*데이터입력!$AF$14+(AT111*$AU$7)*데이터입력!$AF$14+(AT111*$AU$7*$AV$7)*데이터입력!$AF$14+(AT111*$AW$7)*데이터입력!$AF$14+(AT111*$AX$7)*데이터입력!$AF$14,-1))</f>
        <v>0</v>
      </c>
      <c r="AX111" s="1122">
        <f t="shared" si="25"/>
        <v>0</v>
      </c>
      <c r="AY111" s="1123">
        <f>IFERROR(IF(AR111+AS111=0,0,ROUND(IF(데이터입력!$AF$14=100%,ROUND(AR111*$AR$1,-3),ROUND(AR111*$AR$1,-3)-ROUND(((AR111*$AR$1)*$AT$4)*(데이터입력!$AF$14-100%)+((AR111*$AR$1)*$AU$4)*(데이터입력!$AF$14-100%)+((AR111*$AR$1)*$AU$4*$AV$4)*(데이터입력!$AF$14-100%)+((AR111*$AR$1)*$AW$4)*(데이터입력!$AF$14-100%),-1)),0)),0)</f>
        <v>0</v>
      </c>
      <c r="AZ111" s="1124">
        <f>IFERROR(IF(AR111+AS111=0,0,IF(데이터입력!$AF$12=100%,(AT111),(AT111)+ROUND(AT111*(데이터입력!$AF$12-100%),-1))),0)</f>
        <v>0</v>
      </c>
      <c r="BA111" s="1265" t="str">
        <f t="shared" si="22"/>
        <v/>
      </c>
      <c r="BB111" s="1264" t="str">
        <f>IF(BA111="","",IF(데이터입력!$O$68="",ROUND(AZ111/12,0),ROUND(데이터입력!$O$68/데이터입력!$Y$8/$BC$63,0)))</f>
        <v/>
      </c>
    </row>
    <row r="112" spans="1:54">
      <c r="A112" s="1048" t="str">
        <f>IF($AM$1=TRUE,IF(K112="","",SUBTOTAL(2,$K$3:K112)),IF(AND(M112="",N112=""),"",IF(N112="",COUNT($M$3:M112),COUNT($N$3:N112)+200)))</f>
        <v/>
      </c>
      <c r="B112" s="439" t="s">
        <v>41</v>
      </c>
      <c r="C112" s="439" t="s">
        <v>620</v>
      </c>
      <c r="D112" s="438">
        <v>501010102</v>
      </c>
      <c r="E112" s="438" t="s">
        <v>85</v>
      </c>
      <c r="F112" s="438" t="s">
        <v>82</v>
      </c>
      <c r="G112" s="440">
        <f>IFERROR(IF($E112="05",VLOOKUP($B112,예산실적비교표!$AG$7:$AJ$200,2,FALSE),0),0)</f>
        <v>0</v>
      </c>
      <c r="H112" s="440">
        <f>IFERROR(IF($E112="06",VLOOKUP($C112,세출예산서!$K$3:$X$304,12,FALSE),0),0)</f>
        <v>0</v>
      </c>
      <c r="I112" s="440">
        <f>IFERROR(IF($E112="07",VLOOKUP($C112,세출예산서!$K$3:$X$304,13,FALSE),0),0)</f>
        <v>0</v>
      </c>
      <c r="J112" s="440">
        <f>IFERROR(IF($E112="05",VLOOKUP($C112,세출예산서!$K$3:$X$304,14,FALSE),0),0)</f>
        <v>0</v>
      </c>
      <c r="K112" s="440" t="str">
        <f t="shared" si="33"/>
        <v/>
      </c>
      <c r="L112" s="441">
        <f>IFERROR(IF($AB$2="",0,ROUNDUP(VLOOKUP($B112,예산실적비교표!$AG$7:$AJ$200,3,FALSE)*$Y$7/$Y$9,-3)*$Y$8),0)</f>
        <v>0</v>
      </c>
      <c r="M112" s="708" t="str">
        <f>IF($AM$1=TRUE,IF(K112="","",IF(IF($AE$2="",IF(K112="","",SUBTOTAL(2,$K$3:K112)),IF(AND(G112&gt;=0,K112=""),"",IF(AND(G112&gt;0,OR(K112&gt;0,K112&lt;0)),SUBTOTAL(2,$K$3:K112),IF(AND(G112=0,OR(K112&gt;0,K112&lt;0)),SUBTOTAL(2,$K$3:K112)+200,""))))&gt;200,"",1)),IF(K112="","",IF(IF($AE$2="",IF(K112="","",SUBTOTAL(2,$K$3:K112)),IF(AND(G112&gt;=0,K112=""),"",IF(AND(G112&gt;0,OR(K112&gt;0,K112&lt;0)),SUBTOTAL(2,$K$3:K112),IF(AND(G112=0,OR(K112&gt;0,K112&lt;0)),SUBTOTAL(2,$K$3:K112)+200,""))))&gt;200,"",1)))</f>
        <v/>
      </c>
      <c r="N112" s="214" t="str">
        <f>IF($AM$1=TRUE,IF(K112="","",IF(IF($AE$2="",IF(K112="","",SUBTOTAL(2,$K$3:K112)),IF(AND(G112&gt;=0,K112=""),"",IF(AND(G112&gt;0,OR(K112&gt;0,K112&lt;0)),SUBTOTAL(2,$K$3:K112),IF(AND(G112=0,OR(K112&gt;0,K112&lt;0)),SUBTOTAL(2,$K$3:K112)+200,""))))&lt;=200,"",2)),IF(K112="","",IF(IF($AE$2="",IF(K112="","",SUBTOTAL(2,$K$3:K112)),IF(AND(G112&gt;=0,K112=""),"",IF(AND(G112&gt;0,OR(K112&gt;0,K112&lt;0)),SUBTOTAL(2,$K$3:K112),IF(AND(G112=0,OR(K112&gt;0,K112&lt;0)),SUBTOTAL(2,$K$3:K112)+200,""))))&lt;=200,"",2)))</f>
        <v/>
      </c>
      <c r="O112" s="561"/>
      <c r="P112" s="435">
        <f t="shared" si="32"/>
        <v>0</v>
      </c>
      <c r="Q112" s="566">
        <v>0</v>
      </c>
      <c r="R112" s="514" t="s">
        <v>52</v>
      </c>
      <c r="S112" s="515" t="s">
        <v>81</v>
      </c>
      <c r="T112" s="468">
        <f t="shared" si="27"/>
        <v>0</v>
      </c>
      <c r="U112" s="574">
        <f t="shared" si="31"/>
        <v>12</v>
      </c>
      <c r="V112" s="431" t="s">
        <v>127</v>
      </c>
      <c r="AP112" s="1182" t="str">
        <f>IF(예산실적비교표!AL112&lt;&gt;"",예산실적비교표!AL112,"")</f>
        <v/>
      </c>
      <c r="AQ112" s="1183" t="str">
        <f>IF(예산실적비교표!AM112&lt;&gt;"",예산실적비교표!AM112,"")</f>
        <v/>
      </c>
      <c r="AR112" s="1184">
        <f>IF(예산실적비교표!AN112&lt;&gt;"",예산실적비교표!AN112,0)</f>
        <v>0</v>
      </c>
      <c r="AS112" s="1185">
        <f>IF(예산실적비교표!AO112&lt;&gt;"",예산실적비교표!AO112,0)</f>
        <v>0</v>
      </c>
      <c r="AT112" s="1118">
        <f t="shared" si="23"/>
        <v>0</v>
      </c>
      <c r="AU112" s="1186">
        <f>IF(예산실적비교표!AQ112&lt;&gt;"",예산실적비교표!AQ112,0)</f>
        <v>0</v>
      </c>
      <c r="AV112" s="1120">
        <f t="shared" si="24"/>
        <v>0</v>
      </c>
      <c r="AW112" s="1121">
        <f>IF(AR112="",0,ROUND((AT112*$AT$7)*데이터입력!$AF$14+(AT112*$AU$7)*데이터입력!$AF$14+(AT112*$AU$7*$AV$7)*데이터입력!$AF$14+(AT112*$AW$7)*데이터입력!$AF$14+(AT112*$AX$7)*데이터입력!$AF$14,-1))</f>
        <v>0</v>
      </c>
      <c r="AX112" s="1122">
        <f t="shared" si="25"/>
        <v>0</v>
      </c>
      <c r="AY112" s="1123">
        <f>IFERROR(IF(AR112+AS112=0,0,ROUND(IF(데이터입력!$AF$14=100%,ROUND(AR112*$AR$1,-3),ROUND(AR112*$AR$1,-3)-ROUND(((AR112*$AR$1)*$AT$4)*(데이터입력!$AF$14-100%)+((AR112*$AR$1)*$AU$4)*(데이터입력!$AF$14-100%)+((AR112*$AR$1)*$AU$4*$AV$4)*(데이터입력!$AF$14-100%)+((AR112*$AR$1)*$AW$4)*(데이터입력!$AF$14-100%),-1)),0)),0)</f>
        <v>0</v>
      </c>
      <c r="AZ112" s="1124">
        <f>IFERROR(IF(AR112+AS112=0,0,IF(데이터입력!$AF$12=100%,(AT112),(AT112)+ROUND(AT112*(데이터입력!$AF$12-100%),-1))),0)</f>
        <v>0</v>
      </c>
      <c r="BA112" s="1265" t="str">
        <f t="shared" si="22"/>
        <v/>
      </c>
      <c r="BB112" s="1264" t="str">
        <f>IF(BA112="","",IF(데이터입력!$O$68="",ROUND(AZ112/12,0),ROUND(데이터입력!$O$68/데이터입력!$Y$8/$BC$63,0)))</f>
        <v/>
      </c>
    </row>
    <row r="113" spans="1:54">
      <c r="A113" s="1048" t="str">
        <f>IF($AM$1=TRUE,IF(K113="","",SUBTOTAL(2,$K$3:K113)),IF(AND(M113="",N113=""),"",IF(N113="",COUNT($M$3:M113),COUNT($N$3:N113)+200)))</f>
        <v/>
      </c>
      <c r="B113" s="439" t="s">
        <v>42</v>
      </c>
      <c r="C113" s="439" t="s">
        <v>621</v>
      </c>
      <c r="D113" s="438">
        <v>501010201</v>
      </c>
      <c r="E113" s="438" t="s">
        <v>85</v>
      </c>
      <c r="F113" s="438" t="s">
        <v>82</v>
      </c>
      <c r="G113" s="440">
        <f>IFERROR(IF($E113="05",VLOOKUP($B113,예산실적비교표!$AG$7:$AJ$200,2,FALSE),0),0)</f>
        <v>0</v>
      </c>
      <c r="H113" s="440">
        <f>IFERROR(IF($E113="06",VLOOKUP($C113,세출예산서!$K$3:$X$304,12,FALSE),0),0)</f>
        <v>0</v>
      </c>
      <c r="I113" s="440">
        <f>IFERROR(IF($E113="07",VLOOKUP($C113,세출예산서!$K$3:$X$304,13,FALSE),0),0)</f>
        <v>0</v>
      </c>
      <c r="J113" s="440">
        <f>IFERROR(IF($E113="05",VLOOKUP($C113,세출예산서!$K$3:$X$304,14,FALSE),0),0)</f>
        <v>0</v>
      </c>
      <c r="K113" s="440" t="str">
        <f t="shared" si="33"/>
        <v/>
      </c>
      <c r="L113" s="441">
        <f>IFERROR(IF($AB$2="",0,ROUNDUP(VLOOKUP($B113,예산실적비교표!$AG$7:$AJ$200,3,FALSE)*$Y$7/$Y$9,-3)*$Y$8),0)</f>
        <v>0</v>
      </c>
      <c r="M113" s="708" t="str">
        <f>IF($AM$1=TRUE,IF(K113="","",IF(IF($AE$2="",IF(K113="","",SUBTOTAL(2,$K$3:K113)),IF(AND(G113&gt;=0,K113=""),"",IF(AND(G113&gt;0,OR(K113&gt;0,K113&lt;0)),SUBTOTAL(2,$K$3:K113),IF(AND(G113=0,OR(K113&gt;0,K113&lt;0)),SUBTOTAL(2,$K$3:K113)+200,""))))&gt;200,"",1)),IF(K113="","",IF(IF($AE$2="",IF(K113="","",SUBTOTAL(2,$K$3:K113)),IF(AND(G113&gt;=0,K113=""),"",IF(AND(G113&gt;0,OR(K113&gt;0,K113&lt;0)),SUBTOTAL(2,$K$3:K113),IF(AND(G113=0,OR(K113&gt;0,K113&lt;0)),SUBTOTAL(2,$K$3:K113)+200,""))))&gt;200,"",1)))</f>
        <v/>
      </c>
      <c r="N113" s="214" t="str">
        <f>IF($AM$1=TRUE,IF(K113="","",IF(IF($AE$2="",IF(K113="","",SUBTOTAL(2,$K$3:K113)),IF(AND(G113&gt;=0,K113=""),"",IF(AND(G113&gt;0,OR(K113&gt;0,K113&lt;0)),SUBTOTAL(2,$K$3:K113),IF(AND(G113=0,OR(K113&gt;0,K113&lt;0)),SUBTOTAL(2,$K$3:K113)+200,""))))&lt;=200,"",2)),IF(K113="","",IF(IF($AE$2="",IF(K113="","",SUBTOTAL(2,$K$3:K113)),IF(AND(G113&gt;=0,K113=""),"",IF(AND(G113&gt;0,OR(K113&gt;0,K113&lt;0)),SUBTOTAL(2,$K$3:K113),IF(AND(G113=0,OR(K113&gt;0,K113&lt;0)),SUBTOTAL(2,$K$3:K113)+200,""))))&lt;=200,"",2)))</f>
        <v/>
      </c>
      <c r="O113" s="561"/>
      <c r="P113" s="435">
        <f t="shared" si="32"/>
        <v>0</v>
      </c>
      <c r="Q113" s="566">
        <v>0</v>
      </c>
      <c r="R113" s="514" t="s">
        <v>53</v>
      </c>
      <c r="S113" s="515" t="s">
        <v>81</v>
      </c>
      <c r="T113" s="468">
        <f t="shared" si="27"/>
        <v>0</v>
      </c>
      <c r="U113" s="574">
        <f t="shared" si="31"/>
        <v>12</v>
      </c>
      <c r="V113" s="431" t="s">
        <v>127</v>
      </c>
      <c r="AP113" s="1182" t="str">
        <f>IF(예산실적비교표!AL113&lt;&gt;"",예산실적비교표!AL113,"")</f>
        <v/>
      </c>
      <c r="AQ113" s="1183" t="str">
        <f>IF(예산실적비교표!AM113&lt;&gt;"",예산실적비교표!AM113,"")</f>
        <v/>
      </c>
      <c r="AR113" s="1184">
        <f>IF(예산실적비교표!AN113&lt;&gt;"",예산실적비교표!AN113,0)</f>
        <v>0</v>
      </c>
      <c r="AS113" s="1185">
        <f>IF(예산실적비교표!AO113&lt;&gt;"",예산실적비교표!AO113,0)</f>
        <v>0</v>
      </c>
      <c r="AT113" s="1118">
        <f t="shared" si="23"/>
        <v>0</v>
      </c>
      <c r="AU113" s="1186">
        <f>IF(예산실적비교표!AQ113&lt;&gt;"",예산실적비교표!AQ113,0)</f>
        <v>0</v>
      </c>
      <c r="AV113" s="1120">
        <f t="shared" si="24"/>
        <v>0</v>
      </c>
      <c r="AW113" s="1121">
        <f>IF(AR113="",0,ROUND((AT113*$AT$7)*데이터입력!$AF$14+(AT113*$AU$7)*데이터입력!$AF$14+(AT113*$AU$7*$AV$7)*데이터입력!$AF$14+(AT113*$AW$7)*데이터입력!$AF$14+(AT113*$AX$7)*데이터입력!$AF$14,-1))</f>
        <v>0</v>
      </c>
      <c r="AX113" s="1122">
        <f t="shared" si="25"/>
        <v>0</v>
      </c>
      <c r="AY113" s="1123">
        <f>IFERROR(IF(AR113+AS113=0,0,ROUND(IF(데이터입력!$AF$14=100%,ROUND(AR113*$AR$1,-3),ROUND(AR113*$AR$1,-3)-ROUND(((AR113*$AR$1)*$AT$4)*(데이터입력!$AF$14-100%)+((AR113*$AR$1)*$AU$4)*(데이터입력!$AF$14-100%)+((AR113*$AR$1)*$AU$4*$AV$4)*(데이터입력!$AF$14-100%)+((AR113*$AR$1)*$AW$4)*(데이터입력!$AF$14-100%),-1)),0)),0)</f>
        <v>0</v>
      </c>
      <c r="AZ113" s="1124">
        <f>IFERROR(IF(AR113+AS113=0,0,IF(데이터입력!$AF$12=100%,(AT113),(AT113)+ROUND(AT113*(데이터입력!$AF$12-100%),-1))),0)</f>
        <v>0</v>
      </c>
      <c r="BA113" s="1265" t="str">
        <f t="shared" si="22"/>
        <v/>
      </c>
      <c r="BB113" s="1264" t="str">
        <f>IF(BA113="","",IF(데이터입력!$O$68="",ROUND(AZ113/12,0),ROUND(데이터입력!$O$68/데이터입력!$Y$8/$BC$63,0)))</f>
        <v/>
      </c>
    </row>
    <row r="114" spans="1:54">
      <c r="A114" s="1048" t="str">
        <f>IF($AM$1=TRUE,IF(K114="","",SUBTOTAL(2,$K$3:K114)),IF(AND(M114="",N114=""),"",IF(N114="",COUNT($M$3:M114),COUNT($N$3:N114)+200)))</f>
        <v/>
      </c>
      <c r="B114" s="439" t="s">
        <v>43</v>
      </c>
      <c r="C114" s="439" t="s">
        <v>622</v>
      </c>
      <c r="D114" s="438">
        <v>501010202</v>
      </c>
      <c r="E114" s="438" t="s">
        <v>85</v>
      </c>
      <c r="F114" s="438" t="s">
        <v>82</v>
      </c>
      <c r="G114" s="440">
        <f>IFERROR(IF($E114="05",VLOOKUP($B114,예산실적비교표!$AG$7:$AJ$200,2,FALSE),0),0)</f>
        <v>0</v>
      </c>
      <c r="H114" s="440">
        <f>IFERROR(IF($E114="06",VLOOKUP($C114,세출예산서!$K$3:$X$304,12,FALSE),0),0)</f>
        <v>0</v>
      </c>
      <c r="I114" s="440">
        <f>IFERROR(IF($E114="07",VLOOKUP($C114,세출예산서!$K$3:$X$304,13,FALSE),0),0)</f>
        <v>0</v>
      </c>
      <c r="J114" s="440">
        <f>IFERROR(IF($E114="05",VLOOKUP($C114,세출예산서!$K$3:$X$304,14,FALSE),0),0)</f>
        <v>0</v>
      </c>
      <c r="K114" s="440" t="str">
        <f t="shared" si="33"/>
        <v/>
      </c>
      <c r="L114" s="441">
        <f>IFERROR(IF($AB$2="",0,ROUNDUP(VLOOKUP($B114,예산실적비교표!$AG$7:$AJ$200,3,FALSE)*$Y$7/$Y$9,-3)*$Y$8),0)</f>
        <v>0</v>
      </c>
      <c r="M114" s="708" t="str">
        <f>IF($AM$1=TRUE,IF(K114="","",IF(IF($AE$2="",IF(K114="","",SUBTOTAL(2,$K$3:K114)),IF(AND(G114&gt;=0,K114=""),"",IF(AND(G114&gt;0,OR(K114&gt;0,K114&lt;0)),SUBTOTAL(2,$K$3:K114),IF(AND(G114=0,OR(K114&gt;0,K114&lt;0)),SUBTOTAL(2,$K$3:K114)+200,""))))&gt;200,"",1)),IF(K114="","",IF(IF($AE$2="",IF(K114="","",SUBTOTAL(2,$K$3:K114)),IF(AND(G114&gt;=0,K114=""),"",IF(AND(G114&gt;0,OR(K114&gt;0,K114&lt;0)),SUBTOTAL(2,$K$3:K114),IF(AND(G114=0,OR(K114&gt;0,K114&lt;0)),SUBTOTAL(2,$K$3:K114)+200,""))))&gt;200,"",1)))</f>
        <v/>
      </c>
      <c r="N114" s="214" t="str">
        <f>IF($AM$1=TRUE,IF(K114="","",IF(IF($AE$2="",IF(K114="","",SUBTOTAL(2,$K$3:K114)),IF(AND(G114&gt;=0,K114=""),"",IF(AND(G114&gt;0,OR(K114&gt;0,K114&lt;0)),SUBTOTAL(2,$K$3:K114),IF(AND(G114=0,OR(K114&gt;0,K114&lt;0)),SUBTOTAL(2,$K$3:K114)+200,""))))&lt;=200,"",2)),IF(K114="","",IF(IF($AE$2="",IF(K114="","",SUBTOTAL(2,$K$3:K114)),IF(AND(G114&gt;=0,K114=""),"",IF(AND(G114&gt;0,OR(K114&gt;0,K114&lt;0)),SUBTOTAL(2,$K$3:K114),IF(AND(G114=0,OR(K114&gt;0,K114&lt;0)),SUBTOTAL(2,$K$3:K114)+200,""))))&lt;=200,"",2)))</f>
        <v/>
      </c>
      <c r="O114" s="561"/>
      <c r="P114" s="435">
        <f t="shared" si="32"/>
        <v>0</v>
      </c>
      <c r="Q114" s="566">
        <v>0</v>
      </c>
      <c r="R114" s="514" t="s">
        <v>54</v>
      </c>
      <c r="S114" s="515" t="s">
        <v>81</v>
      </c>
      <c r="T114" s="468">
        <f t="shared" si="27"/>
        <v>0</v>
      </c>
      <c r="U114" s="574">
        <f t="shared" si="31"/>
        <v>12</v>
      </c>
      <c r="V114" s="431" t="s">
        <v>127</v>
      </c>
      <c r="AP114" s="1182" t="str">
        <f>IF(예산실적비교표!AL114&lt;&gt;"",예산실적비교표!AL114,"")</f>
        <v/>
      </c>
      <c r="AQ114" s="1183" t="str">
        <f>IF(예산실적비교표!AM114&lt;&gt;"",예산실적비교표!AM114,"")</f>
        <v/>
      </c>
      <c r="AR114" s="1184">
        <f>IF(예산실적비교표!AN114&lt;&gt;"",예산실적비교표!AN114,0)</f>
        <v>0</v>
      </c>
      <c r="AS114" s="1185">
        <f>IF(예산실적비교표!AO114&lt;&gt;"",예산실적비교표!AO114,0)</f>
        <v>0</v>
      </c>
      <c r="AT114" s="1118">
        <f t="shared" si="23"/>
        <v>0</v>
      </c>
      <c r="AU114" s="1186">
        <f>IF(예산실적비교표!AQ114&lt;&gt;"",예산실적비교표!AQ114,0)</f>
        <v>0</v>
      </c>
      <c r="AV114" s="1120">
        <f t="shared" si="24"/>
        <v>0</v>
      </c>
      <c r="AW114" s="1121">
        <f>IF(AR114="",0,ROUND((AT114*$AT$7)*데이터입력!$AF$14+(AT114*$AU$7)*데이터입력!$AF$14+(AT114*$AU$7*$AV$7)*데이터입력!$AF$14+(AT114*$AW$7)*데이터입력!$AF$14+(AT114*$AX$7)*데이터입력!$AF$14,-1))</f>
        <v>0</v>
      </c>
      <c r="AX114" s="1122">
        <f t="shared" si="25"/>
        <v>0</v>
      </c>
      <c r="AY114" s="1123">
        <f>IFERROR(IF(AR114+AS114=0,0,ROUND(IF(데이터입력!$AF$14=100%,ROUND(AR114*$AR$1,-3),ROUND(AR114*$AR$1,-3)-ROUND(((AR114*$AR$1)*$AT$4)*(데이터입력!$AF$14-100%)+((AR114*$AR$1)*$AU$4)*(데이터입력!$AF$14-100%)+((AR114*$AR$1)*$AU$4*$AV$4)*(데이터입력!$AF$14-100%)+((AR114*$AR$1)*$AW$4)*(데이터입력!$AF$14-100%),-1)),0)),0)</f>
        <v>0</v>
      </c>
      <c r="AZ114" s="1124">
        <f>IFERROR(IF(AR114+AS114=0,0,IF(데이터입력!$AF$12=100%,(AT114),(AT114)+ROUND(AT114*(데이터입력!$AF$12-100%),-1))),0)</f>
        <v>0</v>
      </c>
      <c r="BA114" s="1265" t="str">
        <f t="shared" si="22"/>
        <v/>
      </c>
      <c r="BB114" s="1264" t="str">
        <f>IF(BA114="","",IF(데이터입력!$O$68="",ROUND(AZ114/12,0),ROUND(데이터입력!$O$68/데이터입력!$Y$8/$BC$63,0)))</f>
        <v/>
      </c>
    </row>
    <row r="115" spans="1:54">
      <c r="A115" s="1048" t="str">
        <f>IF($AM$1=TRUE,IF(K115="","",SUBTOTAL(2,$K$3:K115)),IF(AND(M115="",N115=""),"",IF(N115="",COUNT($M$3:M115),COUNT($N$3:N115)+200)))</f>
        <v/>
      </c>
      <c r="B115" s="439" t="s">
        <v>44</v>
      </c>
      <c r="C115" s="439" t="s">
        <v>623</v>
      </c>
      <c r="D115" s="438">
        <v>501010301</v>
      </c>
      <c r="E115" s="438" t="s">
        <v>85</v>
      </c>
      <c r="F115" s="438" t="s">
        <v>82</v>
      </c>
      <c r="G115" s="440">
        <f>IFERROR(IF($E115="05",VLOOKUP($B115,예산실적비교표!$AG$7:$AJ$200,2,FALSE),0),0)</f>
        <v>0</v>
      </c>
      <c r="H115" s="440">
        <f>IFERROR(IF($E115="06",VLOOKUP($C115,세출예산서!$K$3:$X$304,12,FALSE),0),0)</f>
        <v>0</v>
      </c>
      <c r="I115" s="440">
        <f>IFERROR(IF($E115="07",VLOOKUP($C115,세출예산서!$K$3:$X$304,13,FALSE),0),0)</f>
        <v>0</v>
      </c>
      <c r="J115" s="440">
        <f>IFERROR(IF($E115="05",VLOOKUP($C115,세출예산서!$K$3:$X$304,14,FALSE),0),0)</f>
        <v>0</v>
      </c>
      <c r="K115" s="440" t="str">
        <f t="shared" si="33"/>
        <v/>
      </c>
      <c r="L115" s="441">
        <f>IFERROR(IF($AB$2="",0,ROUNDUP(VLOOKUP($B115,예산실적비교표!$AG$7:$AJ$200,3,FALSE)*$Y$7/$Y$9,-3)*$Y$8),0)</f>
        <v>0</v>
      </c>
      <c r="M115" s="708" t="str">
        <f>IF($AM$1=TRUE,IF(K115="","",IF(IF($AE$2="",IF(K115="","",SUBTOTAL(2,$K$3:K115)),IF(AND(G115&gt;=0,K115=""),"",IF(AND(G115&gt;0,OR(K115&gt;0,K115&lt;0)),SUBTOTAL(2,$K$3:K115),IF(AND(G115=0,OR(K115&gt;0,K115&lt;0)),SUBTOTAL(2,$K$3:K115)+200,""))))&gt;200,"",1)),IF(K115="","",IF(IF($AE$2="",IF(K115="","",SUBTOTAL(2,$K$3:K115)),IF(AND(G115&gt;=0,K115=""),"",IF(AND(G115&gt;0,OR(K115&gt;0,K115&lt;0)),SUBTOTAL(2,$K$3:K115),IF(AND(G115=0,OR(K115&gt;0,K115&lt;0)),SUBTOTAL(2,$K$3:K115)+200,""))))&gt;200,"",1)))</f>
        <v/>
      </c>
      <c r="N115" s="214" t="str">
        <f>IF($AM$1=TRUE,IF(K115="","",IF(IF($AE$2="",IF(K115="","",SUBTOTAL(2,$K$3:K115)),IF(AND(G115&gt;=0,K115=""),"",IF(AND(G115&gt;0,OR(K115&gt;0,K115&lt;0)),SUBTOTAL(2,$K$3:K115),IF(AND(G115=0,OR(K115&gt;0,K115&lt;0)),SUBTOTAL(2,$K$3:K115)+200,""))))&lt;=200,"",2)),IF(K115="","",IF(IF($AE$2="",IF(K115="","",SUBTOTAL(2,$K$3:K115)),IF(AND(G115&gt;=0,K115=""),"",IF(AND(G115&gt;0,OR(K115&gt;0,K115&lt;0)),SUBTOTAL(2,$K$3:K115),IF(AND(G115=0,OR(K115&gt;0,K115&lt;0)),SUBTOTAL(2,$K$3:K115)+200,""))))&lt;=200,"",2)))</f>
        <v/>
      </c>
      <c r="O115" s="561"/>
      <c r="P115" s="435">
        <f t="shared" si="32"/>
        <v>0</v>
      </c>
      <c r="Q115" s="566">
        <v>0</v>
      </c>
      <c r="R115" s="514" t="str">
        <f>$R$76</f>
        <v>공공요금 및 각종 세금공과금</v>
      </c>
      <c r="S115" s="515" t="s">
        <v>81</v>
      </c>
      <c r="T115" s="468">
        <f t="shared" si="27"/>
        <v>0</v>
      </c>
      <c r="U115" s="574">
        <f t="shared" si="31"/>
        <v>12</v>
      </c>
      <c r="V115" s="431" t="s">
        <v>127</v>
      </c>
      <c r="AP115" s="1182" t="str">
        <f>IF(예산실적비교표!AL115&lt;&gt;"",예산실적비교표!AL115,"")</f>
        <v/>
      </c>
      <c r="AQ115" s="1183" t="str">
        <f>IF(예산실적비교표!AM115&lt;&gt;"",예산실적비교표!AM115,"")</f>
        <v/>
      </c>
      <c r="AR115" s="1184">
        <f>IF(예산실적비교표!AN115&lt;&gt;"",예산실적비교표!AN115,0)</f>
        <v>0</v>
      </c>
      <c r="AS115" s="1185">
        <f>IF(예산실적비교표!AO115&lt;&gt;"",예산실적비교표!AO115,0)</f>
        <v>0</v>
      </c>
      <c r="AT115" s="1118">
        <f t="shared" si="23"/>
        <v>0</v>
      </c>
      <c r="AU115" s="1186">
        <f>IF(예산실적비교표!AQ115&lt;&gt;"",예산실적비교표!AQ115,0)</f>
        <v>0</v>
      </c>
      <c r="AV115" s="1120">
        <f t="shared" si="24"/>
        <v>0</v>
      </c>
      <c r="AW115" s="1121">
        <f>IF(AR115="",0,ROUND((AT115*$AT$7)*데이터입력!$AF$14+(AT115*$AU$7)*데이터입력!$AF$14+(AT115*$AU$7*$AV$7)*데이터입력!$AF$14+(AT115*$AW$7)*데이터입력!$AF$14+(AT115*$AX$7)*데이터입력!$AF$14,-1))</f>
        <v>0</v>
      </c>
      <c r="AX115" s="1122">
        <f t="shared" si="25"/>
        <v>0</v>
      </c>
      <c r="AY115" s="1123">
        <f>IFERROR(IF(AR115+AS115=0,0,ROUND(IF(데이터입력!$AF$14=100%,ROUND(AR115*$AR$1,-3),ROUND(AR115*$AR$1,-3)-ROUND(((AR115*$AR$1)*$AT$4)*(데이터입력!$AF$14-100%)+((AR115*$AR$1)*$AU$4)*(데이터입력!$AF$14-100%)+((AR115*$AR$1)*$AU$4*$AV$4)*(데이터입력!$AF$14-100%)+((AR115*$AR$1)*$AW$4)*(데이터입력!$AF$14-100%),-1)),0)),0)</f>
        <v>0</v>
      </c>
      <c r="AZ115" s="1124">
        <f>IFERROR(IF(AR115+AS115=0,0,IF(데이터입력!$AF$12=100%,(AT115),(AT115)+ROUND(AT115*(데이터입력!$AF$12-100%),-1))),0)</f>
        <v>0</v>
      </c>
      <c r="BA115" s="1265" t="str">
        <f t="shared" si="22"/>
        <v/>
      </c>
      <c r="BB115" s="1264" t="str">
        <f>IF(BA115="","",IF(데이터입력!$O$68="",ROUND(AZ115/12,0),ROUND(데이터입력!$O$68/데이터입력!$Y$8/$BC$63,0)))</f>
        <v/>
      </c>
    </row>
    <row r="116" spans="1:54">
      <c r="A116" s="1048" t="str">
        <f>IF($AM$1=TRUE,IF(K116="","",SUBTOTAL(2,$K$3:K116)),IF(AND(M116="",N116=""),"",IF(N116="",COUNT($M$3:M116),COUNT($N$3:N116)+200)))</f>
        <v/>
      </c>
      <c r="B116" s="439" t="s">
        <v>45</v>
      </c>
      <c r="C116" s="439" t="s">
        <v>624</v>
      </c>
      <c r="D116" s="438">
        <v>501010302</v>
      </c>
      <c r="E116" s="438" t="s">
        <v>85</v>
      </c>
      <c r="F116" s="438" t="s">
        <v>82</v>
      </c>
      <c r="G116" s="440">
        <f>IFERROR(IF($E116="05",VLOOKUP($B116,예산실적비교표!$AG$7:$AJ$200,2,FALSE),0),0)</f>
        <v>0</v>
      </c>
      <c r="H116" s="440">
        <f>IFERROR(IF($E116="06",VLOOKUP($C116,세출예산서!$K$3:$X$304,12,FALSE),0),0)</f>
        <v>0</v>
      </c>
      <c r="I116" s="440">
        <f>IFERROR(IF($E116="07",VLOOKUP($C116,세출예산서!$K$3:$X$304,13,FALSE),0),0)</f>
        <v>0</v>
      </c>
      <c r="J116" s="440">
        <f>IFERROR(IF($E116="05",VLOOKUP($C116,세출예산서!$K$3:$X$304,14,FALSE),0),0)</f>
        <v>0</v>
      </c>
      <c r="K116" s="440" t="str">
        <f t="shared" si="33"/>
        <v/>
      </c>
      <c r="L116" s="441">
        <f>IFERROR(IF($AB$2="",0,ROUNDUP(VLOOKUP($B116,예산실적비교표!$AG$7:$AJ$200,3,FALSE)*$Y$7/$Y$9,-3)*$Y$8),0)</f>
        <v>0</v>
      </c>
      <c r="M116" s="708" t="str">
        <f>IF($AM$1=TRUE,IF(K116="","",IF(IF($AE$2="",IF(K116="","",SUBTOTAL(2,$K$3:K116)),IF(AND(G116&gt;=0,K116=""),"",IF(AND(G116&gt;0,OR(K116&gt;0,K116&lt;0)),SUBTOTAL(2,$K$3:K116),IF(AND(G116=0,OR(K116&gt;0,K116&lt;0)),SUBTOTAL(2,$K$3:K116)+200,""))))&gt;200,"",1)),IF(K116="","",IF(IF($AE$2="",IF(K116="","",SUBTOTAL(2,$K$3:K116)),IF(AND(G116&gt;=0,K116=""),"",IF(AND(G116&gt;0,OR(K116&gt;0,K116&lt;0)),SUBTOTAL(2,$K$3:K116),IF(AND(G116=0,OR(K116&gt;0,K116&lt;0)),SUBTOTAL(2,$K$3:K116)+200,""))))&gt;200,"",1)))</f>
        <v/>
      </c>
      <c r="N116" s="214" t="str">
        <f>IF($AM$1=TRUE,IF(K116="","",IF(IF($AE$2="",IF(K116="","",SUBTOTAL(2,$K$3:K116)),IF(AND(G116&gt;=0,K116=""),"",IF(AND(G116&gt;0,OR(K116&gt;0,K116&lt;0)),SUBTOTAL(2,$K$3:K116),IF(AND(G116=0,OR(K116&gt;0,K116&lt;0)),SUBTOTAL(2,$K$3:K116)+200,""))))&lt;=200,"",2)),IF(K116="","",IF(IF($AE$2="",IF(K116="","",SUBTOTAL(2,$K$3:K116)),IF(AND(G116&gt;=0,K116=""),"",IF(AND(G116&gt;0,OR(K116&gt;0,K116&lt;0)),SUBTOTAL(2,$K$3:K116),IF(AND(G116=0,OR(K116&gt;0,K116&lt;0)),SUBTOTAL(2,$K$3:K116)+200,""))))&lt;=200,"",2)))</f>
        <v/>
      </c>
      <c r="O116" s="561"/>
      <c r="P116" s="435">
        <f t="shared" si="32"/>
        <v>0</v>
      </c>
      <c r="Q116" s="566">
        <v>0</v>
      </c>
      <c r="R116" s="514" t="s">
        <v>55</v>
      </c>
      <c r="S116" s="515" t="s">
        <v>81</v>
      </c>
      <c r="T116" s="468">
        <f t="shared" si="27"/>
        <v>0</v>
      </c>
      <c r="U116" s="574">
        <f t="shared" si="31"/>
        <v>12</v>
      </c>
      <c r="V116" s="431" t="s">
        <v>127</v>
      </c>
      <c r="AP116" s="1182" t="str">
        <f>IF(예산실적비교표!AL116&lt;&gt;"",예산실적비교표!AL116,"")</f>
        <v/>
      </c>
      <c r="AQ116" s="1183" t="str">
        <f>IF(예산실적비교표!AM116&lt;&gt;"",예산실적비교표!AM116,"")</f>
        <v/>
      </c>
      <c r="AR116" s="1184">
        <f>IF(예산실적비교표!AN116&lt;&gt;"",예산실적비교표!AN116,0)</f>
        <v>0</v>
      </c>
      <c r="AS116" s="1185">
        <f>IF(예산실적비교표!AO116&lt;&gt;"",예산실적비교표!AO116,0)</f>
        <v>0</v>
      </c>
      <c r="AT116" s="1118">
        <f t="shared" si="23"/>
        <v>0</v>
      </c>
      <c r="AU116" s="1186">
        <f>IF(예산실적비교표!AQ116&lt;&gt;"",예산실적비교표!AQ116,0)</f>
        <v>0</v>
      </c>
      <c r="AV116" s="1120">
        <f t="shared" si="24"/>
        <v>0</v>
      </c>
      <c r="AW116" s="1121">
        <f>IF(AR116="",0,ROUND((AT116*$AT$7)*데이터입력!$AF$14+(AT116*$AU$7)*데이터입력!$AF$14+(AT116*$AU$7*$AV$7)*데이터입력!$AF$14+(AT116*$AW$7)*데이터입력!$AF$14+(AT116*$AX$7)*데이터입력!$AF$14,-1))</f>
        <v>0</v>
      </c>
      <c r="AX116" s="1122">
        <f t="shared" si="25"/>
        <v>0</v>
      </c>
      <c r="AY116" s="1123">
        <f>IFERROR(IF(AR116+AS116=0,0,ROUND(IF(데이터입력!$AF$14=100%,ROUND(AR116*$AR$1,-3),ROUND(AR116*$AR$1,-3)-ROUND(((AR116*$AR$1)*$AT$4)*(데이터입력!$AF$14-100%)+((AR116*$AR$1)*$AU$4)*(데이터입력!$AF$14-100%)+((AR116*$AR$1)*$AU$4*$AV$4)*(데이터입력!$AF$14-100%)+((AR116*$AR$1)*$AW$4)*(데이터입력!$AF$14-100%),-1)),0)),0)</f>
        <v>0</v>
      </c>
      <c r="AZ116" s="1124">
        <f>IFERROR(IF(AR116+AS116=0,0,IF(데이터입력!$AF$12=100%,(AT116),(AT116)+ROUND(AT116*(데이터입력!$AF$12-100%),-1))),0)</f>
        <v>0</v>
      </c>
      <c r="BA116" s="1265" t="str">
        <f t="shared" si="22"/>
        <v/>
      </c>
      <c r="BB116" s="1264" t="str">
        <f>IF(BA116="","",IF(데이터입력!$O$68="",ROUND(AZ116/12,0),ROUND(데이터입력!$O$68/데이터입력!$Y$8/$BC$63,0)))</f>
        <v/>
      </c>
    </row>
    <row r="117" spans="1:54">
      <c r="A117" s="1048" t="str">
        <f>IF($AM$1=TRUE,IF(K117="","",SUBTOTAL(2,$K$3:K117)),IF(AND(M117="",N117=""),"",IF(N117="",COUNT($M$3:M117),COUNT($N$3:N117)+200)))</f>
        <v/>
      </c>
      <c r="B117" s="439" t="s">
        <v>46</v>
      </c>
      <c r="C117" s="439" t="s">
        <v>625</v>
      </c>
      <c r="D117" s="438">
        <v>501010501</v>
      </c>
      <c r="E117" s="438" t="s">
        <v>85</v>
      </c>
      <c r="F117" s="438" t="s">
        <v>82</v>
      </c>
      <c r="G117" s="440">
        <f>IFERROR(IF($E117="05",VLOOKUP($B117,예산실적비교표!$AG$7:$AJ$200,2,FALSE),0),0)</f>
        <v>0</v>
      </c>
      <c r="H117" s="440">
        <f>IFERROR(IF($E117="06",VLOOKUP($C117,세출예산서!$K$3:$X$304,12,FALSE),0),0)</f>
        <v>0</v>
      </c>
      <c r="I117" s="440">
        <f>IFERROR(IF($E117="07",VLOOKUP($C117,세출예산서!$K$3:$X$304,13,FALSE),0),0)</f>
        <v>0</v>
      </c>
      <c r="J117" s="440">
        <f>IFERROR(IF($E117="05",VLOOKUP($C117,세출예산서!$K$3:$X$304,14,FALSE),0),0)</f>
        <v>0</v>
      </c>
      <c r="K117" s="440" t="str">
        <f t="shared" si="33"/>
        <v/>
      </c>
      <c r="L117" s="441">
        <f>IFERROR(IF($AB$2="",0,ROUNDUP(VLOOKUP($B117,예산실적비교표!$AG$7:$AJ$200,3,FALSE)*$Y$7/$Y$9,-3)*$Y$8),0)</f>
        <v>0</v>
      </c>
      <c r="M117" s="708" t="str">
        <f>IF($AM$1=TRUE,IF(K117="","",IF(IF($AE$2="",IF(K117="","",SUBTOTAL(2,$K$3:K117)),IF(AND(G117&gt;=0,K117=""),"",IF(AND(G117&gt;0,OR(K117&gt;0,K117&lt;0)),SUBTOTAL(2,$K$3:K117),IF(AND(G117=0,OR(K117&gt;0,K117&lt;0)),SUBTOTAL(2,$K$3:K117)+200,""))))&gt;200,"",1)),IF(K117="","",IF(IF($AE$2="",IF(K117="","",SUBTOTAL(2,$K$3:K117)),IF(AND(G117&gt;=0,K117=""),"",IF(AND(G117&gt;0,OR(K117&gt;0,K117&lt;0)),SUBTOTAL(2,$K$3:K117),IF(AND(G117=0,OR(K117&gt;0,K117&lt;0)),SUBTOTAL(2,$K$3:K117)+200,""))))&gt;200,"",1)))</f>
        <v/>
      </c>
      <c r="N117" s="214" t="str">
        <f>IF($AM$1=TRUE,IF(K117="","",IF(IF($AE$2="",IF(K117="","",SUBTOTAL(2,$K$3:K117)),IF(AND(G117&gt;=0,K117=""),"",IF(AND(G117&gt;0,OR(K117&gt;0,K117&lt;0)),SUBTOTAL(2,$K$3:K117),IF(AND(G117=0,OR(K117&gt;0,K117&lt;0)),SUBTOTAL(2,$K$3:K117)+200,""))))&lt;=200,"",2)),IF(K117="","",IF(IF($AE$2="",IF(K117="","",SUBTOTAL(2,$K$3:K117)),IF(AND(G117&gt;=0,K117=""),"",IF(AND(G117&gt;0,OR(K117&gt;0,K117&lt;0)),SUBTOTAL(2,$K$3:K117),IF(AND(G117=0,OR(K117&gt;0,K117&lt;0)),SUBTOTAL(2,$K$3:K117)+200,""))))&lt;=200,"",2)))</f>
        <v/>
      </c>
      <c r="O117" s="561"/>
      <c r="P117" s="435">
        <f t="shared" si="32"/>
        <v>0</v>
      </c>
      <c r="Q117" s="566">
        <v>0</v>
      </c>
      <c r="R117" s="514" t="s">
        <v>56</v>
      </c>
      <c r="S117" s="515" t="s">
        <v>81</v>
      </c>
      <c r="T117" s="468">
        <f t="shared" si="27"/>
        <v>0</v>
      </c>
      <c r="U117" s="574">
        <f t="shared" si="31"/>
        <v>12</v>
      </c>
      <c r="V117" s="431" t="s">
        <v>127</v>
      </c>
      <c r="AP117" s="1182" t="str">
        <f>IF(예산실적비교표!AL117&lt;&gt;"",예산실적비교표!AL117,"")</f>
        <v/>
      </c>
      <c r="AQ117" s="1183" t="str">
        <f>IF(예산실적비교표!AM117&lt;&gt;"",예산실적비교표!AM117,"")</f>
        <v/>
      </c>
      <c r="AR117" s="1184">
        <f>IF(예산실적비교표!AN117&lt;&gt;"",예산실적비교표!AN117,0)</f>
        <v>0</v>
      </c>
      <c r="AS117" s="1185">
        <f>IF(예산실적비교표!AO117&lt;&gt;"",예산실적비교표!AO117,0)</f>
        <v>0</v>
      </c>
      <c r="AT117" s="1118">
        <f t="shared" si="23"/>
        <v>0</v>
      </c>
      <c r="AU117" s="1186">
        <f>IF(예산실적비교표!AQ117&lt;&gt;"",예산실적비교표!AQ117,0)</f>
        <v>0</v>
      </c>
      <c r="AV117" s="1120">
        <f t="shared" si="24"/>
        <v>0</v>
      </c>
      <c r="AW117" s="1121">
        <f>IF(AR117="",0,ROUND((AT117*$AT$7)*데이터입력!$AF$14+(AT117*$AU$7)*데이터입력!$AF$14+(AT117*$AU$7*$AV$7)*데이터입력!$AF$14+(AT117*$AW$7)*데이터입력!$AF$14+(AT117*$AX$7)*데이터입력!$AF$14,-1))</f>
        <v>0</v>
      </c>
      <c r="AX117" s="1122">
        <f t="shared" si="25"/>
        <v>0</v>
      </c>
      <c r="AY117" s="1123">
        <f>IFERROR(IF(AR117+AS117=0,0,ROUND(IF(데이터입력!$AF$14=100%,ROUND(AR117*$AR$1,-3),ROUND(AR117*$AR$1,-3)-ROUND(((AR117*$AR$1)*$AT$4)*(데이터입력!$AF$14-100%)+((AR117*$AR$1)*$AU$4)*(데이터입력!$AF$14-100%)+((AR117*$AR$1)*$AU$4*$AV$4)*(데이터입력!$AF$14-100%)+((AR117*$AR$1)*$AW$4)*(데이터입력!$AF$14-100%),-1)),0)),0)</f>
        <v>0</v>
      </c>
      <c r="AZ117" s="1124">
        <f>IFERROR(IF(AR117+AS117=0,0,IF(데이터입력!$AF$12=100%,(AT117),(AT117)+ROUND(AT117*(데이터입력!$AF$12-100%),-1))),0)</f>
        <v>0</v>
      </c>
      <c r="BA117" s="1265" t="str">
        <f t="shared" si="22"/>
        <v/>
      </c>
      <c r="BB117" s="1264" t="str">
        <f>IF(BA117="","",IF(데이터입력!$O$68="",ROUND(AZ117/12,0),ROUND(데이터입력!$O$68/데이터입력!$Y$8/$BC$63,0)))</f>
        <v/>
      </c>
    </row>
    <row r="118" spans="1:54">
      <c r="A118" s="1048" t="str">
        <f>IF($AM$1=TRUE,IF(K118="","",SUBTOTAL(2,$K$3:K118)),IF(AND(M118="",N118=""),"",IF(N118="",COUNT($M$3:M118),COUNT($N$3:N118)+200)))</f>
        <v/>
      </c>
      <c r="B118" s="439" t="s">
        <v>47</v>
      </c>
      <c r="C118" s="439" t="s">
        <v>626</v>
      </c>
      <c r="D118" s="438">
        <v>501010502</v>
      </c>
      <c r="E118" s="438" t="s">
        <v>85</v>
      </c>
      <c r="F118" s="438" t="s">
        <v>82</v>
      </c>
      <c r="G118" s="440">
        <f>IFERROR(IF($E118="05",VLOOKUP($B118,예산실적비교표!$AG$7:$AJ$200,2,FALSE),0),0)</f>
        <v>0</v>
      </c>
      <c r="H118" s="440">
        <f>IFERROR(IF($E118="06",VLOOKUP($C118,세출예산서!$K$3:$X$304,12,FALSE),0),0)</f>
        <v>0</v>
      </c>
      <c r="I118" s="440">
        <f>IFERROR(IF($E118="07",VLOOKUP($C118,세출예산서!$K$3:$X$304,13,FALSE),0),0)</f>
        <v>0</v>
      </c>
      <c r="J118" s="440">
        <f>IFERROR(IF($E118="05",VLOOKUP($C118,세출예산서!$K$3:$X$304,14,FALSE),0),0)</f>
        <v>0</v>
      </c>
      <c r="K118" s="440" t="str">
        <f t="shared" si="33"/>
        <v/>
      </c>
      <c r="L118" s="441">
        <f>IFERROR(IF($AB$2="",0,ROUNDUP(VLOOKUP($B118,예산실적비교표!$AG$7:$AJ$200,3,FALSE)*$Y$7/$Y$9,-3)*$Y$8),0)</f>
        <v>0</v>
      </c>
      <c r="M118" s="708" t="str">
        <f>IF($AM$1=TRUE,IF(K118="","",IF(IF($AE$2="",IF(K118="","",SUBTOTAL(2,$K$3:K118)),IF(AND(G118&gt;=0,K118=""),"",IF(AND(G118&gt;0,OR(K118&gt;0,K118&lt;0)),SUBTOTAL(2,$K$3:K118),IF(AND(G118=0,OR(K118&gt;0,K118&lt;0)),SUBTOTAL(2,$K$3:K118)+200,""))))&gt;200,"",1)),IF(K118="","",IF(IF($AE$2="",IF(K118="","",SUBTOTAL(2,$K$3:K118)),IF(AND(G118&gt;=0,K118=""),"",IF(AND(G118&gt;0,OR(K118&gt;0,K118&lt;0)),SUBTOTAL(2,$K$3:K118),IF(AND(G118=0,OR(K118&gt;0,K118&lt;0)),SUBTOTAL(2,$K$3:K118)+200,""))))&gt;200,"",1)))</f>
        <v/>
      </c>
      <c r="N118" s="214" t="str">
        <f>IF($AM$1=TRUE,IF(K118="","",IF(IF($AE$2="",IF(K118="","",SUBTOTAL(2,$K$3:K118)),IF(AND(G118&gt;=0,K118=""),"",IF(AND(G118&gt;0,OR(K118&gt;0,K118&lt;0)),SUBTOTAL(2,$K$3:K118),IF(AND(G118=0,OR(K118&gt;0,K118&lt;0)),SUBTOTAL(2,$K$3:K118)+200,""))))&lt;=200,"",2)),IF(K118="","",IF(IF($AE$2="",IF(K118="","",SUBTOTAL(2,$K$3:K118)),IF(AND(G118&gt;=0,K118=""),"",IF(AND(G118&gt;0,OR(K118&gt;0,K118&lt;0)),SUBTOTAL(2,$K$3:K118),IF(AND(G118=0,OR(K118&gt;0,K118&lt;0)),SUBTOTAL(2,$K$3:K118)+200,""))))&lt;=200,"",2)))</f>
        <v/>
      </c>
      <c r="O118" s="561"/>
      <c r="P118" s="435">
        <f t="shared" si="32"/>
        <v>0</v>
      </c>
      <c r="Q118" s="566">
        <v>0</v>
      </c>
      <c r="R118" s="514" t="s">
        <v>57</v>
      </c>
      <c r="S118" s="515" t="s">
        <v>81</v>
      </c>
      <c r="T118" s="468">
        <f t="shared" si="27"/>
        <v>0</v>
      </c>
      <c r="U118" s="574">
        <f t="shared" si="31"/>
        <v>12</v>
      </c>
      <c r="V118" s="431" t="s">
        <v>127</v>
      </c>
      <c r="AP118" s="1182" t="str">
        <f>IF(예산실적비교표!AL118&lt;&gt;"",예산실적비교표!AL118,"")</f>
        <v/>
      </c>
      <c r="AQ118" s="1183" t="str">
        <f>IF(예산실적비교표!AM118&lt;&gt;"",예산실적비교표!AM118,"")</f>
        <v/>
      </c>
      <c r="AR118" s="1184">
        <f>IF(예산실적비교표!AN118&lt;&gt;"",예산실적비교표!AN118,0)</f>
        <v>0</v>
      </c>
      <c r="AS118" s="1185">
        <f>IF(예산실적비교표!AO118&lt;&gt;"",예산실적비교표!AO118,0)</f>
        <v>0</v>
      </c>
      <c r="AT118" s="1118">
        <f t="shared" si="23"/>
        <v>0</v>
      </c>
      <c r="AU118" s="1186">
        <f>IF(예산실적비교표!AQ118&lt;&gt;"",예산실적비교표!AQ118,0)</f>
        <v>0</v>
      </c>
      <c r="AV118" s="1120">
        <f t="shared" si="24"/>
        <v>0</v>
      </c>
      <c r="AW118" s="1121">
        <f>IF(AR118="",0,ROUND((AT118*$AT$7)*데이터입력!$AF$14+(AT118*$AU$7)*데이터입력!$AF$14+(AT118*$AU$7*$AV$7)*데이터입력!$AF$14+(AT118*$AW$7)*데이터입력!$AF$14+(AT118*$AX$7)*데이터입력!$AF$14,-1))</f>
        <v>0</v>
      </c>
      <c r="AX118" s="1122">
        <f t="shared" si="25"/>
        <v>0</v>
      </c>
      <c r="AY118" s="1123">
        <f>IFERROR(IF(AR118+AS118=0,0,ROUND(IF(데이터입력!$AF$14=100%,ROUND(AR118*$AR$1,-3),ROUND(AR118*$AR$1,-3)-ROUND(((AR118*$AR$1)*$AT$4)*(데이터입력!$AF$14-100%)+((AR118*$AR$1)*$AU$4)*(데이터입력!$AF$14-100%)+((AR118*$AR$1)*$AU$4*$AV$4)*(데이터입력!$AF$14-100%)+((AR118*$AR$1)*$AW$4)*(데이터입력!$AF$14-100%),-1)),0)),0)</f>
        <v>0</v>
      </c>
      <c r="AZ118" s="1124">
        <f>IFERROR(IF(AR118+AS118=0,0,IF(데이터입력!$AF$12=100%,(AT118),(AT118)+ROUND(AT118*(데이터입력!$AF$12-100%),-1))),0)</f>
        <v>0</v>
      </c>
      <c r="BA118" s="1265" t="str">
        <f t="shared" si="22"/>
        <v/>
      </c>
      <c r="BB118" s="1264" t="str">
        <f>IF(BA118="","",IF(데이터입력!$O$68="",ROUND(AZ118/12,0),ROUND(데이터입력!$O$68/데이터입력!$Y$8/$BC$63,0)))</f>
        <v/>
      </c>
    </row>
    <row r="119" spans="1:54">
      <c r="A119" s="1048" t="str">
        <f>IF($AM$1=TRUE,IF(K119="","",SUBTOTAL(2,$K$3:K119)),IF(AND(M119="",N119=""),"",IF(N119="",COUNT($M$3:M119),COUNT($N$3:N119)+200)))</f>
        <v/>
      </c>
      <c r="B119" s="439" t="s">
        <v>48</v>
      </c>
      <c r="C119" s="439" t="s">
        <v>627</v>
      </c>
      <c r="D119" s="438">
        <v>501010601</v>
      </c>
      <c r="E119" s="438" t="s">
        <v>85</v>
      </c>
      <c r="F119" s="438" t="s">
        <v>82</v>
      </c>
      <c r="G119" s="440">
        <f>IFERROR(IF($E119="05",VLOOKUP($B119,예산실적비교표!$AG$7:$AJ$200,2,FALSE),0),0)</f>
        <v>0</v>
      </c>
      <c r="H119" s="440">
        <f>IFERROR(IF($E119="06",VLOOKUP($C119,세출예산서!$K$3:$X$304,12,FALSE),0),0)</f>
        <v>0</v>
      </c>
      <c r="I119" s="440">
        <f>IFERROR(IF($E119="07",VLOOKUP($C119,세출예산서!$K$3:$X$304,13,FALSE),0),0)</f>
        <v>0</v>
      </c>
      <c r="J119" s="440">
        <f>IFERROR(IF($E119="05",VLOOKUP($C119,세출예산서!$K$3:$X$304,14,FALSE),0),0)</f>
        <v>0</v>
      </c>
      <c r="K119" s="440" t="str">
        <f t="shared" si="33"/>
        <v/>
      </c>
      <c r="L119" s="441">
        <f>IFERROR(IF($AB$2="",0,ROUNDUP(VLOOKUP($B119,예산실적비교표!$AG$7:$AJ$200,3,FALSE)*$Y$7/$Y$9,-3)*$Y$8),0)</f>
        <v>0</v>
      </c>
      <c r="M119" s="708" t="str">
        <f>IF($AM$1=TRUE,IF(K119="","",IF(IF($AE$2="",IF(K119="","",SUBTOTAL(2,$K$3:K119)),IF(AND(G119&gt;=0,K119=""),"",IF(AND(G119&gt;0,OR(K119&gt;0,K119&lt;0)),SUBTOTAL(2,$K$3:K119),IF(AND(G119=0,OR(K119&gt;0,K119&lt;0)),SUBTOTAL(2,$K$3:K119)+200,""))))&gt;200,"",1)),IF(K119="","",IF(IF($AE$2="",IF(K119="","",SUBTOTAL(2,$K$3:K119)),IF(AND(G119&gt;=0,K119=""),"",IF(AND(G119&gt;0,OR(K119&gt;0,K119&lt;0)),SUBTOTAL(2,$K$3:K119),IF(AND(G119=0,OR(K119&gt;0,K119&lt;0)),SUBTOTAL(2,$K$3:K119)+200,""))))&gt;200,"",1)))</f>
        <v/>
      </c>
      <c r="N119" s="214" t="str">
        <f>IF($AM$1=TRUE,IF(K119="","",IF(IF($AE$2="",IF(K119="","",SUBTOTAL(2,$K$3:K119)),IF(AND(G119&gt;=0,K119=""),"",IF(AND(G119&gt;0,OR(K119&gt;0,K119&lt;0)),SUBTOTAL(2,$K$3:K119),IF(AND(G119=0,OR(K119&gt;0,K119&lt;0)),SUBTOTAL(2,$K$3:K119)+200,""))))&lt;=200,"",2)),IF(K119="","",IF(IF($AE$2="",IF(K119="","",SUBTOTAL(2,$K$3:K119)),IF(AND(G119&gt;=0,K119=""),"",IF(AND(G119&gt;0,OR(K119&gt;0,K119&lt;0)),SUBTOTAL(2,$K$3:K119),IF(AND(G119=0,OR(K119&gt;0,K119&lt;0)),SUBTOTAL(2,$K$3:K119)+200,""))))&lt;=200,"",2)))</f>
        <v/>
      </c>
      <c r="O119" s="561"/>
      <c r="P119" s="435">
        <f t="shared" si="32"/>
        <v>0</v>
      </c>
      <c r="Q119" s="566">
        <v>0</v>
      </c>
      <c r="R119" s="514" t="s">
        <v>58</v>
      </c>
      <c r="S119" s="515" t="s">
        <v>81</v>
      </c>
      <c r="T119" s="468">
        <f t="shared" si="27"/>
        <v>0</v>
      </c>
      <c r="U119" s="574">
        <f t="shared" si="31"/>
        <v>12</v>
      </c>
      <c r="V119" s="431" t="s">
        <v>127</v>
      </c>
      <c r="AP119" s="1182" t="str">
        <f>IF(예산실적비교표!AL119&lt;&gt;"",예산실적비교표!AL119,"")</f>
        <v/>
      </c>
      <c r="AQ119" s="1183" t="str">
        <f>IF(예산실적비교표!AM119&lt;&gt;"",예산실적비교표!AM119,"")</f>
        <v/>
      </c>
      <c r="AR119" s="1184">
        <f>IF(예산실적비교표!AN119&lt;&gt;"",예산실적비교표!AN119,0)</f>
        <v>0</v>
      </c>
      <c r="AS119" s="1185">
        <f>IF(예산실적비교표!AO119&lt;&gt;"",예산실적비교표!AO119,0)</f>
        <v>0</v>
      </c>
      <c r="AT119" s="1118">
        <f t="shared" si="23"/>
        <v>0</v>
      </c>
      <c r="AU119" s="1186">
        <f>IF(예산실적비교표!AQ119&lt;&gt;"",예산실적비교표!AQ119,0)</f>
        <v>0</v>
      </c>
      <c r="AV119" s="1120">
        <f t="shared" si="24"/>
        <v>0</v>
      </c>
      <c r="AW119" s="1121">
        <f>IF(AR119="",0,ROUND((AT119*$AT$7)*데이터입력!$AF$14+(AT119*$AU$7)*데이터입력!$AF$14+(AT119*$AU$7*$AV$7)*데이터입력!$AF$14+(AT119*$AW$7)*데이터입력!$AF$14+(AT119*$AX$7)*데이터입력!$AF$14,-1))</f>
        <v>0</v>
      </c>
      <c r="AX119" s="1122">
        <f t="shared" si="25"/>
        <v>0</v>
      </c>
      <c r="AY119" s="1123">
        <f>IFERROR(IF(AR119+AS119=0,0,ROUND(IF(데이터입력!$AF$14=100%,ROUND(AR119*$AR$1,-3),ROUND(AR119*$AR$1,-3)-ROUND(((AR119*$AR$1)*$AT$4)*(데이터입력!$AF$14-100%)+((AR119*$AR$1)*$AU$4)*(데이터입력!$AF$14-100%)+((AR119*$AR$1)*$AU$4*$AV$4)*(데이터입력!$AF$14-100%)+((AR119*$AR$1)*$AW$4)*(데이터입력!$AF$14-100%),-1)),0)),0)</f>
        <v>0</v>
      </c>
      <c r="AZ119" s="1124">
        <f>IFERROR(IF(AR119+AS119=0,0,IF(데이터입력!$AF$12=100%,(AT119),(AT119)+ROUND(AT119*(데이터입력!$AF$12-100%),-1))),0)</f>
        <v>0</v>
      </c>
      <c r="BA119" s="1265" t="str">
        <f t="shared" si="22"/>
        <v/>
      </c>
      <c r="BB119" s="1264" t="str">
        <f>IF(BA119="","",IF(데이터입력!$O$68="",ROUND(AZ119/12,0),ROUND(데이터입력!$O$68/데이터입력!$Y$8/$BC$63,0)))</f>
        <v/>
      </c>
    </row>
    <row r="120" spans="1:54">
      <c r="A120" s="1048" t="str">
        <f>IF($AM$1=TRUE,IF(K120="","",SUBTOTAL(2,$K$3:K120)),IF(AND(M120="",N120=""),"",IF(N120="",COUNT($M$3:M120),COUNT($N$3:N120)+200)))</f>
        <v/>
      </c>
      <c r="B120" s="439" t="s">
        <v>49</v>
      </c>
      <c r="C120" s="439" t="s">
        <v>628</v>
      </c>
      <c r="D120" s="438">
        <v>501010602</v>
      </c>
      <c r="E120" s="438" t="s">
        <v>85</v>
      </c>
      <c r="F120" s="438" t="s">
        <v>82</v>
      </c>
      <c r="G120" s="440">
        <f>IFERROR(IF($E120="05",VLOOKUP($B120,예산실적비교표!$AG$7:$AJ$200,2,FALSE),0),0)</f>
        <v>0</v>
      </c>
      <c r="H120" s="440">
        <f>IFERROR(IF($E120="06",VLOOKUP($C120,세출예산서!$K$3:$X$304,12,FALSE),0),0)</f>
        <v>0</v>
      </c>
      <c r="I120" s="440">
        <f>IFERROR(IF($E120="07",VLOOKUP($C120,세출예산서!$K$3:$X$304,13,FALSE),0),0)</f>
        <v>0</v>
      </c>
      <c r="J120" s="440">
        <f>IFERROR(IF($E120="05",VLOOKUP($C120,세출예산서!$K$3:$X$304,14,FALSE),0),0)</f>
        <v>0</v>
      </c>
      <c r="K120" s="440" t="str">
        <f t="shared" si="33"/>
        <v/>
      </c>
      <c r="L120" s="441">
        <f>IFERROR(IF($AB$2="",0,ROUNDUP(VLOOKUP($B120,예산실적비교표!$AG$7:$AJ$200,3,FALSE)*$Y$7/$Y$9,-3)*$Y$8),0)</f>
        <v>0</v>
      </c>
      <c r="M120" s="708" t="str">
        <f>IF($AM$1=TRUE,IF(K120="","",IF(IF($AE$2="",IF(K120="","",SUBTOTAL(2,$K$3:K120)),IF(AND(G120&gt;=0,K120=""),"",IF(AND(G120&gt;0,OR(K120&gt;0,K120&lt;0)),SUBTOTAL(2,$K$3:K120),IF(AND(G120=0,OR(K120&gt;0,K120&lt;0)),SUBTOTAL(2,$K$3:K120)+200,""))))&gt;200,"",1)),IF(K120="","",IF(IF($AE$2="",IF(K120="","",SUBTOTAL(2,$K$3:K120)),IF(AND(G120&gt;=0,K120=""),"",IF(AND(G120&gt;0,OR(K120&gt;0,K120&lt;0)),SUBTOTAL(2,$K$3:K120),IF(AND(G120=0,OR(K120&gt;0,K120&lt;0)),SUBTOTAL(2,$K$3:K120)+200,""))))&gt;200,"",1)))</f>
        <v/>
      </c>
      <c r="N120" s="214" t="str">
        <f>IF($AM$1=TRUE,IF(K120="","",IF(IF($AE$2="",IF(K120="","",SUBTOTAL(2,$K$3:K120)),IF(AND(G120&gt;=0,K120=""),"",IF(AND(G120&gt;0,OR(K120&gt;0,K120&lt;0)),SUBTOTAL(2,$K$3:K120),IF(AND(G120=0,OR(K120&gt;0,K120&lt;0)),SUBTOTAL(2,$K$3:K120)+200,""))))&lt;=200,"",2)),IF(K120="","",IF(IF($AE$2="",IF(K120="","",SUBTOTAL(2,$K$3:K120)),IF(AND(G120&gt;=0,K120=""),"",IF(AND(G120&gt;0,OR(K120&gt;0,K120&lt;0)),SUBTOTAL(2,$K$3:K120),IF(AND(G120=0,OR(K120&gt;0,K120&lt;0)),SUBTOTAL(2,$K$3:K120)+200,""))))&lt;=200,"",2)))</f>
        <v/>
      </c>
      <c r="O120" s="562"/>
      <c r="P120" s="435">
        <f>AB20</f>
        <v>0</v>
      </c>
      <c r="Q120" s="565"/>
      <c r="R120" s="514" t="s">
        <v>59</v>
      </c>
      <c r="S120" s="515" t="s">
        <v>81</v>
      </c>
      <c r="T120" s="468">
        <f t="shared" si="27"/>
        <v>0</v>
      </c>
      <c r="U120" s="574">
        <v>1</v>
      </c>
      <c r="V120" s="517" t="s">
        <v>130</v>
      </c>
      <c r="AP120" s="1182" t="str">
        <f>IF(예산실적비교표!AL120&lt;&gt;"",예산실적비교표!AL120,"")</f>
        <v/>
      </c>
      <c r="AQ120" s="1183" t="str">
        <f>IF(예산실적비교표!AM120&lt;&gt;"",예산실적비교표!AM120,"")</f>
        <v/>
      </c>
      <c r="AR120" s="1184">
        <f>IF(예산실적비교표!AN120&lt;&gt;"",예산실적비교표!AN120,0)</f>
        <v>0</v>
      </c>
      <c r="AS120" s="1185">
        <f>IF(예산실적비교표!AO120&lt;&gt;"",예산실적비교표!AO120,0)</f>
        <v>0</v>
      </c>
      <c r="AT120" s="1118">
        <f t="shared" si="23"/>
        <v>0</v>
      </c>
      <c r="AU120" s="1186">
        <f>IF(예산실적비교표!AQ120&lt;&gt;"",예산실적비교표!AQ120,0)</f>
        <v>0</v>
      </c>
      <c r="AV120" s="1120">
        <f t="shared" si="24"/>
        <v>0</v>
      </c>
      <c r="AW120" s="1121">
        <f>IF(AR120="",0,ROUND((AT120*$AT$7)*데이터입력!$AF$14+(AT120*$AU$7)*데이터입력!$AF$14+(AT120*$AU$7*$AV$7)*데이터입력!$AF$14+(AT120*$AW$7)*데이터입력!$AF$14+(AT120*$AX$7)*데이터입력!$AF$14,-1))</f>
        <v>0</v>
      </c>
      <c r="AX120" s="1122">
        <f t="shared" si="25"/>
        <v>0</v>
      </c>
      <c r="AY120" s="1123">
        <f>IFERROR(IF(AR120+AS120=0,0,ROUND(IF(데이터입력!$AF$14=100%,ROUND(AR120*$AR$1,-3),ROUND(AR120*$AR$1,-3)-ROUND(((AR120*$AR$1)*$AT$4)*(데이터입력!$AF$14-100%)+((AR120*$AR$1)*$AU$4)*(데이터입력!$AF$14-100%)+((AR120*$AR$1)*$AU$4*$AV$4)*(데이터입력!$AF$14-100%)+((AR120*$AR$1)*$AW$4)*(데이터입력!$AF$14-100%),-1)),0)),0)</f>
        <v>0</v>
      </c>
      <c r="AZ120" s="1124">
        <f>IFERROR(IF(AR120+AS120=0,0,IF(데이터입력!$AF$12=100%,(AT120),(AT120)+ROUND(AT120*(데이터입력!$AF$12-100%),-1))),0)</f>
        <v>0</v>
      </c>
      <c r="BA120" s="1265" t="str">
        <f t="shared" si="22"/>
        <v/>
      </c>
      <c r="BB120" s="1264" t="str">
        <f>IF(BA120="","",IF(데이터입력!$O$68="",ROUND(AZ120/12,0),ROUND(데이터입력!$O$68/데이터입력!$Y$8/$BC$63,0)))</f>
        <v/>
      </c>
    </row>
    <row r="121" spans="1:54">
      <c r="A121" s="1048" t="str">
        <f>IF($AM$1=TRUE,IF(K121="","",SUBTOTAL(2,$K$3:K121)),IF(AND(M121="",N121=""),"",IF(N121="",COUNT($M$3:M121),COUNT($N$3:N121)+200)))</f>
        <v/>
      </c>
      <c r="B121" s="439" t="s">
        <v>50</v>
      </c>
      <c r="C121" s="439" t="s">
        <v>629</v>
      </c>
      <c r="D121" s="438">
        <v>501020101</v>
      </c>
      <c r="E121" s="438" t="s">
        <v>85</v>
      </c>
      <c r="F121" s="438" t="s">
        <v>82</v>
      </c>
      <c r="G121" s="440">
        <f>IFERROR(IF($E121="05",VLOOKUP($B121,예산실적비교표!$AG$7:$AJ$200,2,FALSE),0),0)</f>
        <v>0</v>
      </c>
      <c r="H121" s="440">
        <f>IFERROR(IF($E121="06",VLOOKUP($C121,세출예산서!$K$3:$X$304,12,FALSE),0),0)</f>
        <v>0</v>
      </c>
      <c r="I121" s="440">
        <f>IFERROR(IF($E121="07",VLOOKUP($C121,세출예산서!$K$3:$X$304,13,FALSE),0),0)</f>
        <v>0</v>
      </c>
      <c r="J121" s="440">
        <f>IFERROR(IF($E121="05",VLOOKUP($C121,세출예산서!$K$3:$X$304,14,FALSE),0),0)</f>
        <v>0</v>
      </c>
      <c r="K121" s="440" t="str">
        <f t="shared" si="33"/>
        <v/>
      </c>
      <c r="L121" s="441">
        <f>IFERROR(IF($AB$2="",0,ROUNDUP(VLOOKUP($B121,예산실적비교표!$AG$7:$AJ$200,3,FALSE)*$Y$7/$Y$9,-3)*$Y$8),0)</f>
        <v>0</v>
      </c>
      <c r="M121" s="708" t="str">
        <f>IF($AM$1=TRUE,IF(K121="","",IF(IF($AE$2="",IF(K121="","",SUBTOTAL(2,$K$3:K121)),IF(AND(G121&gt;=0,K121=""),"",IF(AND(G121&gt;0,OR(K121&gt;0,K121&lt;0)),SUBTOTAL(2,$K$3:K121),IF(AND(G121=0,OR(K121&gt;0,K121&lt;0)),SUBTOTAL(2,$K$3:K121)+200,""))))&gt;200,"",1)),IF(K121="","",IF(IF($AE$2="",IF(K121="","",SUBTOTAL(2,$K$3:K121)),IF(AND(G121&gt;=0,K121=""),"",IF(AND(G121&gt;0,OR(K121&gt;0,K121&lt;0)),SUBTOTAL(2,$K$3:K121),IF(AND(G121=0,OR(K121&gt;0,K121&lt;0)),SUBTOTAL(2,$K$3:K121)+200,""))))&gt;200,"",1)))</f>
        <v/>
      </c>
      <c r="N121" s="214" t="str">
        <f>IF($AM$1=TRUE,IF(K121="","",IF(IF($AE$2="",IF(K121="","",SUBTOTAL(2,$K$3:K121)),IF(AND(G121&gt;=0,K121=""),"",IF(AND(G121&gt;0,OR(K121&gt;0,K121&lt;0)),SUBTOTAL(2,$K$3:K121),IF(AND(G121=0,OR(K121&gt;0,K121&lt;0)),SUBTOTAL(2,$K$3:K121)+200,""))))&lt;=200,"",2)),IF(K121="","",IF(IF($AE$2="",IF(K121="","",SUBTOTAL(2,$K$3:K121)),IF(AND(G121&gt;=0,K121=""),"",IF(AND(G121&gt;0,OR(K121&gt;0,K121&lt;0)),SUBTOTAL(2,$K$3:K121),IF(AND(G121=0,OR(K121&gt;0,K121&lt;0)),SUBTOTAL(2,$K$3:K121)+200,""))))&lt;=200,"",2)))</f>
        <v/>
      </c>
      <c r="O121" s="561"/>
      <c r="P121" s="435">
        <f t="shared" si="32"/>
        <v>0</v>
      </c>
      <c r="Q121" s="566">
        <v>0</v>
      </c>
      <c r="R121" s="514" t="s">
        <v>60</v>
      </c>
      <c r="S121" s="515" t="s">
        <v>81</v>
      </c>
      <c r="T121" s="468">
        <f t="shared" si="27"/>
        <v>0</v>
      </c>
      <c r="U121" s="574">
        <f t="shared" si="31"/>
        <v>12</v>
      </c>
      <c r="V121" s="431" t="s">
        <v>127</v>
      </c>
      <c r="AP121" s="1182" t="str">
        <f>IF(예산실적비교표!AL121&lt;&gt;"",예산실적비교표!AL121,"")</f>
        <v/>
      </c>
      <c r="AQ121" s="1183" t="str">
        <f>IF(예산실적비교표!AM121&lt;&gt;"",예산실적비교표!AM121,"")</f>
        <v/>
      </c>
      <c r="AR121" s="1184">
        <f>IF(예산실적비교표!AN121&lt;&gt;"",예산실적비교표!AN121,0)</f>
        <v>0</v>
      </c>
      <c r="AS121" s="1185">
        <f>IF(예산실적비교표!AO121&lt;&gt;"",예산실적비교표!AO121,0)</f>
        <v>0</v>
      </c>
      <c r="AT121" s="1118">
        <f t="shared" si="23"/>
        <v>0</v>
      </c>
      <c r="AU121" s="1186">
        <f>IF(예산실적비교표!AQ121&lt;&gt;"",예산실적비교표!AQ121,0)</f>
        <v>0</v>
      </c>
      <c r="AV121" s="1120">
        <f t="shared" si="24"/>
        <v>0</v>
      </c>
      <c r="AW121" s="1121">
        <f>IF(AR121="",0,ROUND((AT121*$AT$7)*데이터입력!$AF$14+(AT121*$AU$7)*데이터입력!$AF$14+(AT121*$AU$7*$AV$7)*데이터입력!$AF$14+(AT121*$AW$7)*데이터입력!$AF$14+(AT121*$AX$7)*데이터입력!$AF$14,-1))</f>
        <v>0</v>
      </c>
      <c r="AX121" s="1122">
        <f t="shared" si="25"/>
        <v>0</v>
      </c>
      <c r="AY121" s="1123">
        <f>IFERROR(IF(AR121+AS121=0,0,ROUND(IF(데이터입력!$AF$14=100%,ROUND(AR121*$AR$1,-3),ROUND(AR121*$AR$1,-3)-ROUND(((AR121*$AR$1)*$AT$4)*(데이터입력!$AF$14-100%)+((AR121*$AR$1)*$AU$4)*(데이터입력!$AF$14-100%)+((AR121*$AR$1)*$AU$4*$AV$4)*(데이터입력!$AF$14-100%)+((AR121*$AR$1)*$AW$4)*(데이터입력!$AF$14-100%),-1)),0)),0)</f>
        <v>0</v>
      </c>
      <c r="AZ121" s="1124">
        <f>IFERROR(IF(AR121+AS121=0,0,IF(데이터입력!$AF$12=100%,(AT121),(AT121)+ROUND(AT121*(데이터입력!$AF$12-100%),-1))),0)</f>
        <v>0</v>
      </c>
      <c r="BA121" s="1265" t="str">
        <f t="shared" si="22"/>
        <v/>
      </c>
      <c r="BB121" s="1264" t="str">
        <f>IF(BA121="","",IF(데이터입력!$O$68="",ROUND(AZ121/12,0),ROUND(데이터입력!$O$68/데이터입력!$Y$8/$BC$63,0)))</f>
        <v/>
      </c>
    </row>
    <row r="122" spans="1:54">
      <c r="A122" s="1048" t="str">
        <f>IF($AM$1=TRUE,IF(K122="","",SUBTOTAL(2,$K$3:K122)),IF(AND(M122="",N122=""),"",IF(N122="",COUNT($M$3:M122),COUNT($N$3:N122)+200)))</f>
        <v/>
      </c>
      <c r="B122" s="439" t="s">
        <v>52</v>
      </c>
      <c r="C122" s="439" t="s">
        <v>630</v>
      </c>
      <c r="D122" s="438">
        <v>501020301</v>
      </c>
      <c r="E122" s="438" t="s">
        <v>85</v>
      </c>
      <c r="F122" s="438" t="s">
        <v>82</v>
      </c>
      <c r="G122" s="440">
        <f>IFERROR(IF($E122="05",VLOOKUP($B122,예산실적비교표!$AG$7:$AJ$200,2,FALSE),0),0)</f>
        <v>0</v>
      </c>
      <c r="H122" s="440">
        <f>IFERROR(IF($E122="06",VLOOKUP($C122,세출예산서!$K$3:$X$304,12,FALSE),0),0)</f>
        <v>0</v>
      </c>
      <c r="I122" s="440">
        <f>IFERROR(IF($E122="07",VLOOKUP($C122,세출예산서!$K$3:$X$304,13,FALSE),0),0)</f>
        <v>0</v>
      </c>
      <c r="J122" s="440">
        <f>IFERROR(IF($E122="05",VLOOKUP($C122,세출예산서!$K$3:$X$304,14,FALSE),0),0)</f>
        <v>0</v>
      </c>
      <c r="K122" s="440" t="str">
        <f t="shared" si="33"/>
        <v/>
      </c>
      <c r="L122" s="441">
        <f>IFERROR(IF($AB$2="",0,ROUNDUP(VLOOKUP($B122,예산실적비교표!$AG$7:$AJ$200,3,FALSE)*$Y$7/$Y$9,-3)*$Y$8),0)</f>
        <v>0</v>
      </c>
      <c r="M122" s="708" t="str">
        <f>IF($AM$1=TRUE,IF(K122="","",IF(IF($AE$2="",IF(K122="","",SUBTOTAL(2,$K$3:K122)),IF(AND(G122&gt;=0,K122=""),"",IF(AND(G122&gt;0,OR(K122&gt;0,K122&lt;0)),SUBTOTAL(2,$K$3:K122),IF(AND(G122=0,OR(K122&gt;0,K122&lt;0)),SUBTOTAL(2,$K$3:K122)+200,""))))&gt;200,"",1)),IF(K122="","",IF(IF($AE$2="",IF(K122="","",SUBTOTAL(2,$K$3:K122)),IF(AND(G122&gt;=0,K122=""),"",IF(AND(G122&gt;0,OR(K122&gt;0,K122&lt;0)),SUBTOTAL(2,$K$3:K122),IF(AND(G122=0,OR(K122&gt;0,K122&lt;0)),SUBTOTAL(2,$K$3:K122)+200,""))))&gt;200,"",1)))</f>
        <v/>
      </c>
      <c r="N122" s="214" t="str">
        <f>IF($AM$1=TRUE,IF(K122="","",IF(IF($AE$2="",IF(K122="","",SUBTOTAL(2,$K$3:K122)),IF(AND(G122&gt;=0,K122=""),"",IF(AND(G122&gt;0,OR(K122&gt;0,K122&lt;0)),SUBTOTAL(2,$K$3:K122),IF(AND(G122=0,OR(K122&gt;0,K122&lt;0)),SUBTOTAL(2,$K$3:K122)+200,""))))&lt;=200,"",2)),IF(K122="","",IF(IF($AE$2="",IF(K122="","",SUBTOTAL(2,$K$3:K122)),IF(AND(G122&gt;=0,K122=""),"",IF(AND(G122&gt;0,OR(K122&gt;0,K122&lt;0)),SUBTOTAL(2,$K$3:K122),IF(AND(G122=0,OR(K122&gt;0,K122&lt;0)),SUBTOTAL(2,$K$3:K122)+200,""))))&lt;=200,"",2)))</f>
        <v/>
      </c>
      <c r="O122" s="562"/>
      <c r="P122" s="435">
        <f>$I$31-SUM(AI81:AJ83)+AB21</f>
        <v>0</v>
      </c>
      <c r="Q122" s="565"/>
      <c r="R122" s="514" t="s">
        <v>61</v>
      </c>
      <c r="S122" s="515" t="s">
        <v>81</v>
      </c>
      <c r="T122" s="516">
        <f>P122</f>
        <v>0</v>
      </c>
      <c r="U122" s="575"/>
      <c r="V122" s="517" t="s">
        <v>656</v>
      </c>
      <c r="AP122" s="1182" t="str">
        <f>IF(예산실적비교표!AL122&lt;&gt;"",예산실적비교표!AL122,"")</f>
        <v/>
      </c>
      <c r="AQ122" s="1183" t="str">
        <f>IF(예산실적비교표!AM122&lt;&gt;"",예산실적비교표!AM122,"")</f>
        <v/>
      </c>
      <c r="AR122" s="1184">
        <f>IF(예산실적비교표!AN122&lt;&gt;"",예산실적비교표!AN122,0)</f>
        <v>0</v>
      </c>
      <c r="AS122" s="1185">
        <f>IF(예산실적비교표!AO122&lt;&gt;"",예산실적비교표!AO122,0)</f>
        <v>0</v>
      </c>
      <c r="AT122" s="1118">
        <f t="shared" si="23"/>
        <v>0</v>
      </c>
      <c r="AU122" s="1186">
        <f>IF(예산실적비교표!AQ122&lt;&gt;"",예산실적비교표!AQ122,0)</f>
        <v>0</v>
      </c>
      <c r="AV122" s="1120">
        <f t="shared" si="24"/>
        <v>0</v>
      </c>
      <c r="AW122" s="1121">
        <f>IF(AR122="",0,ROUND((AT122*$AT$7)*데이터입력!$AF$14+(AT122*$AU$7)*데이터입력!$AF$14+(AT122*$AU$7*$AV$7)*데이터입력!$AF$14+(AT122*$AW$7)*데이터입력!$AF$14+(AT122*$AX$7)*데이터입력!$AF$14,-1))</f>
        <v>0</v>
      </c>
      <c r="AX122" s="1122">
        <f t="shared" si="25"/>
        <v>0</v>
      </c>
      <c r="AY122" s="1123">
        <f>IFERROR(IF(AR122+AS122=0,0,ROUND(IF(데이터입력!$AF$14=100%,ROUND(AR122*$AR$1,-3),ROUND(AR122*$AR$1,-3)-ROUND(((AR122*$AR$1)*$AT$4)*(데이터입력!$AF$14-100%)+((AR122*$AR$1)*$AU$4)*(데이터입력!$AF$14-100%)+((AR122*$AR$1)*$AU$4*$AV$4)*(데이터입력!$AF$14-100%)+((AR122*$AR$1)*$AW$4)*(데이터입력!$AF$14-100%),-1)),0)),0)</f>
        <v>0</v>
      </c>
      <c r="AZ122" s="1124">
        <f>IFERROR(IF(AR122+AS122=0,0,IF(데이터입력!$AF$12=100%,(AT122),(AT122)+ROUND(AT122*(데이터입력!$AF$12-100%),-1))),0)</f>
        <v>0</v>
      </c>
      <c r="BA122" s="1265" t="str">
        <f t="shared" si="22"/>
        <v/>
      </c>
      <c r="BB122" s="1264" t="str">
        <f>IF(BA122="","",IF(데이터입력!$O$68="",ROUND(AZ122/12,0),ROUND(데이터입력!$O$68/데이터입력!$Y$8/$BC$63,0)))</f>
        <v/>
      </c>
    </row>
    <row r="123" spans="1:54">
      <c r="A123" s="1048" t="str">
        <f>IF($AM$1=TRUE,IF(K123="","",SUBTOTAL(2,$K$3:K123)),IF(AND(M123="",N123=""),"",IF(N123="",COUNT($M$3:M123),COUNT($N$3:N123)+200)))</f>
        <v/>
      </c>
      <c r="B123" s="439" t="s">
        <v>53</v>
      </c>
      <c r="C123" s="439" t="s">
        <v>631</v>
      </c>
      <c r="D123" s="438">
        <v>501030101</v>
      </c>
      <c r="E123" s="438" t="s">
        <v>85</v>
      </c>
      <c r="F123" s="438" t="s">
        <v>82</v>
      </c>
      <c r="G123" s="440">
        <f>IFERROR(IF($E123="05",VLOOKUP($B123,예산실적비교표!$AG$7:$AJ$200,2,FALSE),0),0)</f>
        <v>0</v>
      </c>
      <c r="H123" s="440">
        <f>IFERROR(IF($E123="06",VLOOKUP($C123,세출예산서!$K$3:$X$304,12,FALSE),0),0)</f>
        <v>0</v>
      </c>
      <c r="I123" s="440">
        <f>IFERROR(IF($E123="07",VLOOKUP($C123,세출예산서!$K$3:$X$304,13,FALSE),0),0)</f>
        <v>0</v>
      </c>
      <c r="J123" s="440">
        <f>IFERROR(IF($E123="05",VLOOKUP($C123,세출예산서!$K$3:$X$304,14,FALSE),0),0)</f>
        <v>0</v>
      </c>
      <c r="K123" s="440" t="str">
        <f t="shared" si="33"/>
        <v/>
      </c>
      <c r="L123" s="441">
        <f>IFERROR(IF($AB$2="",0,ROUNDUP(VLOOKUP($B123,예산실적비교표!$AG$7:$AJ$200,3,FALSE)*$Y$7/$Y$9,-3)*$Y$8),0)</f>
        <v>0</v>
      </c>
      <c r="M123" s="708" t="str">
        <f>IF($AM$1=TRUE,IF(K123="","",IF(IF($AE$2="",IF(K123="","",SUBTOTAL(2,$K$3:K123)),IF(AND(G123&gt;=0,K123=""),"",IF(AND(G123&gt;0,OR(K123&gt;0,K123&lt;0)),SUBTOTAL(2,$K$3:K123),IF(AND(G123=0,OR(K123&gt;0,K123&lt;0)),SUBTOTAL(2,$K$3:K123)+200,""))))&gt;200,"",1)),IF(K123="","",IF(IF($AE$2="",IF(K123="","",SUBTOTAL(2,$K$3:K123)),IF(AND(G123&gt;=0,K123=""),"",IF(AND(G123&gt;0,OR(K123&gt;0,K123&lt;0)),SUBTOTAL(2,$K$3:K123),IF(AND(G123=0,OR(K123&gt;0,K123&lt;0)),SUBTOTAL(2,$K$3:K123)+200,""))))&gt;200,"",1)))</f>
        <v/>
      </c>
      <c r="N123" s="214" t="str">
        <f>IF($AM$1=TRUE,IF(K123="","",IF(IF($AE$2="",IF(K123="","",SUBTOTAL(2,$K$3:K123)),IF(AND(G123&gt;=0,K123=""),"",IF(AND(G123&gt;0,OR(K123&gt;0,K123&lt;0)),SUBTOTAL(2,$K$3:K123),IF(AND(G123=0,OR(K123&gt;0,K123&lt;0)),SUBTOTAL(2,$K$3:K123)+200,""))))&lt;=200,"",2)),IF(K123="","",IF(IF($AE$2="",IF(K123="","",SUBTOTAL(2,$K$3:K123)),IF(AND(G123&gt;=0,K123=""),"",IF(AND(G123&gt;0,OR(K123&gt;0,K123&lt;0)),SUBTOTAL(2,$K$3:K123),IF(AND(G123=0,OR(K123&gt;0,K123&lt;0)),SUBTOTAL(2,$K$3:K123)+200,""))))&lt;=200,"",2)))</f>
        <v/>
      </c>
      <c r="O123" s="561"/>
      <c r="P123" s="435">
        <f t="shared" ref="P123:P128" si="34">IFERROR(IF(VLOOKUP(R123,$B$81:$L$110,11,FALSE)&gt;0,VLOOKUP(R123,$B$81:$L$110,11,FALSE),0),0)</f>
        <v>0</v>
      </c>
      <c r="Q123" s="566">
        <v>0</v>
      </c>
      <c r="R123" s="514" t="s">
        <v>62</v>
      </c>
      <c r="S123" s="515" t="s">
        <v>81</v>
      </c>
      <c r="T123" s="468">
        <f t="shared" si="27"/>
        <v>0</v>
      </c>
      <c r="U123" s="574">
        <f t="shared" ref="U123:U128" si="35">IF(Q123=0,$Y$8,Q123)</f>
        <v>12</v>
      </c>
      <c r="V123" s="431" t="s">
        <v>127</v>
      </c>
      <c r="AP123" s="1182" t="str">
        <f>IF(예산실적비교표!AL123&lt;&gt;"",예산실적비교표!AL123,"")</f>
        <v/>
      </c>
      <c r="AQ123" s="1183" t="str">
        <f>IF(예산실적비교표!AM123&lt;&gt;"",예산실적비교표!AM123,"")</f>
        <v/>
      </c>
      <c r="AR123" s="1184">
        <f>IF(예산실적비교표!AN123&lt;&gt;"",예산실적비교표!AN123,0)</f>
        <v>0</v>
      </c>
      <c r="AS123" s="1185">
        <f>IF(예산실적비교표!AO123&lt;&gt;"",예산실적비교표!AO123,0)</f>
        <v>0</v>
      </c>
      <c r="AT123" s="1118">
        <f t="shared" si="23"/>
        <v>0</v>
      </c>
      <c r="AU123" s="1186">
        <f>IF(예산실적비교표!AQ123&lt;&gt;"",예산실적비교표!AQ123,0)</f>
        <v>0</v>
      </c>
      <c r="AV123" s="1120">
        <f t="shared" si="24"/>
        <v>0</v>
      </c>
      <c r="AW123" s="1121">
        <f>IF(AR123="",0,ROUND((AT123*$AT$7)*데이터입력!$AF$14+(AT123*$AU$7)*데이터입력!$AF$14+(AT123*$AU$7*$AV$7)*데이터입력!$AF$14+(AT123*$AW$7)*데이터입력!$AF$14+(AT123*$AX$7)*데이터입력!$AF$14,-1))</f>
        <v>0</v>
      </c>
      <c r="AX123" s="1122">
        <f t="shared" si="25"/>
        <v>0</v>
      </c>
      <c r="AY123" s="1123">
        <f>IFERROR(IF(AR123+AS123=0,0,ROUND(IF(데이터입력!$AF$14=100%,ROUND(AR123*$AR$1,-3),ROUND(AR123*$AR$1,-3)-ROUND(((AR123*$AR$1)*$AT$4)*(데이터입력!$AF$14-100%)+((AR123*$AR$1)*$AU$4)*(데이터입력!$AF$14-100%)+((AR123*$AR$1)*$AU$4*$AV$4)*(데이터입력!$AF$14-100%)+((AR123*$AR$1)*$AW$4)*(데이터입력!$AF$14-100%),-1)),0)),0)</f>
        <v>0</v>
      </c>
      <c r="AZ123" s="1124">
        <f>IFERROR(IF(AR123+AS123=0,0,IF(데이터입력!$AF$12=100%,(AT123),(AT123)+ROUND(AT123*(데이터입력!$AF$12-100%),-1))),0)</f>
        <v>0</v>
      </c>
      <c r="BA123" s="1265" t="str">
        <f t="shared" si="22"/>
        <v/>
      </c>
      <c r="BB123" s="1264" t="str">
        <f>IF(BA123="","",IF(데이터입력!$O$68="",ROUND(AZ123/12,0),ROUND(데이터입력!$O$68/데이터입력!$Y$8/$BC$63,0)))</f>
        <v/>
      </c>
    </row>
    <row r="124" spans="1:54">
      <c r="A124" s="1048" t="str">
        <f>IF($AM$1=TRUE,IF(K124="","",SUBTOTAL(2,$K$3:K124)),IF(AND(M124="",N124=""),"",IF(N124="",COUNT($M$3:M124),COUNT($N$3:N124)+200)))</f>
        <v/>
      </c>
      <c r="B124" s="439" t="s">
        <v>54</v>
      </c>
      <c r="C124" s="439" t="s">
        <v>632</v>
      </c>
      <c r="D124" s="438">
        <v>501030201</v>
      </c>
      <c r="E124" s="438" t="s">
        <v>85</v>
      </c>
      <c r="F124" s="438" t="s">
        <v>82</v>
      </c>
      <c r="G124" s="440">
        <f>IFERROR(IF($E124="05",VLOOKUP($B124,예산실적비교표!$AG$7:$AJ$200,2,FALSE),0),0)</f>
        <v>0</v>
      </c>
      <c r="H124" s="440">
        <f>IFERROR(IF($E124="06",VLOOKUP($C124,세출예산서!$K$3:$X$304,12,FALSE),0),0)</f>
        <v>0</v>
      </c>
      <c r="I124" s="440">
        <f>IFERROR(IF($E124="07",VLOOKUP($C124,세출예산서!$K$3:$X$304,13,FALSE),0),0)</f>
        <v>0</v>
      </c>
      <c r="J124" s="440">
        <f>IFERROR(IF($E124="05",VLOOKUP($C124,세출예산서!$K$3:$X$304,14,FALSE),0),0)</f>
        <v>0</v>
      </c>
      <c r="K124" s="440" t="str">
        <f t="shared" si="33"/>
        <v/>
      </c>
      <c r="L124" s="441">
        <f>IFERROR(IF($AB$2="",0,ROUNDUP(VLOOKUP($B124,예산실적비교표!$AG$7:$AJ$200,3,FALSE)*$Y$7/$Y$9,-3)*$Y$8),0)</f>
        <v>0</v>
      </c>
      <c r="M124" s="708" t="str">
        <f>IF($AM$1=TRUE,IF(K124="","",IF(IF($AE$2="",IF(K124="","",SUBTOTAL(2,$K$3:K124)),IF(AND(G124&gt;=0,K124=""),"",IF(AND(G124&gt;0,OR(K124&gt;0,K124&lt;0)),SUBTOTAL(2,$K$3:K124),IF(AND(G124=0,OR(K124&gt;0,K124&lt;0)),SUBTOTAL(2,$K$3:K124)+200,""))))&gt;200,"",1)),IF(K124="","",IF(IF($AE$2="",IF(K124="","",SUBTOTAL(2,$K$3:K124)),IF(AND(G124&gt;=0,K124=""),"",IF(AND(G124&gt;0,OR(K124&gt;0,K124&lt;0)),SUBTOTAL(2,$K$3:K124),IF(AND(G124=0,OR(K124&gt;0,K124&lt;0)),SUBTOTAL(2,$K$3:K124)+200,""))))&gt;200,"",1)))</f>
        <v/>
      </c>
      <c r="N124" s="214" t="str">
        <f>IF($AM$1=TRUE,IF(K124="","",IF(IF($AE$2="",IF(K124="","",SUBTOTAL(2,$K$3:K124)),IF(AND(G124&gt;=0,K124=""),"",IF(AND(G124&gt;0,OR(K124&gt;0,K124&lt;0)),SUBTOTAL(2,$K$3:K124),IF(AND(G124=0,OR(K124&gt;0,K124&lt;0)),SUBTOTAL(2,$K$3:K124)+200,""))))&lt;=200,"",2)),IF(K124="","",IF(IF($AE$2="",IF(K124="","",SUBTOTAL(2,$K$3:K124)),IF(AND(G124&gt;=0,K124=""),"",IF(AND(G124&gt;0,OR(K124&gt;0,K124&lt;0)),SUBTOTAL(2,$K$3:K124),IF(AND(G124=0,OR(K124&gt;0,K124&lt;0)),SUBTOTAL(2,$K$3:K124)+200,""))))&lt;=200,"",2)))</f>
        <v/>
      </c>
      <c r="O124" s="561"/>
      <c r="P124" s="435">
        <f t="shared" si="34"/>
        <v>0</v>
      </c>
      <c r="Q124" s="566">
        <v>0</v>
      </c>
      <c r="R124" s="514" t="s">
        <v>63</v>
      </c>
      <c r="S124" s="515" t="s">
        <v>81</v>
      </c>
      <c r="T124" s="468">
        <f t="shared" si="27"/>
        <v>0</v>
      </c>
      <c r="U124" s="574">
        <f t="shared" si="35"/>
        <v>12</v>
      </c>
      <c r="V124" s="431" t="s">
        <v>127</v>
      </c>
      <c r="AP124" s="1182" t="str">
        <f>IF(예산실적비교표!AL124&lt;&gt;"",예산실적비교표!AL124,"")</f>
        <v/>
      </c>
      <c r="AQ124" s="1183" t="str">
        <f>IF(예산실적비교표!AM124&lt;&gt;"",예산실적비교표!AM124,"")</f>
        <v/>
      </c>
      <c r="AR124" s="1184">
        <f>IF(예산실적비교표!AN124&lt;&gt;"",예산실적비교표!AN124,0)</f>
        <v>0</v>
      </c>
      <c r="AS124" s="1185">
        <f>IF(예산실적비교표!AO124&lt;&gt;"",예산실적비교표!AO124,0)</f>
        <v>0</v>
      </c>
      <c r="AT124" s="1118">
        <f t="shared" si="23"/>
        <v>0</v>
      </c>
      <c r="AU124" s="1186">
        <f>IF(예산실적비교표!AQ124&lt;&gt;"",예산실적비교표!AQ124,0)</f>
        <v>0</v>
      </c>
      <c r="AV124" s="1120">
        <f t="shared" si="24"/>
        <v>0</v>
      </c>
      <c r="AW124" s="1121">
        <f>IF(AR124="",0,ROUND((AT124*$AT$7)*데이터입력!$AF$14+(AT124*$AU$7)*데이터입력!$AF$14+(AT124*$AU$7*$AV$7)*데이터입력!$AF$14+(AT124*$AW$7)*데이터입력!$AF$14+(AT124*$AX$7)*데이터입력!$AF$14,-1))</f>
        <v>0</v>
      </c>
      <c r="AX124" s="1122">
        <f t="shared" si="25"/>
        <v>0</v>
      </c>
      <c r="AY124" s="1123">
        <f>IFERROR(IF(AR124+AS124=0,0,ROUND(IF(데이터입력!$AF$14=100%,ROUND(AR124*$AR$1,-3),ROUND(AR124*$AR$1,-3)-ROUND(((AR124*$AR$1)*$AT$4)*(데이터입력!$AF$14-100%)+((AR124*$AR$1)*$AU$4)*(데이터입력!$AF$14-100%)+((AR124*$AR$1)*$AU$4*$AV$4)*(데이터입력!$AF$14-100%)+((AR124*$AR$1)*$AW$4)*(데이터입력!$AF$14-100%),-1)),0)),0)</f>
        <v>0</v>
      </c>
      <c r="AZ124" s="1124">
        <f>IFERROR(IF(AR124+AS124=0,0,IF(데이터입력!$AF$12=100%,(AT124),(AT124)+ROUND(AT124*(데이터입력!$AF$12-100%),-1))),0)</f>
        <v>0</v>
      </c>
      <c r="BA124" s="1265" t="str">
        <f t="shared" si="22"/>
        <v/>
      </c>
      <c r="BB124" s="1264" t="str">
        <f>IF(BA124="","",IF(데이터입력!$O$68="",ROUND(AZ124/12,0),ROUND(데이터입력!$O$68/데이터입력!$Y$8/$BC$63,0)))</f>
        <v/>
      </c>
    </row>
    <row r="125" spans="1:54">
      <c r="A125" s="1048" t="str">
        <f>IF($AM$1=TRUE,IF(K125="","",SUBTOTAL(2,$K$3:K125)),IF(AND(M125="",N125=""),"",IF(N125="",COUNT($M$3:M125),COUNT($N$3:N125)+200)))</f>
        <v/>
      </c>
      <c r="B125" s="439" t="str">
        <f>R144</f>
        <v>공공요금 및 각종 세금공과금</v>
      </c>
      <c r="C125" s="439" t="str">
        <f>B125&amp;"(후원금)"</f>
        <v>공공요금 및 각종 세금공과금(후원금)</v>
      </c>
      <c r="D125" s="438">
        <v>501030301</v>
      </c>
      <c r="E125" s="438" t="s">
        <v>85</v>
      </c>
      <c r="F125" s="438" t="s">
        <v>82</v>
      </c>
      <c r="G125" s="440">
        <f>IFERROR(IF($E125="05",VLOOKUP($B125,예산실적비교표!$AG$7:$AJ$200,2,FALSE),0),0)</f>
        <v>0</v>
      </c>
      <c r="H125" s="440">
        <f>IFERROR(IF($E125="06",VLOOKUP($C125,세출예산서!$K$3:$X$304,12,FALSE),0),0)</f>
        <v>0</v>
      </c>
      <c r="I125" s="440">
        <f>IFERROR(IF($E125="07",VLOOKUP($C125,세출예산서!$K$3:$X$304,13,FALSE),0),0)</f>
        <v>0</v>
      </c>
      <c r="J125" s="440">
        <f>IFERROR(IF($E125="05",VLOOKUP($C125,세출예산서!$K$3:$X$304,14,FALSE),0),0)</f>
        <v>0</v>
      </c>
      <c r="K125" s="440" t="str">
        <f t="shared" si="33"/>
        <v/>
      </c>
      <c r="L125" s="441">
        <f>IFERROR(IF($AB$2="",0,ROUNDUP(VLOOKUP($B125,예산실적비교표!$AG$7:$AJ$200,3,FALSE)*$Y$7/$Y$9,-3)*$Y$8),0)</f>
        <v>0</v>
      </c>
      <c r="M125" s="708" t="str">
        <f>IF($AM$1=TRUE,IF(K125="","",IF(IF($AE$2="",IF(K125="","",SUBTOTAL(2,$K$3:K125)),IF(AND(G125&gt;=0,K125=""),"",IF(AND(G125&gt;0,OR(K125&gt;0,K125&lt;0)),SUBTOTAL(2,$K$3:K125),IF(AND(G125=0,OR(K125&gt;0,K125&lt;0)),SUBTOTAL(2,$K$3:K125)+200,""))))&gt;200,"",1)),IF(K125="","",IF(IF($AE$2="",IF(K125="","",SUBTOTAL(2,$K$3:K125)),IF(AND(G125&gt;=0,K125=""),"",IF(AND(G125&gt;0,OR(K125&gt;0,K125&lt;0)),SUBTOTAL(2,$K$3:K125),IF(AND(G125=0,OR(K125&gt;0,K125&lt;0)),SUBTOTAL(2,$K$3:K125)+200,""))))&gt;200,"",1)))</f>
        <v/>
      </c>
      <c r="N125" s="214" t="str">
        <f>IF($AM$1=TRUE,IF(K125="","",IF(IF($AE$2="",IF(K125="","",SUBTOTAL(2,$K$3:K125)),IF(AND(G125&gt;=0,K125=""),"",IF(AND(G125&gt;0,OR(K125&gt;0,K125&lt;0)),SUBTOTAL(2,$K$3:K125),IF(AND(G125=0,OR(K125&gt;0,K125&lt;0)),SUBTOTAL(2,$K$3:K125)+200,""))))&lt;=200,"",2)),IF(K125="","",IF(IF($AE$2="",IF(K125="","",SUBTOTAL(2,$K$3:K125)),IF(AND(G125&gt;=0,K125=""),"",IF(AND(G125&gt;0,OR(K125&gt;0,K125&lt;0)),SUBTOTAL(2,$K$3:K125),IF(AND(G125=0,OR(K125&gt;0,K125&lt;0)),SUBTOTAL(2,$K$3:K125)+200,""))))&lt;=200,"",2)))</f>
        <v/>
      </c>
      <c r="O125" s="561"/>
      <c r="P125" s="435">
        <f t="shared" si="34"/>
        <v>0</v>
      </c>
      <c r="Q125" s="566">
        <v>0</v>
      </c>
      <c r="R125" s="514" t="s">
        <v>64</v>
      </c>
      <c r="S125" s="515" t="s">
        <v>81</v>
      </c>
      <c r="T125" s="468">
        <f t="shared" si="27"/>
        <v>0</v>
      </c>
      <c r="U125" s="574">
        <f t="shared" si="35"/>
        <v>12</v>
      </c>
      <c r="V125" s="431" t="s">
        <v>127</v>
      </c>
      <c r="AP125" s="1182" t="str">
        <f>IF(예산실적비교표!AL125&lt;&gt;"",예산실적비교표!AL125,"")</f>
        <v/>
      </c>
      <c r="AQ125" s="1183" t="str">
        <f>IF(예산실적비교표!AM125&lt;&gt;"",예산실적비교표!AM125,"")</f>
        <v/>
      </c>
      <c r="AR125" s="1184">
        <f>IF(예산실적비교표!AN125&lt;&gt;"",예산실적비교표!AN125,0)</f>
        <v>0</v>
      </c>
      <c r="AS125" s="1185">
        <f>IF(예산실적비교표!AO125&lt;&gt;"",예산실적비교표!AO125,0)</f>
        <v>0</v>
      </c>
      <c r="AT125" s="1118">
        <f t="shared" si="23"/>
        <v>0</v>
      </c>
      <c r="AU125" s="1186">
        <f>IF(예산실적비교표!AQ125&lt;&gt;"",예산실적비교표!AQ125,0)</f>
        <v>0</v>
      </c>
      <c r="AV125" s="1120">
        <f t="shared" si="24"/>
        <v>0</v>
      </c>
      <c r="AW125" s="1121">
        <f>IF(AR125="",0,ROUND((AT125*$AT$7)*데이터입력!$AF$14+(AT125*$AU$7)*데이터입력!$AF$14+(AT125*$AU$7*$AV$7)*데이터입력!$AF$14+(AT125*$AW$7)*데이터입력!$AF$14+(AT125*$AX$7)*데이터입력!$AF$14,-1))</f>
        <v>0</v>
      </c>
      <c r="AX125" s="1122">
        <f t="shared" si="25"/>
        <v>0</v>
      </c>
      <c r="AY125" s="1123">
        <f>IFERROR(IF(AR125+AS125=0,0,ROUND(IF(데이터입력!$AF$14=100%,ROUND(AR125*$AR$1,-3),ROUND(AR125*$AR$1,-3)-ROUND(((AR125*$AR$1)*$AT$4)*(데이터입력!$AF$14-100%)+((AR125*$AR$1)*$AU$4)*(데이터입력!$AF$14-100%)+((AR125*$AR$1)*$AU$4*$AV$4)*(데이터입력!$AF$14-100%)+((AR125*$AR$1)*$AW$4)*(데이터입력!$AF$14-100%),-1)),0)),0)</f>
        <v>0</v>
      </c>
      <c r="AZ125" s="1124">
        <f>IFERROR(IF(AR125+AS125=0,0,IF(데이터입력!$AF$12=100%,(AT125),(AT125)+ROUND(AT125*(데이터입력!$AF$12-100%),-1))),0)</f>
        <v>0</v>
      </c>
      <c r="BA125" s="1265" t="str">
        <f t="shared" si="22"/>
        <v/>
      </c>
      <c r="BB125" s="1264" t="str">
        <f>IF(BA125="","",IF(데이터입력!$O$68="",ROUND(AZ125/12,0),ROUND(데이터입력!$O$68/데이터입력!$Y$8/$BC$63,0)))</f>
        <v/>
      </c>
    </row>
    <row r="126" spans="1:54">
      <c r="A126" s="1048" t="str">
        <f>IF($AM$1=TRUE,IF(K126="","",SUBTOTAL(2,$K$3:K126)),IF(AND(M126="",N126=""),"",IF(N126="",COUNT($M$3:M126),COUNT($N$3:N126)+200)))</f>
        <v/>
      </c>
      <c r="B126" s="439" t="s">
        <v>55</v>
      </c>
      <c r="C126" s="439" t="s">
        <v>633</v>
      </c>
      <c r="D126" s="438">
        <v>501030501</v>
      </c>
      <c r="E126" s="438" t="s">
        <v>85</v>
      </c>
      <c r="F126" s="438" t="s">
        <v>82</v>
      </c>
      <c r="G126" s="440">
        <f>IFERROR(IF($E126="05",VLOOKUP($B126,예산실적비교표!$AG$7:$AJ$200,2,FALSE),0),0)</f>
        <v>0</v>
      </c>
      <c r="H126" s="440">
        <f>IFERROR(IF($E126="06",VLOOKUP($C126,세출예산서!$K$3:$X$304,12,FALSE),0),0)</f>
        <v>0</v>
      </c>
      <c r="I126" s="440">
        <f>IFERROR(IF($E126="07",VLOOKUP($C126,세출예산서!$K$3:$X$304,13,FALSE),0),0)</f>
        <v>0</v>
      </c>
      <c r="J126" s="440">
        <f>IFERROR(IF($E126="05",VLOOKUP($C126,세출예산서!$K$3:$X$304,14,FALSE),0),0)</f>
        <v>0</v>
      </c>
      <c r="K126" s="440" t="str">
        <f t="shared" si="33"/>
        <v/>
      </c>
      <c r="L126" s="441">
        <f>IFERROR(IF($AB$2="",0,ROUNDUP(VLOOKUP($B126,예산실적비교표!$AG$7:$AJ$200,3,FALSE)*$Y$7/$Y$9,-3)*$Y$8),0)</f>
        <v>0</v>
      </c>
      <c r="M126" s="708" t="str">
        <f>IF($AM$1=TRUE,IF(K126="","",IF(IF($AE$2="",IF(K126="","",SUBTOTAL(2,$K$3:K126)),IF(AND(G126&gt;=0,K126=""),"",IF(AND(G126&gt;0,OR(K126&gt;0,K126&lt;0)),SUBTOTAL(2,$K$3:K126),IF(AND(G126=0,OR(K126&gt;0,K126&lt;0)),SUBTOTAL(2,$K$3:K126)+200,""))))&gt;200,"",1)),IF(K126="","",IF(IF($AE$2="",IF(K126="","",SUBTOTAL(2,$K$3:K126)),IF(AND(G126&gt;=0,K126=""),"",IF(AND(G126&gt;0,OR(K126&gt;0,K126&lt;0)),SUBTOTAL(2,$K$3:K126),IF(AND(G126=0,OR(K126&gt;0,K126&lt;0)),SUBTOTAL(2,$K$3:K126)+200,""))))&gt;200,"",1)))</f>
        <v/>
      </c>
      <c r="N126" s="214" t="str">
        <f>IF($AM$1=TRUE,IF(K126="","",IF(IF($AE$2="",IF(K126="","",SUBTOTAL(2,$K$3:K126)),IF(AND(G126&gt;=0,K126=""),"",IF(AND(G126&gt;0,OR(K126&gt;0,K126&lt;0)),SUBTOTAL(2,$K$3:K126),IF(AND(G126=0,OR(K126&gt;0,K126&lt;0)),SUBTOTAL(2,$K$3:K126)+200,""))))&lt;=200,"",2)),IF(K126="","",IF(IF($AE$2="",IF(K126="","",SUBTOTAL(2,$K$3:K126)),IF(AND(G126&gt;=0,K126=""),"",IF(AND(G126&gt;0,OR(K126&gt;0,K126&lt;0)),SUBTOTAL(2,$K$3:K126),IF(AND(G126=0,OR(K126&gt;0,K126&lt;0)),SUBTOTAL(2,$K$3:K126)+200,""))))&lt;=200,"",2)))</f>
        <v/>
      </c>
      <c r="O126" s="561"/>
      <c r="P126" s="435">
        <f t="shared" si="34"/>
        <v>0</v>
      </c>
      <c r="Q126" s="566">
        <v>0</v>
      </c>
      <c r="R126" s="514" t="s">
        <v>65</v>
      </c>
      <c r="S126" s="515" t="s">
        <v>81</v>
      </c>
      <c r="T126" s="468">
        <f t="shared" si="27"/>
        <v>0</v>
      </c>
      <c r="U126" s="574">
        <f t="shared" si="35"/>
        <v>12</v>
      </c>
      <c r="V126" s="431" t="s">
        <v>127</v>
      </c>
      <c r="AP126" s="1182" t="str">
        <f>IF(예산실적비교표!AL126&lt;&gt;"",예산실적비교표!AL126,"")</f>
        <v/>
      </c>
      <c r="AQ126" s="1183" t="str">
        <f>IF(예산실적비교표!AM126&lt;&gt;"",예산실적비교표!AM126,"")</f>
        <v/>
      </c>
      <c r="AR126" s="1184">
        <f>IF(예산실적비교표!AN126&lt;&gt;"",예산실적비교표!AN126,0)</f>
        <v>0</v>
      </c>
      <c r="AS126" s="1185">
        <f>IF(예산실적비교표!AO126&lt;&gt;"",예산실적비교표!AO126,0)</f>
        <v>0</v>
      </c>
      <c r="AT126" s="1118">
        <f t="shared" si="23"/>
        <v>0</v>
      </c>
      <c r="AU126" s="1186">
        <f>IF(예산실적비교표!AQ126&lt;&gt;"",예산실적비교표!AQ126,0)</f>
        <v>0</v>
      </c>
      <c r="AV126" s="1120">
        <f t="shared" si="24"/>
        <v>0</v>
      </c>
      <c r="AW126" s="1121">
        <f>IF(AR126="",0,ROUND((AT126*$AT$7)*데이터입력!$AF$14+(AT126*$AU$7)*데이터입력!$AF$14+(AT126*$AU$7*$AV$7)*데이터입력!$AF$14+(AT126*$AW$7)*데이터입력!$AF$14+(AT126*$AX$7)*데이터입력!$AF$14,-1))</f>
        <v>0</v>
      </c>
      <c r="AX126" s="1122">
        <f t="shared" si="25"/>
        <v>0</v>
      </c>
      <c r="AY126" s="1123">
        <f>IFERROR(IF(AR126+AS126=0,0,ROUND(IF(데이터입력!$AF$14=100%,ROUND(AR126*$AR$1,-3),ROUND(AR126*$AR$1,-3)-ROUND(((AR126*$AR$1)*$AT$4)*(데이터입력!$AF$14-100%)+((AR126*$AR$1)*$AU$4)*(데이터입력!$AF$14-100%)+((AR126*$AR$1)*$AU$4*$AV$4)*(데이터입력!$AF$14-100%)+((AR126*$AR$1)*$AW$4)*(데이터입력!$AF$14-100%),-1)),0)),0)</f>
        <v>0</v>
      </c>
      <c r="AZ126" s="1124">
        <f>IFERROR(IF(AR126+AS126=0,0,IF(데이터입력!$AF$12=100%,(AT126),(AT126)+ROUND(AT126*(데이터입력!$AF$12-100%),-1))),0)</f>
        <v>0</v>
      </c>
      <c r="BA126" s="1265" t="str">
        <f t="shared" si="22"/>
        <v/>
      </c>
      <c r="BB126" s="1264" t="str">
        <f>IF(BA126="","",IF(데이터입력!$O$68="",ROUND(AZ126/12,0),ROUND(데이터입력!$O$68/데이터입력!$Y$8/$BC$63,0)))</f>
        <v/>
      </c>
    </row>
    <row r="127" spans="1:54">
      <c r="A127" s="1048" t="str">
        <f>IF($AM$1=TRUE,IF(K127="","",SUBTOTAL(2,$K$3:K127)),IF(AND(M127="",N127=""),"",IF(N127="",COUNT($M$3:M127),COUNT($N$3:N127)+200)))</f>
        <v/>
      </c>
      <c r="B127" s="439" t="s">
        <v>56</v>
      </c>
      <c r="C127" s="439" t="s">
        <v>634</v>
      </c>
      <c r="D127" s="438">
        <v>501030601</v>
      </c>
      <c r="E127" s="438" t="s">
        <v>85</v>
      </c>
      <c r="F127" s="438" t="s">
        <v>82</v>
      </c>
      <c r="G127" s="440">
        <f>IFERROR(IF($E127="05",VLOOKUP($B127,예산실적비교표!$AG$7:$AJ$200,2,FALSE),0),0)</f>
        <v>0</v>
      </c>
      <c r="H127" s="440">
        <f>IFERROR(IF($E127="06",VLOOKUP($C127,세출예산서!$K$3:$X$304,12,FALSE),0),0)</f>
        <v>0</v>
      </c>
      <c r="I127" s="440">
        <f>IFERROR(IF($E127="07",VLOOKUP($C127,세출예산서!$K$3:$X$304,13,FALSE),0),0)</f>
        <v>0</v>
      </c>
      <c r="J127" s="440">
        <f>IFERROR(IF($E127="05",VLOOKUP($C127,세출예산서!$K$3:$X$304,14,FALSE),0),0)</f>
        <v>0</v>
      </c>
      <c r="K127" s="440" t="str">
        <f t="shared" si="33"/>
        <v/>
      </c>
      <c r="L127" s="441">
        <f>IFERROR(IF($AB$2="",0,ROUNDUP(VLOOKUP($B127,예산실적비교표!$AG$7:$AJ$200,3,FALSE)*$Y$7/$Y$9,-3)*$Y$8),0)</f>
        <v>0</v>
      </c>
      <c r="M127" s="708" t="str">
        <f>IF($AM$1=TRUE,IF(K127="","",IF(IF($AE$2="",IF(K127="","",SUBTOTAL(2,$K$3:K127)),IF(AND(G127&gt;=0,K127=""),"",IF(AND(G127&gt;0,OR(K127&gt;0,K127&lt;0)),SUBTOTAL(2,$K$3:K127),IF(AND(G127=0,OR(K127&gt;0,K127&lt;0)),SUBTOTAL(2,$K$3:K127)+200,""))))&gt;200,"",1)),IF(K127="","",IF(IF($AE$2="",IF(K127="","",SUBTOTAL(2,$K$3:K127)),IF(AND(G127&gt;=0,K127=""),"",IF(AND(G127&gt;0,OR(K127&gt;0,K127&lt;0)),SUBTOTAL(2,$K$3:K127),IF(AND(G127=0,OR(K127&gt;0,K127&lt;0)),SUBTOTAL(2,$K$3:K127)+200,""))))&gt;200,"",1)))</f>
        <v/>
      </c>
      <c r="N127" s="214" t="str">
        <f>IF($AM$1=TRUE,IF(K127="","",IF(IF($AE$2="",IF(K127="","",SUBTOTAL(2,$K$3:K127)),IF(AND(G127&gt;=0,K127=""),"",IF(AND(G127&gt;0,OR(K127&gt;0,K127&lt;0)),SUBTOTAL(2,$K$3:K127),IF(AND(G127=0,OR(K127&gt;0,K127&lt;0)),SUBTOTAL(2,$K$3:K127)+200,""))))&lt;=200,"",2)),IF(K127="","",IF(IF($AE$2="",IF(K127="","",SUBTOTAL(2,$K$3:K127)),IF(AND(G127&gt;=0,K127=""),"",IF(AND(G127&gt;0,OR(K127&gt;0,K127&lt;0)),SUBTOTAL(2,$K$3:K127),IF(AND(G127=0,OR(K127&gt;0,K127&lt;0)),SUBTOTAL(2,$K$3:K127)+200,""))))&lt;=200,"",2)))</f>
        <v/>
      </c>
      <c r="O127" s="561"/>
      <c r="P127" s="435">
        <f t="shared" si="34"/>
        <v>0</v>
      </c>
      <c r="Q127" s="566">
        <v>0</v>
      </c>
      <c r="R127" s="514" t="s">
        <v>68</v>
      </c>
      <c r="S127" s="515" t="s">
        <v>81</v>
      </c>
      <c r="T127" s="468">
        <f t="shared" si="27"/>
        <v>0</v>
      </c>
      <c r="U127" s="574">
        <f t="shared" si="35"/>
        <v>12</v>
      </c>
      <c r="V127" s="431" t="s">
        <v>127</v>
      </c>
      <c r="AP127" s="1182" t="str">
        <f>IF(예산실적비교표!AL127&lt;&gt;"",예산실적비교표!AL127,"")</f>
        <v/>
      </c>
      <c r="AQ127" s="1183" t="str">
        <f>IF(예산실적비교표!AM127&lt;&gt;"",예산실적비교표!AM127,"")</f>
        <v/>
      </c>
      <c r="AR127" s="1184">
        <f>IF(예산실적비교표!AN127&lt;&gt;"",예산실적비교표!AN127,0)</f>
        <v>0</v>
      </c>
      <c r="AS127" s="1185">
        <f>IF(예산실적비교표!AO127&lt;&gt;"",예산실적비교표!AO127,0)</f>
        <v>0</v>
      </c>
      <c r="AT127" s="1118">
        <f t="shared" si="23"/>
        <v>0</v>
      </c>
      <c r="AU127" s="1186">
        <f>IF(예산실적비교표!AQ127&lt;&gt;"",예산실적비교표!AQ127,0)</f>
        <v>0</v>
      </c>
      <c r="AV127" s="1120">
        <f t="shared" si="24"/>
        <v>0</v>
      </c>
      <c r="AW127" s="1121">
        <f>IF(AR127="",0,ROUND((AT127*$AT$7)*데이터입력!$AF$14+(AT127*$AU$7)*데이터입력!$AF$14+(AT127*$AU$7*$AV$7)*데이터입력!$AF$14+(AT127*$AW$7)*데이터입력!$AF$14+(AT127*$AX$7)*데이터입력!$AF$14,-1))</f>
        <v>0</v>
      </c>
      <c r="AX127" s="1122">
        <f t="shared" si="25"/>
        <v>0</v>
      </c>
      <c r="AY127" s="1123">
        <f>IFERROR(IF(AR127+AS127=0,0,ROUND(IF(데이터입력!$AF$14=100%,ROUND(AR127*$AR$1,-3),ROUND(AR127*$AR$1,-3)-ROUND(((AR127*$AR$1)*$AT$4)*(데이터입력!$AF$14-100%)+((AR127*$AR$1)*$AU$4)*(데이터입력!$AF$14-100%)+((AR127*$AR$1)*$AU$4*$AV$4)*(데이터입력!$AF$14-100%)+((AR127*$AR$1)*$AW$4)*(데이터입력!$AF$14-100%),-1)),0)),0)</f>
        <v>0</v>
      </c>
      <c r="AZ127" s="1124">
        <f>IFERROR(IF(AR127+AS127=0,0,IF(데이터입력!$AF$12=100%,(AT127),(AT127)+ROUND(AT127*(데이터입력!$AF$12-100%),-1))),0)</f>
        <v>0</v>
      </c>
      <c r="BA127" s="1265" t="str">
        <f t="shared" si="22"/>
        <v/>
      </c>
      <c r="BB127" s="1264" t="str">
        <f>IF(BA127="","",IF(데이터입력!$O$68="",ROUND(AZ127/12,0),ROUND(데이터입력!$O$68/데이터입력!$Y$8/$BC$63,0)))</f>
        <v/>
      </c>
    </row>
    <row r="128" spans="1:54">
      <c r="A128" s="1048" t="str">
        <f>IF($AM$1=TRUE,IF(K128="","",SUBTOTAL(2,$K$3:K128)),IF(AND(M128="",N128=""),"",IF(N128="",COUNT($M$3:M128),COUNT($N$3:N128)+200)))</f>
        <v/>
      </c>
      <c r="B128" s="439" t="s">
        <v>57</v>
      </c>
      <c r="C128" s="439" t="s">
        <v>635</v>
      </c>
      <c r="D128" s="438">
        <v>501030701</v>
      </c>
      <c r="E128" s="438" t="s">
        <v>85</v>
      </c>
      <c r="F128" s="438" t="s">
        <v>82</v>
      </c>
      <c r="G128" s="440">
        <f>IFERROR(IF($E128="05",VLOOKUP($B128,예산실적비교표!$AG$7:$AJ$200,2,FALSE),0),0)</f>
        <v>0</v>
      </c>
      <c r="H128" s="440">
        <f>IFERROR(IF($E128="06",VLOOKUP($C128,세출예산서!$K$3:$X$304,12,FALSE),0),0)</f>
        <v>0</v>
      </c>
      <c r="I128" s="440">
        <f>IFERROR(IF($E128="07",VLOOKUP($C128,세출예산서!$K$3:$X$304,13,FALSE),0),0)</f>
        <v>0</v>
      </c>
      <c r="J128" s="440">
        <f>IFERROR(IF($E128="05",VLOOKUP($C128,세출예산서!$K$3:$X$304,14,FALSE),0),0)</f>
        <v>0</v>
      </c>
      <c r="K128" s="440" t="str">
        <f t="shared" si="33"/>
        <v/>
      </c>
      <c r="L128" s="441">
        <f>IFERROR(IF($AB$2="",0,ROUNDUP(VLOOKUP($B128,예산실적비교표!$AG$7:$AJ$200,3,FALSE)*$Y$7/$Y$9,-3)*$Y$8),0)</f>
        <v>0</v>
      </c>
      <c r="M128" s="708" t="str">
        <f>IF($AM$1=TRUE,IF(K128="","",IF(IF($AE$2="",IF(K128="","",SUBTOTAL(2,$K$3:K128)),IF(AND(G128&gt;=0,K128=""),"",IF(AND(G128&gt;0,OR(K128&gt;0,K128&lt;0)),SUBTOTAL(2,$K$3:K128),IF(AND(G128=0,OR(K128&gt;0,K128&lt;0)),SUBTOTAL(2,$K$3:K128)+200,""))))&gt;200,"",1)),IF(K128="","",IF(IF($AE$2="",IF(K128="","",SUBTOTAL(2,$K$3:K128)),IF(AND(G128&gt;=0,K128=""),"",IF(AND(G128&gt;0,OR(K128&gt;0,K128&lt;0)),SUBTOTAL(2,$K$3:K128),IF(AND(G128=0,OR(K128&gt;0,K128&lt;0)),SUBTOTAL(2,$K$3:K128)+200,""))))&gt;200,"",1)))</f>
        <v/>
      </c>
      <c r="N128" s="214" t="str">
        <f>IF($AM$1=TRUE,IF(K128="","",IF(IF($AE$2="",IF(K128="","",SUBTOTAL(2,$K$3:K128)),IF(AND(G128&gt;=0,K128=""),"",IF(AND(G128&gt;0,OR(K128&gt;0,K128&lt;0)),SUBTOTAL(2,$K$3:K128),IF(AND(G128=0,OR(K128&gt;0,K128&lt;0)),SUBTOTAL(2,$K$3:K128)+200,""))))&lt;=200,"",2)),IF(K128="","",IF(IF($AE$2="",IF(K128="","",SUBTOTAL(2,$K$3:K128)),IF(AND(G128&gt;=0,K128=""),"",IF(AND(G128&gt;0,OR(K128&gt;0,K128&lt;0)),SUBTOTAL(2,$K$3:K128),IF(AND(G128=0,OR(K128&gt;0,K128&lt;0)),SUBTOTAL(2,$K$3:K128)+200,""))))&lt;=200,"",2)))</f>
        <v/>
      </c>
      <c r="O128" s="561"/>
      <c r="P128" s="435">
        <f t="shared" si="34"/>
        <v>0</v>
      </c>
      <c r="Q128" s="566">
        <v>0</v>
      </c>
      <c r="R128" s="514" t="s">
        <v>71</v>
      </c>
      <c r="S128" s="515" t="s">
        <v>81</v>
      </c>
      <c r="T128" s="468">
        <f t="shared" si="27"/>
        <v>0</v>
      </c>
      <c r="U128" s="574">
        <f t="shared" si="35"/>
        <v>12</v>
      </c>
      <c r="V128" s="431" t="s">
        <v>127</v>
      </c>
      <c r="AP128" s="1182" t="str">
        <f>IF(예산실적비교표!AL128&lt;&gt;"",예산실적비교표!AL128,"")</f>
        <v/>
      </c>
      <c r="AQ128" s="1183" t="str">
        <f>IF(예산실적비교표!AM128&lt;&gt;"",예산실적비교표!AM128,"")</f>
        <v/>
      </c>
      <c r="AR128" s="1184">
        <f>IF(예산실적비교표!AN128&lt;&gt;"",예산실적비교표!AN128,0)</f>
        <v>0</v>
      </c>
      <c r="AS128" s="1185">
        <f>IF(예산실적비교표!AO128&lt;&gt;"",예산실적비교표!AO128,0)</f>
        <v>0</v>
      </c>
      <c r="AT128" s="1118">
        <f t="shared" ref="AT128:AT191" si="36">IFERROR(ROUND((AR128+AS128)*$AR$1,-3),0)</f>
        <v>0</v>
      </c>
      <c r="AU128" s="1186">
        <f>IF(예산실적비교표!AQ128&lt;&gt;"",예산실적비교표!AQ128,0)</f>
        <v>0</v>
      </c>
      <c r="AV128" s="1120">
        <f t="shared" ref="AV128:AV191" si="37">IF(BB128="",0,BB128)</f>
        <v>0</v>
      </c>
      <c r="AW128" s="1121">
        <f>IF(AR128="",0,ROUND((AT128*$AT$7)*데이터입력!$AF$14+(AT128*$AU$7)*데이터입력!$AF$14+(AT128*$AU$7*$AV$7)*데이터입력!$AF$14+(AT128*$AW$7)*데이터입력!$AF$14+(AT128*$AX$7)*데이터입력!$AF$14,-1))</f>
        <v>0</v>
      </c>
      <c r="AX128" s="1122">
        <f t="shared" ref="AX128:AX191" si="38">IF(SUM(AT128:AW128)=0,0,SUM(AT128:AW128))</f>
        <v>0</v>
      </c>
      <c r="AY128" s="1123">
        <f>IFERROR(IF(AR128+AS128=0,0,ROUND(IF(데이터입력!$AF$14=100%,ROUND(AR128*$AR$1,-3),ROUND(AR128*$AR$1,-3)-ROUND(((AR128*$AR$1)*$AT$4)*(데이터입력!$AF$14-100%)+((AR128*$AR$1)*$AU$4)*(데이터입력!$AF$14-100%)+((AR128*$AR$1)*$AU$4*$AV$4)*(데이터입력!$AF$14-100%)+((AR128*$AR$1)*$AW$4)*(데이터입력!$AF$14-100%),-1)),0)),0)</f>
        <v>0</v>
      </c>
      <c r="AZ128" s="1124">
        <f>IFERROR(IF(AR128+AS128=0,0,IF(데이터입력!$AF$12=100%,(AT128),(AT128)+ROUND(AT128*(데이터입력!$AF$12-100%),-1))),0)</f>
        <v>0</v>
      </c>
      <c r="BA128" s="1265" t="str">
        <f t="shared" ref="BA128:BA191" si="39">IFERROR(IF(AZ128=0,"",ROUND(AZ128/12,0)),"")</f>
        <v/>
      </c>
      <c r="BB128" s="1264" t="str">
        <f>IF(BA128="","",IF(데이터입력!$O$68="",ROUND(AZ128/12,0),ROUND(데이터입력!$O$68/데이터입력!$Y$8/$BC$63,0)))</f>
        <v/>
      </c>
    </row>
    <row r="129" spans="1:54" ht="17.25" thickBot="1">
      <c r="A129" s="1048" t="str">
        <f>IF($AM$1=TRUE,IF(K129="","",SUBTOTAL(2,$K$3:K129)),IF(AND(M129="",N129=""),"",IF(N129="",COUNT($M$3:M129),COUNT($N$3:N129)+200)))</f>
        <v/>
      </c>
      <c r="B129" s="439" t="s">
        <v>58</v>
      </c>
      <c r="C129" s="439" t="s">
        <v>636</v>
      </c>
      <c r="D129" s="438">
        <v>502010101</v>
      </c>
      <c r="E129" s="438" t="s">
        <v>85</v>
      </c>
      <c r="F129" s="438" t="s">
        <v>82</v>
      </c>
      <c r="G129" s="440">
        <f>IFERROR(IF($E129="05",VLOOKUP($B129,예산실적비교표!$AG$7:$AJ$200,2,FALSE),0),0)</f>
        <v>0</v>
      </c>
      <c r="H129" s="440">
        <f>IFERROR(IF($E129="06",VLOOKUP($C129,세출예산서!$K$3:$X$304,12,FALSE),0),0)</f>
        <v>0</v>
      </c>
      <c r="I129" s="440">
        <f>IFERROR(IF($E129="07",VLOOKUP($C129,세출예산서!$K$3:$X$304,13,FALSE),0),0)</f>
        <v>0</v>
      </c>
      <c r="J129" s="440">
        <f>IFERROR(IF($E129="05",VLOOKUP($C129,세출예산서!$K$3:$X$304,14,FALSE),0),0)</f>
        <v>0</v>
      </c>
      <c r="K129" s="440" t="str">
        <f t="shared" si="33"/>
        <v/>
      </c>
      <c r="L129" s="441">
        <f>IFERROR(IF($AB$2="",0,ROUNDUP(VLOOKUP($B129,예산실적비교표!$AG$7:$AJ$200,3,FALSE)*$Y$7/$Y$9,-3)*$Y$8),0)</f>
        <v>0</v>
      </c>
      <c r="M129" s="708" t="str">
        <f>IF($AM$1=TRUE,IF(K129="","",IF(IF($AE$2="",IF(K129="","",SUBTOTAL(2,$K$3:K129)),IF(AND(G129&gt;=0,K129=""),"",IF(AND(G129&gt;0,OR(K129&gt;0,K129&lt;0)),SUBTOTAL(2,$K$3:K129),IF(AND(G129=0,OR(K129&gt;0,K129&lt;0)),SUBTOTAL(2,$K$3:K129)+200,""))))&gt;200,"",1)),IF(K129="","",IF(IF($AE$2="",IF(K129="","",SUBTOTAL(2,$K$3:K129)),IF(AND(G129&gt;=0,K129=""),"",IF(AND(G129&gt;0,OR(K129&gt;0,K129&lt;0)),SUBTOTAL(2,$K$3:K129),IF(AND(G129=0,OR(K129&gt;0,K129&lt;0)),SUBTOTAL(2,$K$3:K129)+200,""))))&gt;200,"",1)))</f>
        <v/>
      </c>
      <c r="N129" s="214" t="str">
        <f>IF($AM$1=TRUE,IF(K129="","",IF(IF($AE$2="",IF(K129="","",SUBTOTAL(2,$K$3:K129)),IF(AND(G129&gt;=0,K129=""),"",IF(AND(G129&gt;0,OR(K129&gt;0,K129&lt;0)),SUBTOTAL(2,$K$3:K129),IF(AND(G129=0,OR(K129&gt;0,K129&lt;0)),SUBTOTAL(2,$K$3:K129)+200,""))))&lt;=200,"",2)),IF(K129="","",IF(IF($AE$2="",IF(K129="","",SUBTOTAL(2,$K$3:K129)),IF(AND(G129&gt;=0,K129=""),"",IF(AND(G129&gt;0,OR(K129&gt;0,K129&lt;0)),SUBTOTAL(2,$K$3:K129),IF(AND(G129=0,OR(K129&gt;0,K129&lt;0)),SUBTOTAL(2,$K$3:K129)+200,""))))&lt;=200,"",2)))</f>
        <v/>
      </c>
      <c r="O129" s="1266"/>
      <c r="P129" s="704">
        <f>$I$34+$I$33+$AB$22</f>
        <v>0</v>
      </c>
      <c r="Q129" s="1267"/>
      <c r="R129" s="1268" t="s">
        <v>73</v>
      </c>
      <c r="S129" s="1269" t="s">
        <v>81</v>
      </c>
      <c r="T129" s="1270">
        <f>P129</f>
        <v>0</v>
      </c>
      <c r="U129" s="1271">
        <f>IF(Q129=0,1,Q129)</f>
        <v>1</v>
      </c>
      <c r="V129" s="1272" t="s">
        <v>655</v>
      </c>
      <c r="AP129" s="1182" t="str">
        <f>IF(예산실적비교표!AL129&lt;&gt;"",예산실적비교표!AL129,"")</f>
        <v/>
      </c>
      <c r="AQ129" s="1183" t="str">
        <f>IF(예산실적비교표!AM129&lt;&gt;"",예산실적비교표!AM129,"")</f>
        <v/>
      </c>
      <c r="AR129" s="1184">
        <f>IF(예산실적비교표!AN129&lt;&gt;"",예산실적비교표!AN129,0)</f>
        <v>0</v>
      </c>
      <c r="AS129" s="1185">
        <f>IF(예산실적비교표!AO129&lt;&gt;"",예산실적비교표!AO129,0)</f>
        <v>0</v>
      </c>
      <c r="AT129" s="1118">
        <f t="shared" si="36"/>
        <v>0</v>
      </c>
      <c r="AU129" s="1186">
        <f>IF(예산실적비교표!AQ129&lt;&gt;"",예산실적비교표!AQ129,0)</f>
        <v>0</v>
      </c>
      <c r="AV129" s="1120">
        <f t="shared" si="37"/>
        <v>0</v>
      </c>
      <c r="AW129" s="1121">
        <f>IF(AR129="",0,ROUND((AT129*$AT$7)*데이터입력!$AF$14+(AT129*$AU$7)*데이터입력!$AF$14+(AT129*$AU$7*$AV$7)*데이터입력!$AF$14+(AT129*$AW$7)*데이터입력!$AF$14+(AT129*$AX$7)*데이터입력!$AF$14,-1))</f>
        <v>0</v>
      </c>
      <c r="AX129" s="1122">
        <f t="shared" si="38"/>
        <v>0</v>
      </c>
      <c r="AY129" s="1123">
        <f>IFERROR(IF(AR129+AS129=0,0,ROUND(IF(데이터입력!$AF$14=100%,ROUND(AR129*$AR$1,-3),ROUND(AR129*$AR$1,-3)-ROUND(((AR129*$AR$1)*$AT$4)*(데이터입력!$AF$14-100%)+((AR129*$AR$1)*$AU$4)*(데이터입력!$AF$14-100%)+((AR129*$AR$1)*$AU$4*$AV$4)*(데이터입력!$AF$14-100%)+((AR129*$AR$1)*$AW$4)*(데이터입력!$AF$14-100%),-1)),0)),0)</f>
        <v>0</v>
      </c>
      <c r="AZ129" s="1124">
        <f>IFERROR(IF(AR129+AS129=0,0,IF(데이터입력!$AF$12=100%,(AT129),(AT129)+ROUND(AT129*(데이터입력!$AF$12-100%),-1))),0)</f>
        <v>0</v>
      </c>
      <c r="BA129" s="1265" t="str">
        <f t="shared" si="39"/>
        <v/>
      </c>
      <c r="BB129" s="1264" t="str">
        <f>IF(BA129="","",IF(데이터입력!$O$68="",ROUND(AZ129/12,0),ROUND(데이터입력!$O$68/데이터입력!$Y$8/$BC$63,0)))</f>
        <v/>
      </c>
    </row>
    <row r="130" spans="1:54">
      <c r="A130" s="1048" t="str">
        <f>IF($AM$1=TRUE,IF(K130="","",SUBTOTAL(2,$K$3:K130)),IF(AND(M130="",N130=""),"",IF(N130="",COUNT($M$3:M130),COUNT($N$3:N130)+200)))</f>
        <v/>
      </c>
      <c r="B130" s="439" t="s">
        <v>59</v>
      </c>
      <c r="C130" s="439" t="s">
        <v>637</v>
      </c>
      <c r="D130" s="438">
        <v>502010201</v>
      </c>
      <c r="E130" s="438" t="s">
        <v>85</v>
      </c>
      <c r="F130" s="438" t="s">
        <v>82</v>
      </c>
      <c r="G130" s="440">
        <f>IFERROR(IF($E130="05",VLOOKUP($B130,예산실적비교표!$AG$7:$AJ$200,2,FALSE),0),0)</f>
        <v>0</v>
      </c>
      <c r="H130" s="440">
        <f>IFERROR(IF($E130="06",VLOOKUP($C130,세출예산서!$K$3:$X$304,12,FALSE),0),0)</f>
        <v>0</v>
      </c>
      <c r="I130" s="440">
        <f>IFERROR(IF($E130="07",VLOOKUP($C130,세출예산서!$K$3:$X$304,13,FALSE),0),0)</f>
        <v>0</v>
      </c>
      <c r="J130" s="440">
        <f>IFERROR(IF($E130="05",VLOOKUP($C130,세출예산서!$K$3:$X$304,14,FALSE),0),0)</f>
        <v>0</v>
      </c>
      <c r="K130" s="440" t="str">
        <f t="shared" si="33"/>
        <v/>
      </c>
      <c r="L130" s="441">
        <f>IFERROR(IF($AB$2="",0,ROUNDUP(VLOOKUP($B130,예산실적비교표!$AG$7:$AJ$200,3,FALSE)*$Y$7/$Y$9,-3)*$Y$8),0)</f>
        <v>0</v>
      </c>
      <c r="M130" s="708" t="str">
        <f>IF($AM$1=TRUE,IF(K130="","",IF(IF($AE$2="",IF(K130="","",SUBTOTAL(2,$K$3:K130)),IF(AND(G130&gt;=0,K130=""),"",IF(AND(G130&gt;0,OR(K130&gt;0,K130&lt;0)),SUBTOTAL(2,$K$3:K130),IF(AND(G130=0,OR(K130&gt;0,K130&lt;0)),SUBTOTAL(2,$K$3:K130)+200,""))))&gt;200,"",1)),IF(K130="","",IF(IF($AE$2="",IF(K130="","",SUBTOTAL(2,$K$3:K130)),IF(AND(G130&gt;=0,K130=""),"",IF(AND(G130&gt;0,OR(K130&gt;0,K130&lt;0)),SUBTOTAL(2,$K$3:K130),IF(AND(G130=0,OR(K130&gt;0,K130&lt;0)),SUBTOTAL(2,$K$3:K130)+200,""))))&gt;200,"",1)))</f>
        <v/>
      </c>
      <c r="N130" s="214" t="str">
        <f>IF($AM$1=TRUE,IF(K130="","",IF(IF($AE$2="",IF(K130="","",SUBTOTAL(2,$K$3:K130)),IF(AND(G130&gt;=0,K130=""),"",IF(AND(G130&gt;0,OR(K130&gt;0,K130&lt;0)),SUBTOTAL(2,$K$3:K130),IF(AND(G130=0,OR(K130&gt;0,K130&lt;0)),SUBTOTAL(2,$K$3:K130)+200,""))))&lt;=200,"",2)),IF(K130="","",IF(IF($AE$2="",IF(K130="","",SUBTOTAL(2,$K$3:K130)),IF(AND(G130&gt;=0,K130=""),"",IF(AND(G130&gt;0,OR(K130&gt;0,K130&lt;0)),SUBTOTAL(2,$K$3:K130),IF(AND(G130=0,OR(K130&gt;0,K130&lt;0)),SUBTOTAL(2,$K$3:K130)+200,""))))&lt;=200,"",2)))</f>
        <v/>
      </c>
      <c r="O130" s="560"/>
      <c r="P130" s="1298">
        <f>IFERROR(IF(VLOOKUP(R130,$B$111:$L$137,11,FALSE)&gt;0,VLOOKUP(R130,$B$111:$L$137,11,FALSE),0),0)</f>
        <v>0</v>
      </c>
      <c r="Q130" s="1273">
        <v>0</v>
      </c>
      <c r="R130" s="518" t="s">
        <v>40</v>
      </c>
      <c r="S130" s="519" t="s">
        <v>82</v>
      </c>
      <c r="T130" s="479">
        <f>IF(O130="",P130,O130)</f>
        <v>0</v>
      </c>
      <c r="U130" s="576">
        <f t="shared" ref="U130:U146" si="40">IF(Q130=0,$Y$8,Q130)</f>
        <v>12</v>
      </c>
      <c r="V130" s="513" t="s">
        <v>127</v>
      </c>
      <c r="AP130" s="1182" t="str">
        <f>IF(예산실적비교표!AL130&lt;&gt;"",예산실적비교표!AL130,"")</f>
        <v/>
      </c>
      <c r="AQ130" s="1183" t="str">
        <f>IF(예산실적비교표!AM130&lt;&gt;"",예산실적비교표!AM130,"")</f>
        <v/>
      </c>
      <c r="AR130" s="1184">
        <f>IF(예산실적비교표!AN130&lt;&gt;"",예산실적비교표!AN130,0)</f>
        <v>0</v>
      </c>
      <c r="AS130" s="1185">
        <f>IF(예산실적비교표!AO130&lt;&gt;"",예산실적비교표!AO130,0)</f>
        <v>0</v>
      </c>
      <c r="AT130" s="1118">
        <f t="shared" si="36"/>
        <v>0</v>
      </c>
      <c r="AU130" s="1186">
        <f>IF(예산실적비교표!AQ130&lt;&gt;"",예산실적비교표!AQ130,0)</f>
        <v>0</v>
      </c>
      <c r="AV130" s="1120">
        <f t="shared" si="37"/>
        <v>0</v>
      </c>
      <c r="AW130" s="1121">
        <f>IF(AR130="",0,ROUND((AT130*$AT$7)*데이터입력!$AF$14+(AT130*$AU$7)*데이터입력!$AF$14+(AT130*$AU$7*$AV$7)*데이터입력!$AF$14+(AT130*$AW$7)*데이터입력!$AF$14+(AT130*$AX$7)*데이터입력!$AF$14,-1))</f>
        <v>0</v>
      </c>
      <c r="AX130" s="1122">
        <f t="shared" si="38"/>
        <v>0</v>
      </c>
      <c r="AY130" s="1123">
        <f>IFERROR(IF(AR130+AS130=0,0,ROUND(IF(데이터입력!$AF$14=100%,ROUND(AR130*$AR$1,-3),ROUND(AR130*$AR$1,-3)-ROUND(((AR130*$AR$1)*$AT$4)*(데이터입력!$AF$14-100%)+((AR130*$AR$1)*$AU$4)*(데이터입력!$AF$14-100%)+((AR130*$AR$1)*$AU$4*$AV$4)*(데이터입력!$AF$14-100%)+((AR130*$AR$1)*$AW$4)*(데이터입력!$AF$14-100%),-1)),0)),0)</f>
        <v>0</v>
      </c>
      <c r="AZ130" s="1124">
        <f>IFERROR(IF(AR130+AS130=0,0,IF(데이터입력!$AF$12=100%,(AT130),(AT130)+ROUND(AT130*(데이터입력!$AF$12-100%),-1))),0)</f>
        <v>0</v>
      </c>
      <c r="BA130" s="1265" t="str">
        <f t="shared" si="39"/>
        <v/>
      </c>
      <c r="BB130" s="1264" t="str">
        <f>IF(BA130="","",IF(데이터입력!$O$68="",ROUND(AZ130/12,0),ROUND(데이터입력!$O$68/데이터입력!$Y$8/$BC$63,0)))</f>
        <v/>
      </c>
    </row>
    <row r="131" spans="1:54">
      <c r="A131" s="1048" t="str">
        <f>IF($AM$1=TRUE,IF(K131="","",SUBTOTAL(2,$K$3:K131)),IF(AND(M131="",N131=""),"",IF(N131="",COUNT($M$3:M131),COUNT($N$3:N131)+200)))</f>
        <v/>
      </c>
      <c r="B131" s="439" t="s">
        <v>60</v>
      </c>
      <c r="C131" s="439" t="s">
        <v>638</v>
      </c>
      <c r="D131" s="438">
        <v>502010301</v>
      </c>
      <c r="E131" s="438" t="s">
        <v>85</v>
      </c>
      <c r="F131" s="438" t="s">
        <v>82</v>
      </c>
      <c r="G131" s="440">
        <f>IFERROR(IF($E131="05",VLOOKUP($B131,예산실적비교표!$AG$7:$AJ$200,2,FALSE),0),0)</f>
        <v>0</v>
      </c>
      <c r="H131" s="440">
        <f>IFERROR(IF($E131="06",VLOOKUP($C131,세출예산서!$K$3:$X$304,12,FALSE),0),0)</f>
        <v>0</v>
      </c>
      <c r="I131" s="440">
        <f>IFERROR(IF($E131="07",VLOOKUP($C131,세출예산서!$K$3:$X$304,13,FALSE),0),0)</f>
        <v>0</v>
      </c>
      <c r="J131" s="440">
        <f>IFERROR(IF($E131="05",VLOOKUP($C131,세출예산서!$K$3:$X$304,14,FALSE),0),0)</f>
        <v>0</v>
      </c>
      <c r="K131" s="440" t="str">
        <f t="shared" si="33"/>
        <v/>
      </c>
      <c r="L131" s="441">
        <f>IFERROR(IF($AB$2="",0,ROUNDUP(VLOOKUP($B131,예산실적비교표!$AG$7:$AJ$200,3,FALSE)*$Y$7/$Y$9,-3)*$Y$8),0)</f>
        <v>0</v>
      </c>
      <c r="M131" s="708" t="str">
        <f>IF($AM$1=TRUE,IF(K131="","",IF(IF($AE$2="",IF(K131="","",SUBTOTAL(2,$K$3:K131)),IF(AND(G131&gt;=0,K131=""),"",IF(AND(G131&gt;0,OR(K131&gt;0,K131&lt;0)),SUBTOTAL(2,$K$3:K131),IF(AND(G131=0,OR(K131&gt;0,K131&lt;0)),SUBTOTAL(2,$K$3:K131)+200,""))))&gt;200,"",1)),IF(K131="","",IF(IF($AE$2="",IF(K131="","",SUBTOTAL(2,$K$3:K131)),IF(AND(G131&gt;=0,K131=""),"",IF(AND(G131&gt;0,OR(K131&gt;0,K131&lt;0)),SUBTOTAL(2,$K$3:K131),IF(AND(G131=0,OR(K131&gt;0,K131&lt;0)),SUBTOTAL(2,$K$3:K131)+200,""))))&gt;200,"",1)))</f>
        <v/>
      </c>
      <c r="N131" s="214" t="str">
        <f>IF($AM$1=TRUE,IF(K131="","",IF(IF($AE$2="",IF(K131="","",SUBTOTAL(2,$K$3:K131)),IF(AND(G131&gt;=0,K131=""),"",IF(AND(G131&gt;0,OR(K131&gt;0,K131&lt;0)),SUBTOTAL(2,$K$3:K131),IF(AND(G131=0,OR(K131&gt;0,K131&lt;0)),SUBTOTAL(2,$K$3:K131)+200,""))))&lt;=200,"",2)),IF(K131="","",IF(IF($AE$2="",IF(K131="","",SUBTOTAL(2,$K$3:K131)),IF(AND(G131&gt;=0,K131=""),"",IF(AND(G131&gt;0,OR(K131&gt;0,K131&lt;0)),SUBTOTAL(2,$K$3:K131),IF(AND(G131=0,OR(K131&gt;0,K131&lt;0)),SUBTOTAL(2,$K$3:K131)+200,""))))&lt;=200,"",2)))</f>
        <v/>
      </c>
      <c r="O131" s="561"/>
      <c r="P131" s="705">
        <f t="shared" ref="P131:P139" si="41">IFERROR(IF(VLOOKUP(R131,$B$111:$L$137,11,FALSE)&gt;0,VLOOKUP(R131,$B$111:$L$137,11,FALSE),0),0)</f>
        <v>0</v>
      </c>
      <c r="Q131" s="566">
        <v>0</v>
      </c>
      <c r="R131" s="520" t="s">
        <v>41</v>
      </c>
      <c r="S131" s="521" t="s">
        <v>82</v>
      </c>
      <c r="T131" s="483">
        <f>IF(O131="",P131,O131)</f>
        <v>0</v>
      </c>
      <c r="U131" s="577">
        <f t="shared" si="40"/>
        <v>12</v>
      </c>
      <c r="V131" s="431" t="s">
        <v>127</v>
      </c>
      <c r="AP131" s="1182" t="str">
        <f>IF(예산실적비교표!AL131&lt;&gt;"",예산실적비교표!AL131,"")</f>
        <v/>
      </c>
      <c r="AQ131" s="1183" t="str">
        <f>IF(예산실적비교표!AM131&lt;&gt;"",예산실적비교표!AM131,"")</f>
        <v/>
      </c>
      <c r="AR131" s="1184">
        <f>IF(예산실적비교표!AN131&lt;&gt;"",예산실적비교표!AN131,0)</f>
        <v>0</v>
      </c>
      <c r="AS131" s="1185">
        <f>IF(예산실적비교표!AO131&lt;&gt;"",예산실적비교표!AO131,0)</f>
        <v>0</v>
      </c>
      <c r="AT131" s="1118">
        <f t="shared" si="36"/>
        <v>0</v>
      </c>
      <c r="AU131" s="1186">
        <f>IF(예산실적비교표!AQ131&lt;&gt;"",예산실적비교표!AQ131,0)</f>
        <v>0</v>
      </c>
      <c r="AV131" s="1120">
        <f t="shared" si="37"/>
        <v>0</v>
      </c>
      <c r="AW131" s="1121">
        <f>IF(AR131="",0,ROUND((AT131*$AT$7)*데이터입력!$AF$14+(AT131*$AU$7)*데이터입력!$AF$14+(AT131*$AU$7*$AV$7)*데이터입력!$AF$14+(AT131*$AW$7)*데이터입력!$AF$14+(AT131*$AX$7)*데이터입력!$AF$14,-1))</f>
        <v>0</v>
      </c>
      <c r="AX131" s="1122">
        <f t="shared" si="38"/>
        <v>0</v>
      </c>
      <c r="AY131" s="1123">
        <f>IFERROR(IF(AR131+AS131=0,0,ROUND(IF(데이터입력!$AF$14=100%,ROUND(AR131*$AR$1,-3),ROUND(AR131*$AR$1,-3)-ROUND(((AR131*$AR$1)*$AT$4)*(데이터입력!$AF$14-100%)+((AR131*$AR$1)*$AU$4)*(데이터입력!$AF$14-100%)+((AR131*$AR$1)*$AU$4*$AV$4)*(데이터입력!$AF$14-100%)+((AR131*$AR$1)*$AW$4)*(데이터입력!$AF$14-100%),-1)),0)),0)</f>
        <v>0</v>
      </c>
      <c r="AZ131" s="1124">
        <f>IFERROR(IF(AR131+AS131=0,0,IF(데이터입력!$AF$12=100%,(AT131),(AT131)+ROUND(AT131*(데이터입력!$AF$12-100%),-1))),0)</f>
        <v>0</v>
      </c>
      <c r="BA131" s="1265" t="str">
        <f t="shared" si="39"/>
        <v/>
      </c>
      <c r="BB131" s="1264" t="str">
        <f>IF(BA131="","",IF(데이터입력!$O$68="",ROUND(AZ131/12,0),ROUND(데이터입력!$O$68/데이터입력!$Y$8/$BC$63,0)))</f>
        <v/>
      </c>
    </row>
    <row r="132" spans="1:54">
      <c r="A132" s="1048" t="str">
        <f>IF($AM$1=TRUE,IF(K132="","",SUBTOTAL(2,$K$3:K132)),IF(AND(M132="",N132=""),"",IF(N132="",COUNT($M$3:M132),COUNT($N$3:N132)+200)))</f>
        <v/>
      </c>
      <c r="B132" s="439" t="s">
        <v>61</v>
      </c>
      <c r="C132" s="439" t="s">
        <v>639</v>
      </c>
      <c r="D132" s="438">
        <v>503010101</v>
      </c>
      <c r="E132" s="438" t="s">
        <v>85</v>
      </c>
      <c r="F132" s="438" t="s">
        <v>82</v>
      </c>
      <c r="G132" s="440">
        <f>IFERROR(IF($E132="05",VLOOKUP($B132,예산실적비교표!$AG$7:$AJ$200,2,FALSE),0),0)</f>
        <v>0</v>
      </c>
      <c r="H132" s="440">
        <f>IFERROR(IF($E132="06",VLOOKUP($C132,세출예산서!$K$3:$X$304,12,FALSE),0),0)</f>
        <v>0</v>
      </c>
      <c r="I132" s="440">
        <f>IFERROR(IF($E132="07",VLOOKUP($C132,세출예산서!$K$3:$X$304,13,FALSE),0),0)</f>
        <v>0</v>
      </c>
      <c r="J132" s="440">
        <f>IFERROR(IF($E132="05",VLOOKUP($C132,세출예산서!$K$3:$X$304,14,FALSE),0),0)</f>
        <v>0</v>
      </c>
      <c r="K132" s="440" t="str">
        <f t="shared" si="33"/>
        <v/>
      </c>
      <c r="L132" s="441">
        <f>IFERROR(IF($AB$2="",0,ROUNDUP(VLOOKUP($B132,예산실적비교표!$AG$7:$AJ$200,3,FALSE)*$Y$7/$Y$9,-3)*$Y$8),0)</f>
        <v>0</v>
      </c>
      <c r="M132" s="708" t="str">
        <f>IF($AM$1=TRUE,IF(K132="","",IF(IF($AE$2="",IF(K132="","",SUBTOTAL(2,$K$3:K132)),IF(AND(G132&gt;=0,K132=""),"",IF(AND(G132&gt;0,OR(K132&gt;0,K132&lt;0)),SUBTOTAL(2,$K$3:K132),IF(AND(G132=0,OR(K132&gt;0,K132&lt;0)),SUBTOTAL(2,$K$3:K132)+200,""))))&gt;200,"",1)),IF(K132="","",IF(IF($AE$2="",IF(K132="","",SUBTOTAL(2,$K$3:K132)),IF(AND(G132&gt;=0,K132=""),"",IF(AND(G132&gt;0,OR(K132&gt;0,K132&lt;0)),SUBTOTAL(2,$K$3:K132),IF(AND(G132=0,OR(K132&gt;0,K132&lt;0)),SUBTOTAL(2,$K$3:K132)+200,""))))&gt;200,"",1)))</f>
        <v/>
      </c>
      <c r="N132" s="214" t="str">
        <f>IF($AM$1=TRUE,IF(K132="","",IF(IF($AE$2="",IF(K132="","",SUBTOTAL(2,$K$3:K132)),IF(AND(G132&gt;=0,K132=""),"",IF(AND(G132&gt;0,OR(K132&gt;0,K132&lt;0)),SUBTOTAL(2,$K$3:K132),IF(AND(G132=0,OR(K132&gt;0,K132&lt;0)),SUBTOTAL(2,$K$3:K132)+200,""))))&lt;=200,"",2)),IF(K132="","",IF(IF($AE$2="",IF(K132="","",SUBTOTAL(2,$K$3:K132)),IF(AND(G132&gt;=0,K132=""),"",IF(AND(G132&gt;0,OR(K132&gt;0,K132&lt;0)),SUBTOTAL(2,$K$3:K132),IF(AND(G132=0,OR(K132&gt;0,K132&lt;0)),SUBTOTAL(2,$K$3:K132)+200,""))))&lt;=200,"",2)))</f>
        <v/>
      </c>
      <c r="O132" s="561"/>
      <c r="P132" s="705">
        <f t="shared" si="41"/>
        <v>0</v>
      </c>
      <c r="Q132" s="566">
        <v>0</v>
      </c>
      <c r="R132" s="520" t="s">
        <v>42</v>
      </c>
      <c r="S132" s="521" t="s">
        <v>82</v>
      </c>
      <c r="T132" s="483">
        <f>IF(O132="",P132,O132)</f>
        <v>0</v>
      </c>
      <c r="U132" s="577">
        <f t="shared" si="40"/>
        <v>12</v>
      </c>
      <c r="V132" s="431" t="s">
        <v>127</v>
      </c>
      <c r="AP132" s="1182" t="str">
        <f>IF(예산실적비교표!AL132&lt;&gt;"",예산실적비교표!AL132,"")</f>
        <v/>
      </c>
      <c r="AQ132" s="1183" t="str">
        <f>IF(예산실적비교표!AM132&lt;&gt;"",예산실적비교표!AM132,"")</f>
        <v/>
      </c>
      <c r="AR132" s="1184">
        <f>IF(예산실적비교표!AN132&lt;&gt;"",예산실적비교표!AN132,0)</f>
        <v>0</v>
      </c>
      <c r="AS132" s="1185">
        <f>IF(예산실적비교표!AO132&lt;&gt;"",예산실적비교표!AO132,0)</f>
        <v>0</v>
      </c>
      <c r="AT132" s="1118">
        <f t="shared" si="36"/>
        <v>0</v>
      </c>
      <c r="AU132" s="1186">
        <f>IF(예산실적비교표!AQ132&lt;&gt;"",예산실적비교표!AQ132,0)</f>
        <v>0</v>
      </c>
      <c r="AV132" s="1120">
        <f t="shared" si="37"/>
        <v>0</v>
      </c>
      <c r="AW132" s="1121">
        <f>IF(AR132="",0,ROUND((AT132*$AT$7)*데이터입력!$AF$14+(AT132*$AU$7)*데이터입력!$AF$14+(AT132*$AU$7*$AV$7)*데이터입력!$AF$14+(AT132*$AW$7)*데이터입력!$AF$14+(AT132*$AX$7)*데이터입력!$AF$14,-1))</f>
        <v>0</v>
      </c>
      <c r="AX132" s="1122">
        <f t="shared" si="38"/>
        <v>0</v>
      </c>
      <c r="AY132" s="1123">
        <f>IFERROR(IF(AR132+AS132=0,0,ROUND(IF(데이터입력!$AF$14=100%,ROUND(AR132*$AR$1,-3),ROUND(AR132*$AR$1,-3)-ROUND(((AR132*$AR$1)*$AT$4)*(데이터입력!$AF$14-100%)+((AR132*$AR$1)*$AU$4)*(데이터입력!$AF$14-100%)+((AR132*$AR$1)*$AU$4*$AV$4)*(데이터입력!$AF$14-100%)+((AR132*$AR$1)*$AW$4)*(데이터입력!$AF$14-100%),-1)),0)),0)</f>
        <v>0</v>
      </c>
      <c r="AZ132" s="1124">
        <f>IFERROR(IF(AR132+AS132=0,0,IF(데이터입력!$AF$12=100%,(AT132),(AT132)+ROUND(AT132*(데이터입력!$AF$12-100%),-1))),0)</f>
        <v>0</v>
      </c>
      <c r="BA132" s="1265" t="str">
        <f t="shared" si="39"/>
        <v/>
      </c>
      <c r="BB132" s="1264" t="str">
        <f>IF(BA132="","",IF(데이터입력!$O$68="",ROUND(AZ132/12,0),ROUND(데이터입력!$O$68/데이터입력!$Y$8/$BC$63,0)))</f>
        <v/>
      </c>
    </row>
    <row r="133" spans="1:54">
      <c r="A133" s="1048" t="str">
        <f>IF($AM$1=TRUE,IF(K133="","",SUBTOTAL(2,$K$3:K133)),IF(AND(M133="",N133=""),"",IF(N133="",COUNT($M$3:M133),COUNT($N$3:N133)+200)))</f>
        <v/>
      </c>
      <c r="B133" s="439" t="s">
        <v>62</v>
      </c>
      <c r="C133" s="439" t="s">
        <v>640</v>
      </c>
      <c r="D133" s="438">
        <v>503010201</v>
      </c>
      <c r="E133" s="438" t="s">
        <v>85</v>
      </c>
      <c r="F133" s="438" t="s">
        <v>82</v>
      </c>
      <c r="G133" s="440">
        <f>IFERROR(IF($E133="05",VLOOKUP($B133,예산실적비교표!$AG$7:$AJ$200,2,FALSE),0),0)</f>
        <v>0</v>
      </c>
      <c r="H133" s="440">
        <f>IFERROR(IF($E133="06",VLOOKUP($C133,세출예산서!$K$3:$X$304,12,FALSE),0),0)</f>
        <v>0</v>
      </c>
      <c r="I133" s="440">
        <f>IFERROR(IF($E133="07",VLOOKUP($C133,세출예산서!$K$3:$X$304,13,FALSE),0),0)</f>
        <v>0</v>
      </c>
      <c r="J133" s="440">
        <f>IFERROR(IF($E133="05",VLOOKUP($C133,세출예산서!$K$3:$X$304,14,FALSE),0),0)</f>
        <v>0</v>
      </c>
      <c r="K133" s="440" t="str">
        <f t="shared" si="33"/>
        <v/>
      </c>
      <c r="L133" s="441">
        <f>IFERROR(IF($AB$2="",0,ROUNDUP(VLOOKUP($B133,예산실적비교표!$AG$7:$AJ$200,3,FALSE)*$Y$7/$Y$9,-3)*$Y$8),0)</f>
        <v>0</v>
      </c>
      <c r="M133" s="708" t="str">
        <f>IF($AM$1=TRUE,IF(K133="","",IF(IF($AE$2="",IF(K133="","",SUBTOTAL(2,$K$3:K133)),IF(AND(G133&gt;=0,K133=""),"",IF(AND(G133&gt;0,OR(K133&gt;0,K133&lt;0)),SUBTOTAL(2,$K$3:K133),IF(AND(G133=0,OR(K133&gt;0,K133&lt;0)),SUBTOTAL(2,$K$3:K133)+200,""))))&gt;200,"",1)),IF(K133="","",IF(IF($AE$2="",IF(K133="","",SUBTOTAL(2,$K$3:K133)),IF(AND(G133&gt;=0,K133=""),"",IF(AND(G133&gt;0,OR(K133&gt;0,K133&lt;0)),SUBTOTAL(2,$K$3:K133),IF(AND(G133=0,OR(K133&gt;0,K133&lt;0)),SUBTOTAL(2,$K$3:K133)+200,""))))&gt;200,"",1)))</f>
        <v/>
      </c>
      <c r="N133" s="214" t="str">
        <f>IF($AM$1=TRUE,IF(K133="","",IF(IF($AE$2="",IF(K133="","",SUBTOTAL(2,$K$3:K133)),IF(AND(G133&gt;=0,K133=""),"",IF(AND(G133&gt;0,OR(K133&gt;0,K133&lt;0)),SUBTOTAL(2,$K$3:K133),IF(AND(G133=0,OR(K133&gt;0,K133&lt;0)),SUBTOTAL(2,$K$3:K133)+200,""))))&lt;=200,"",2)),IF(K133="","",IF(IF($AE$2="",IF(K133="","",SUBTOTAL(2,$K$3:K133)),IF(AND(G133&gt;=0,K133=""),"",IF(AND(G133&gt;0,OR(K133&gt;0,K133&lt;0)),SUBTOTAL(2,$K$3:K133),IF(AND(G133=0,OR(K133&gt;0,K133&lt;0)),SUBTOTAL(2,$K$3:K133)+200,""))))&lt;=200,"",2)))</f>
        <v/>
      </c>
      <c r="O133" s="561"/>
      <c r="P133" s="705">
        <f t="shared" si="41"/>
        <v>0</v>
      </c>
      <c r="Q133" s="566">
        <v>0</v>
      </c>
      <c r="R133" s="520" t="s">
        <v>43</v>
      </c>
      <c r="S133" s="521" t="s">
        <v>82</v>
      </c>
      <c r="T133" s="483">
        <f>IF(O133="",P133,O133)</f>
        <v>0</v>
      </c>
      <c r="U133" s="577">
        <f t="shared" si="40"/>
        <v>12</v>
      </c>
      <c r="V133" s="431" t="s">
        <v>127</v>
      </c>
      <c r="AP133" s="1182" t="str">
        <f>IF(예산실적비교표!AL133&lt;&gt;"",예산실적비교표!AL133,"")</f>
        <v/>
      </c>
      <c r="AQ133" s="1183" t="str">
        <f>IF(예산실적비교표!AM133&lt;&gt;"",예산실적비교표!AM133,"")</f>
        <v/>
      </c>
      <c r="AR133" s="1184">
        <f>IF(예산실적비교표!AN133&lt;&gt;"",예산실적비교표!AN133,0)</f>
        <v>0</v>
      </c>
      <c r="AS133" s="1185">
        <f>IF(예산실적비교표!AO133&lt;&gt;"",예산실적비교표!AO133,0)</f>
        <v>0</v>
      </c>
      <c r="AT133" s="1118">
        <f t="shared" si="36"/>
        <v>0</v>
      </c>
      <c r="AU133" s="1186">
        <f>IF(예산실적비교표!AQ133&lt;&gt;"",예산실적비교표!AQ133,0)</f>
        <v>0</v>
      </c>
      <c r="AV133" s="1120">
        <f t="shared" si="37"/>
        <v>0</v>
      </c>
      <c r="AW133" s="1121">
        <f>IF(AR133="",0,ROUND((AT133*$AT$7)*데이터입력!$AF$14+(AT133*$AU$7)*데이터입력!$AF$14+(AT133*$AU$7*$AV$7)*데이터입력!$AF$14+(AT133*$AW$7)*데이터입력!$AF$14+(AT133*$AX$7)*데이터입력!$AF$14,-1))</f>
        <v>0</v>
      </c>
      <c r="AX133" s="1122">
        <f t="shared" si="38"/>
        <v>0</v>
      </c>
      <c r="AY133" s="1123">
        <f>IFERROR(IF(AR133+AS133=0,0,ROUND(IF(데이터입력!$AF$14=100%,ROUND(AR133*$AR$1,-3),ROUND(AR133*$AR$1,-3)-ROUND(((AR133*$AR$1)*$AT$4)*(데이터입력!$AF$14-100%)+((AR133*$AR$1)*$AU$4)*(데이터입력!$AF$14-100%)+((AR133*$AR$1)*$AU$4*$AV$4)*(데이터입력!$AF$14-100%)+((AR133*$AR$1)*$AW$4)*(데이터입력!$AF$14-100%),-1)),0)),0)</f>
        <v>0</v>
      </c>
      <c r="AZ133" s="1124">
        <f>IFERROR(IF(AR133+AS133=0,0,IF(데이터입력!$AF$12=100%,(AT133),(AT133)+ROUND(AT133*(데이터입력!$AF$12-100%),-1))),0)</f>
        <v>0</v>
      </c>
      <c r="BA133" s="1265" t="str">
        <f t="shared" si="39"/>
        <v/>
      </c>
      <c r="BB133" s="1264" t="str">
        <f>IF(BA133="","",IF(데이터입력!$O$68="",ROUND(AZ133/12,0),ROUND(데이터입력!$O$68/데이터입력!$Y$8/$BC$63,0)))</f>
        <v/>
      </c>
    </row>
    <row r="134" spans="1:54">
      <c r="A134" s="1048" t="str">
        <f>IF($AM$1=TRUE,IF(K134="","",SUBTOTAL(2,$K$3:K134)),IF(AND(M134="",N134=""),"",IF(N134="",COUNT($M$3:M134),COUNT($N$3:N134)+200)))</f>
        <v/>
      </c>
      <c r="B134" s="439" t="s">
        <v>63</v>
      </c>
      <c r="C134" s="439" t="s">
        <v>641</v>
      </c>
      <c r="D134" s="438">
        <v>503010401</v>
      </c>
      <c r="E134" s="438" t="s">
        <v>85</v>
      </c>
      <c r="F134" s="438" t="s">
        <v>82</v>
      </c>
      <c r="G134" s="440">
        <f>IFERROR(IF($E134="05",VLOOKUP($B134,예산실적비교표!$AG$7:$AJ$200,2,FALSE),0),0)</f>
        <v>0</v>
      </c>
      <c r="H134" s="440">
        <f>IFERROR(IF($E134="06",VLOOKUP($C134,세출예산서!$K$3:$X$304,12,FALSE),0),0)</f>
        <v>0</v>
      </c>
      <c r="I134" s="440">
        <f>IFERROR(IF($E134="07",VLOOKUP($C134,세출예산서!$K$3:$X$304,13,FALSE),0),0)</f>
        <v>0</v>
      </c>
      <c r="J134" s="440">
        <f>IFERROR(IF($E134="05",VLOOKUP($C134,세출예산서!$K$3:$X$304,14,FALSE),0),0)</f>
        <v>0</v>
      </c>
      <c r="K134" s="440" t="str">
        <f t="shared" si="33"/>
        <v/>
      </c>
      <c r="L134" s="441">
        <f>IFERROR(IF($AB$2="",0,ROUNDUP(VLOOKUP($B134,예산실적비교표!$AG$7:$AJ$200,3,FALSE)*$Y$7/$Y$9,-3)*$Y$8),0)</f>
        <v>0</v>
      </c>
      <c r="M134" s="708" t="str">
        <f>IF($AM$1=TRUE,IF(K134="","",IF(IF($AE$2="",IF(K134="","",SUBTOTAL(2,$K$3:K134)),IF(AND(G134&gt;=0,K134=""),"",IF(AND(G134&gt;0,OR(K134&gt;0,K134&lt;0)),SUBTOTAL(2,$K$3:K134),IF(AND(G134=0,OR(K134&gt;0,K134&lt;0)),SUBTOTAL(2,$K$3:K134)+200,""))))&gt;200,"",1)),IF(K134="","",IF(IF($AE$2="",IF(K134="","",SUBTOTAL(2,$K$3:K134)),IF(AND(G134&gt;=0,K134=""),"",IF(AND(G134&gt;0,OR(K134&gt;0,K134&lt;0)),SUBTOTAL(2,$K$3:K134),IF(AND(G134=0,OR(K134&gt;0,K134&lt;0)),SUBTOTAL(2,$K$3:K134)+200,""))))&gt;200,"",1)))</f>
        <v/>
      </c>
      <c r="N134" s="214" t="str">
        <f>IF($AM$1=TRUE,IF(K134="","",IF(IF($AE$2="",IF(K134="","",SUBTOTAL(2,$K$3:K134)),IF(AND(G134&gt;=0,K134=""),"",IF(AND(G134&gt;0,OR(K134&gt;0,K134&lt;0)),SUBTOTAL(2,$K$3:K134),IF(AND(G134=0,OR(K134&gt;0,K134&lt;0)),SUBTOTAL(2,$K$3:K134)+200,""))))&lt;=200,"",2)),IF(K134="","",IF(IF($AE$2="",IF(K134="","",SUBTOTAL(2,$K$3:K134)),IF(AND(G134&gt;=0,K134=""),"",IF(AND(G134&gt;0,OR(K134&gt;0,K134&lt;0)),SUBTOTAL(2,$K$3:K134),IF(AND(G134=0,OR(K134&gt;0,K134&lt;0)),SUBTOTAL(2,$K$3:K134)+200,""))))&lt;=200,"",2)))</f>
        <v/>
      </c>
      <c r="O134" s="561"/>
      <c r="P134" s="705">
        <f t="shared" si="41"/>
        <v>0</v>
      </c>
      <c r="Q134" s="566">
        <v>0</v>
      </c>
      <c r="R134" s="520" t="s">
        <v>44</v>
      </c>
      <c r="S134" s="521" t="s">
        <v>82</v>
      </c>
      <c r="T134" s="483">
        <f t="shared" si="27"/>
        <v>0</v>
      </c>
      <c r="U134" s="577">
        <f t="shared" si="40"/>
        <v>12</v>
      </c>
      <c r="V134" s="431" t="s">
        <v>127</v>
      </c>
      <c r="AP134" s="1182" t="str">
        <f>IF(예산실적비교표!AL134&lt;&gt;"",예산실적비교표!AL134,"")</f>
        <v/>
      </c>
      <c r="AQ134" s="1183" t="str">
        <f>IF(예산실적비교표!AM134&lt;&gt;"",예산실적비교표!AM134,"")</f>
        <v/>
      </c>
      <c r="AR134" s="1184">
        <f>IF(예산실적비교표!AN134&lt;&gt;"",예산실적비교표!AN134,0)</f>
        <v>0</v>
      </c>
      <c r="AS134" s="1185">
        <f>IF(예산실적비교표!AO134&lt;&gt;"",예산실적비교표!AO134,0)</f>
        <v>0</v>
      </c>
      <c r="AT134" s="1118">
        <f t="shared" si="36"/>
        <v>0</v>
      </c>
      <c r="AU134" s="1186">
        <f>IF(예산실적비교표!AQ134&lt;&gt;"",예산실적비교표!AQ134,0)</f>
        <v>0</v>
      </c>
      <c r="AV134" s="1120">
        <f t="shared" si="37"/>
        <v>0</v>
      </c>
      <c r="AW134" s="1121">
        <f>IF(AR134="",0,ROUND((AT134*$AT$7)*데이터입력!$AF$14+(AT134*$AU$7)*데이터입력!$AF$14+(AT134*$AU$7*$AV$7)*데이터입력!$AF$14+(AT134*$AW$7)*데이터입력!$AF$14+(AT134*$AX$7)*데이터입력!$AF$14,-1))</f>
        <v>0</v>
      </c>
      <c r="AX134" s="1122">
        <f t="shared" si="38"/>
        <v>0</v>
      </c>
      <c r="AY134" s="1123">
        <f>IFERROR(IF(AR134+AS134=0,0,ROUND(IF(데이터입력!$AF$14=100%,ROUND(AR134*$AR$1,-3),ROUND(AR134*$AR$1,-3)-ROUND(((AR134*$AR$1)*$AT$4)*(데이터입력!$AF$14-100%)+((AR134*$AR$1)*$AU$4)*(데이터입력!$AF$14-100%)+((AR134*$AR$1)*$AU$4*$AV$4)*(데이터입력!$AF$14-100%)+((AR134*$AR$1)*$AW$4)*(데이터입력!$AF$14-100%),-1)),0)),0)</f>
        <v>0</v>
      </c>
      <c r="AZ134" s="1124">
        <f>IFERROR(IF(AR134+AS134=0,0,IF(데이터입력!$AF$12=100%,(AT134),(AT134)+ROUND(AT134*(데이터입력!$AF$12-100%),-1))),0)</f>
        <v>0</v>
      </c>
      <c r="BA134" s="1265" t="str">
        <f t="shared" si="39"/>
        <v/>
      </c>
      <c r="BB134" s="1264" t="str">
        <f>IF(BA134="","",IF(데이터입력!$O$68="",ROUND(AZ134/12,0),ROUND(데이터입력!$O$68/데이터입력!$Y$8/$BC$63,0)))</f>
        <v/>
      </c>
    </row>
    <row r="135" spans="1:54">
      <c r="A135" s="1048" t="str">
        <f>IF($AM$1=TRUE,IF(K135="","",SUBTOTAL(2,$K$3:K135)),IF(AND(M135="",N135=""),"",IF(N135="",COUNT($M$3:M135),COUNT($N$3:N135)+200)))</f>
        <v/>
      </c>
      <c r="B135" s="439" t="s">
        <v>64</v>
      </c>
      <c r="C135" s="439" t="s">
        <v>642</v>
      </c>
      <c r="D135" s="438">
        <v>503010501</v>
      </c>
      <c r="E135" s="438" t="s">
        <v>85</v>
      </c>
      <c r="F135" s="438" t="s">
        <v>82</v>
      </c>
      <c r="G135" s="440">
        <f>IFERROR(IF($E135="05",VLOOKUP($B135,예산실적비교표!$AG$7:$AJ$200,2,FALSE),0),0)</f>
        <v>0</v>
      </c>
      <c r="H135" s="440">
        <f>IFERROR(IF($E135="06",VLOOKUP($C135,세출예산서!$K$3:$X$304,12,FALSE),0),0)</f>
        <v>0</v>
      </c>
      <c r="I135" s="440">
        <f>IFERROR(IF($E135="07",VLOOKUP($C135,세출예산서!$K$3:$X$304,13,FALSE),0),0)</f>
        <v>0</v>
      </c>
      <c r="J135" s="440">
        <f>IFERROR(IF($E135="05",VLOOKUP($C135,세출예산서!$K$3:$X$304,14,FALSE),0),0)</f>
        <v>0</v>
      </c>
      <c r="K135" s="440" t="str">
        <f t="shared" si="33"/>
        <v/>
      </c>
      <c r="L135" s="441">
        <f>IFERROR(IF($AB$2="",0,ROUNDUP(VLOOKUP($B135,예산실적비교표!$AG$7:$AJ$200,3,FALSE)*$Y$7/$Y$9,-3)*$Y$8),0)</f>
        <v>0</v>
      </c>
      <c r="M135" s="708" t="str">
        <f>IF($AM$1=TRUE,IF(K135="","",IF(IF($AE$2="",IF(K135="","",SUBTOTAL(2,$K$3:K135)),IF(AND(G135&gt;=0,K135=""),"",IF(AND(G135&gt;0,OR(K135&gt;0,K135&lt;0)),SUBTOTAL(2,$K$3:K135),IF(AND(G135=0,OR(K135&gt;0,K135&lt;0)),SUBTOTAL(2,$K$3:K135)+200,""))))&gt;200,"",1)),IF(K135="","",IF(IF($AE$2="",IF(K135="","",SUBTOTAL(2,$K$3:K135)),IF(AND(G135&gt;=0,K135=""),"",IF(AND(G135&gt;0,OR(K135&gt;0,K135&lt;0)),SUBTOTAL(2,$K$3:K135),IF(AND(G135=0,OR(K135&gt;0,K135&lt;0)),SUBTOTAL(2,$K$3:K135)+200,""))))&gt;200,"",1)))</f>
        <v/>
      </c>
      <c r="N135" s="214" t="str">
        <f>IF($AM$1=TRUE,IF(K135="","",IF(IF($AE$2="",IF(K135="","",SUBTOTAL(2,$K$3:K135)),IF(AND(G135&gt;=0,K135=""),"",IF(AND(G135&gt;0,OR(K135&gt;0,K135&lt;0)),SUBTOTAL(2,$K$3:K135),IF(AND(G135=0,OR(K135&gt;0,K135&lt;0)),SUBTOTAL(2,$K$3:K135)+200,""))))&lt;=200,"",2)),IF(K135="","",IF(IF($AE$2="",IF(K135="","",SUBTOTAL(2,$K$3:K135)),IF(AND(G135&gt;=0,K135=""),"",IF(AND(G135&gt;0,OR(K135&gt;0,K135&lt;0)),SUBTOTAL(2,$K$3:K135),IF(AND(G135=0,OR(K135&gt;0,K135&lt;0)),SUBTOTAL(2,$K$3:K135)+200,""))))&lt;=200,"",2)))</f>
        <v/>
      </c>
      <c r="O135" s="561"/>
      <c r="P135" s="705">
        <f t="shared" si="41"/>
        <v>0</v>
      </c>
      <c r="Q135" s="566">
        <v>0</v>
      </c>
      <c r="R135" s="520" t="s">
        <v>45</v>
      </c>
      <c r="S135" s="521" t="s">
        <v>82</v>
      </c>
      <c r="T135" s="483">
        <f t="shared" ref="T135:T155" si="42">IF(O135="",P135,O135)</f>
        <v>0</v>
      </c>
      <c r="U135" s="577">
        <f t="shared" si="40"/>
        <v>12</v>
      </c>
      <c r="V135" s="431" t="s">
        <v>127</v>
      </c>
      <c r="AP135" s="1182" t="str">
        <f>IF(예산실적비교표!AL135&lt;&gt;"",예산실적비교표!AL135,"")</f>
        <v/>
      </c>
      <c r="AQ135" s="1183" t="str">
        <f>IF(예산실적비교표!AM135&lt;&gt;"",예산실적비교표!AM135,"")</f>
        <v/>
      </c>
      <c r="AR135" s="1184">
        <f>IF(예산실적비교표!AN135&lt;&gt;"",예산실적비교표!AN135,0)</f>
        <v>0</v>
      </c>
      <c r="AS135" s="1185">
        <f>IF(예산실적비교표!AO135&lt;&gt;"",예산실적비교표!AO135,0)</f>
        <v>0</v>
      </c>
      <c r="AT135" s="1118">
        <f t="shared" si="36"/>
        <v>0</v>
      </c>
      <c r="AU135" s="1186">
        <f>IF(예산실적비교표!AQ135&lt;&gt;"",예산실적비교표!AQ135,0)</f>
        <v>0</v>
      </c>
      <c r="AV135" s="1120">
        <f t="shared" si="37"/>
        <v>0</v>
      </c>
      <c r="AW135" s="1121">
        <f>IF(AR135="",0,ROUND((AT135*$AT$7)*데이터입력!$AF$14+(AT135*$AU$7)*데이터입력!$AF$14+(AT135*$AU$7*$AV$7)*데이터입력!$AF$14+(AT135*$AW$7)*데이터입력!$AF$14+(AT135*$AX$7)*데이터입력!$AF$14,-1))</f>
        <v>0</v>
      </c>
      <c r="AX135" s="1122">
        <f t="shared" si="38"/>
        <v>0</v>
      </c>
      <c r="AY135" s="1123">
        <f>IFERROR(IF(AR135+AS135=0,0,ROUND(IF(데이터입력!$AF$14=100%,ROUND(AR135*$AR$1,-3),ROUND(AR135*$AR$1,-3)-ROUND(((AR135*$AR$1)*$AT$4)*(데이터입력!$AF$14-100%)+((AR135*$AR$1)*$AU$4)*(데이터입력!$AF$14-100%)+((AR135*$AR$1)*$AU$4*$AV$4)*(데이터입력!$AF$14-100%)+((AR135*$AR$1)*$AW$4)*(데이터입력!$AF$14-100%),-1)),0)),0)</f>
        <v>0</v>
      </c>
      <c r="AZ135" s="1124">
        <f>IFERROR(IF(AR135+AS135=0,0,IF(데이터입력!$AF$12=100%,(AT135),(AT135)+ROUND(AT135*(데이터입력!$AF$12-100%),-1))),0)</f>
        <v>0</v>
      </c>
      <c r="BA135" s="1265" t="str">
        <f t="shared" si="39"/>
        <v/>
      </c>
      <c r="BB135" s="1264" t="str">
        <f>IF(BA135="","",IF(데이터입력!$O$68="",ROUND(AZ135/12,0),ROUND(데이터입력!$O$68/데이터입력!$Y$8/$BC$63,0)))</f>
        <v/>
      </c>
    </row>
    <row r="136" spans="1:54">
      <c r="A136" s="1048" t="str">
        <f>IF($AM$1=TRUE,IF(K136="","",SUBTOTAL(2,$K$3:K136)),IF(AND(M136="",N136=""),"",IF(N136="",COUNT($M$3:M136),COUNT($N$3:N136)+200)))</f>
        <v/>
      </c>
      <c r="B136" s="439" t="s">
        <v>65</v>
      </c>
      <c r="C136" s="439" t="s">
        <v>643</v>
      </c>
      <c r="D136" s="438">
        <v>503030101</v>
      </c>
      <c r="E136" s="438" t="s">
        <v>85</v>
      </c>
      <c r="F136" s="438" t="s">
        <v>82</v>
      </c>
      <c r="G136" s="440">
        <f>IFERROR(IF($E136="05",VLOOKUP($B136,예산실적비교표!$AG$7:$AJ$200,2,FALSE),0),0)</f>
        <v>0</v>
      </c>
      <c r="H136" s="440">
        <f>IFERROR(IF($E136="06",VLOOKUP($C136,세출예산서!$K$3:$X$304,12,FALSE),0),0)</f>
        <v>0</v>
      </c>
      <c r="I136" s="440">
        <f>IFERROR(IF($E136="07",VLOOKUP($C136,세출예산서!$K$3:$X$304,13,FALSE),0),0)</f>
        <v>0</v>
      </c>
      <c r="J136" s="440">
        <f>IFERROR(IF($E136="05",VLOOKUP($C136,세출예산서!$K$3:$X$304,14,FALSE),0),0)</f>
        <v>0</v>
      </c>
      <c r="K136" s="440" t="str">
        <f t="shared" si="33"/>
        <v/>
      </c>
      <c r="L136" s="441">
        <f>IFERROR(IF($AB$2="",0,ROUNDUP(VLOOKUP($B136,예산실적비교표!$AG$7:$AJ$200,3,FALSE)*$Y$7/$Y$9,-3)*$Y$8),0)</f>
        <v>0</v>
      </c>
      <c r="M136" s="708" t="str">
        <f>IF($AM$1=TRUE,IF(K136="","",IF(IF($AE$2="",IF(K136="","",SUBTOTAL(2,$K$3:K136)),IF(AND(G136&gt;=0,K136=""),"",IF(AND(G136&gt;0,OR(K136&gt;0,K136&lt;0)),SUBTOTAL(2,$K$3:K136),IF(AND(G136=0,OR(K136&gt;0,K136&lt;0)),SUBTOTAL(2,$K$3:K136)+200,""))))&gt;200,"",1)),IF(K136="","",IF(IF($AE$2="",IF(K136="","",SUBTOTAL(2,$K$3:K136)),IF(AND(G136&gt;=0,K136=""),"",IF(AND(G136&gt;0,OR(K136&gt;0,K136&lt;0)),SUBTOTAL(2,$K$3:K136),IF(AND(G136=0,OR(K136&gt;0,K136&lt;0)),SUBTOTAL(2,$K$3:K136)+200,""))))&gt;200,"",1)))</f>
        <v/>
      </c>
      <c r="N136" s="214" t="str">
        <f>IF($AM$1=TRUE,IF(K136="","",IF(IF($AE$2="",IF(K136="","",SUBTOTAL(2,$K$3:K136)),IF(AND(G136&gt;=0,K136=""),"",IF(AND(G136&gt;0,OR(K136&gt;0,K136&lt;0)),SUBTOTAL(2,$K$3:K136),IF(AND(G136=0,OR(K136&gt;0,K136&lt;0)),SUBTOTAL(2,$K$3:K136)+200,""))))&lt;=200,"",2)),IF(K136="","",IF(IF($AE$2="",IF(K136="","",SUBTOTAL(2,$K$3:K136)),IF(AND(G136&gt;=0,K136=""),"",IF(AND(G136&gt;0,OR(K136&gt;0,K136&lt;0)),SUBTOTAL(2,$K$3:K136),IF(AND(G136=0,OR(K136&gt;0,K136&lt;0)),SUBTOTAL(2,$K$3:K136)+200,""))))&lt;=200,"",2)))</f>
        <v/>
      </c>
      <c r="O136" s="561"/>
      <c r="P136" s="705">
        <f t="shared" si="41"/>
        <v>0</v>
      </c>
      <c r="Q136" s="566">
        <v>0</v>
      </c>
      <c r="R136" s="520" t="s">
        <v>46</v>
      </c>
      <c r="S136" s="521" t="s">
        <v>82</v>
      </c>
      <c r="T136" s="483">
        <f>IF(O136="",P136,O136)</f>
        <v>0</v>
      </c>
      <c r="U136" s="577">
        <f t="shared" si="40"/>
        <v>12</v>
      </c>
      <c r="V136" s="431" t="s">
        <v>127</v>
      </c>
      <c r="AP136" s="1182" t="str">
        <f>IF(예산실적비교표!AL136&lt;&gt;"",예산실적비교표!AL136,"")</f>
        <v/>
      </c>
      <c r="AQ136" s="1183" t="str">
        <f>IF(예산실적비교표!AM136&lt;&gt;"",예산실적비교표!AM136,"")</f>
        <v/>
      </c>
      <c r="AR136" s="1184">
        <f>IF(예산실적비교표!AN136&lt;&gt;"",예산실적비교표!AN136,0)</f>
        <v>0</v>
      </c>
      <c r="AS136" s="1185">
        <f>IF(예산실적비교표!AO136&lt;&gt;"",예산실적비교표!AO136,0)</f>
        <v>0</v>
      </c>
      <c r="AT136" s="1118">
        <f t="shared" si="36"/>
        <v>0</v>
      </c>
      <c r="AU136" s="1186">
        <f>IF(예산실적비교표!AQ136&lt;&gt;"",예산실적비교표!AQ136,0)</f>
        <v>0</v>
      </c>
      <c r="AV136" s="1120">
        <f t="shared" si="37"/>
        <v>0</v>
      </c>
      <c r="AW136" s="1121">
        <f>IF(AR136="",0,ROUND((AT136*$AT$7)*데이터입력!$AF$14+(AT136*$AU$7)*데이터입력!$AF$14+(AT136*$AU$7*$AV$7)*데이터입력!$AF$14+(AT136*$AW$7)*데이터입력!$AF$14+(AT136*$AX$7)*데이터입력!$AF$14,-1))</f>
        <v>0</v>
      </c>
      <c r="AX136" s="1122">
        <f t="shared" si="38"/>
        <v>0</v>
      </c>
      <c r="AY136" s="1123">
        <f>IFERROR(IF(AR136+AS136=0,0,ROUND(IF(데이터입력!$AF$14=100%,ROUND(AR136*$AR$1,-3),ROUND(AR136*$AR$1,-3)-ROUND(((AR136*$AR$1)*$AT$4)*(데이터입력!$AF$14-100%)+((AR136*$AR$1)*$AU$4)*(데이터입력!$AF$14-100%)+((AR136*$AR$1)*$AU$4*$AV$4)*(데이터입력!$AF$14-100%)+((AR136*$AR$1)*$AW$4)*(데이터입력!$AF$14-100%),-1)),0)),0)</f>
        <v>0</v>
      </c>
      <c r="AZ136" s="1124">
        <f>IFERROR(IF(AR136+AS136=0,0,IF(데이터입력!$AF$12=100%,(AT136),(AT136)+ROUND(AT136*(데이터입력!$AF$12-100%),-1))),0)</f>
        <v>0</v>
      </c>
      <c r="BA136" s="1265" t="str">
        <f t="shared" si="39"/>
        <v/>
      </c>
      <c r="BB136" s="1264" t="str">
        <f>IF(BA136="","",IF(데이터입력!$O$68="",ROUND(AZ136/12,0),ROUND(데이터입력!$O$68/데이터입력!$Y$8/$BC$63,0)))</f>
        <v/>
      </c>
    </row>
    <row r="137" spans="1:54" ht="17.25" thickBot="1">
      <c r="A137" s="1048" t="str">
        <f>IF($AM$1=TRUE,IF(K137="","",SUBTOTAL(2,$K$3:K137)),IF(AND(M137="",N137=""),"",IF(N137="",COUNT($M$3:M137),COUNT($N$3:N137)+200)))</f>
        <v/>
      </c>
      <c r="B137" s="439" t="s">
        <v>68</v>
      </c>
      <c r="C137" s="439" t="s">
        <v>644</v>
      </c>
      <c r="D137" s="438">
        <v>505010101</v>
      </c>
      <c r="E137" s="438" t="s">
        <v>85</v>
      </c>
      <c r="F137" s="438" t="s">
        <v>82</v>
      </c>
      <c r="G137" s="440">
        <f>IFERROR(IF($E137="05",VLOOKUP($B137,예산실적비교표!$AG$7:$AJ$200,2,FALSE),0),0)</f>
        <v>0</v>
      </c>
      <c r="H137" s="440">
        <f>IFERROR(IF($E137="06",VLOOKUP($C137,세출예산서!$K$3:$X$304,12,FALSE),0),0)</f>
        <v>0</v>
      </c>
      <c r="I137" s="440">
        <f>IFERROR(IF($E137="07",VLOOKUP($C137,세출예산서!$K$3:$X$304,13,FALSE),0),0)</f>
        <v>0</v>
      </c>
      <c r="J137" s="440">
        <f>IFERROR(IF($E137="05",VLOOKUP($C137,세출예산서!$K$3:$X$304,14,FALSE),0),0)</f>
        <v>0</v>
      </c>
      <c r="K137" s="440" t="str">
        <f t="shared" si="33"/>
        <v/>
      </c>
      <c r="L137" s="441">
        <f>IFERROR(IF($AB$2="",0,ROUNDUP(VLOOKUP($B137,예산실적비교표!$AG$7:$AJ$200,3,FALSE)*$Y$7/$Y$9,-3)*$Y$8),0)</f>
        <v>0</v>
      </c>
      <c r="M137" s="708" t="str">
        <f>IF($AM$1=TRUE,IF(K137="","",IF(IF($AE$2="",IF(K137="","",SUBTOTAL(2,$K$3:K137)),IF(AND(G137&gt;=0,K137=""),"",IF(AND(G137&gt;0,OR(K137&gt;0,K137&lt;0)),SUBTOTAL(2,$K$3:K137),IF(AND(G137=0,OR(K137&gt;0,K137&lt;0)),SUBTOTAL(2,$K$3:K137)+200,""))))&gt;200,"",1)),IF(K137="","",IF(IF($AE$2="",IF(K137="","",SUBTOTAL(2,$K$3:K137)),IF(AND(G137&gt;=0,K137=""),"",IF(AND(G137&gt;0,OR(K137&gt;0,K137&lt;0)),SUBTOTAL(2,$K$3:K137),IF(AND(G137=0,OR(K137&gt;0,K137&lt;0)),SUBTOTAL(2,$K$3:K137)+200,""))))&gt;200,"",1)))</f>
        <v/>
      </c>
      <c r="N137" s="214" t="str">
        <f>IF($AM$1=TRUE,IF(K137="","",IF(IF($AE$2="",IF(K137="","",SUBTOTAL(2,$K$3:K137)),IF(AND(G137&gt;=0,K137=""),"",IF(AND(G137&gt;0,OR(K137&gt;0,K137&lt;0)),SUBTOTAL(2,$K$3:K137),IF(AND(G137=0,OR(K137&gt;0,K137&lt;0)),SUBTOTAL(2,$K$3:K137)+200,""))))&lt;=200,"",2)),IF(K137="","",IF(IF($AE$2="",IF(K137="","",SUBTOTAL(2,$K$3:K137)),IF(AND(G137&gt;=0,K137=""),"",IF(AND(G137&gt;0,OR(K137&gt;0,K137&lt;0)),SUBTOTAL(2,$K$3:K137),IF(AND(G137=0,OR(K137&gt;0,K137&lt;0)),SUBTOTAL(2,$K$3:K137)+200,""))))&lt;=200,"",2)))</f>
        <v/>
      </c>
      <c r="O137" s="561"/>
      <c r="P137" s="705">
        <f t="shared" si="41"/>
        <v>0</v>
      </c>
      <c r="Q137" s="566">
        <v>0</v>
      </c>
      <c r="R137" s="520" t="s">
        <v>47</v>
      </c>
      <c r="S137" s="521" t="s">
        <v>82</v>
      </c>
      <c r="T137" s="483">
        <f>IF(O137="",P137,O137)</f>
        <v>0</v>
      </c>
      <c r="U137" s="577">
        <f t="shared" si="40"/>
        <v>12</v>
      </c>
      <c r="V137" s="431" t="s">
        <v>127</v>
      </c>
      <c r="AP137" s="1182" t="str">
        <f>IF(예산실적비교표!AL137&lt;&gt;"",예산실적비교표!AL137,"")</f>
        <v/>
      </c>
      <c r="AQ137" s="1183" t="str">
        <f>IF(예산실적비교표!AM137&lt;&gt;"",예산실적비교표!AM137,"")</f>
        <v/>
      </c>
      <c r="AR137" s="1184">
        <f>IF(예산실적비교표!AN137&lt;&gt;"",예산실적비교표!AN137,0)</f>
        <v>0</v>
      </c>
      <c r="AS137" s="1185">
        <f>IF(예산실적비교표!AO137&lt;&gt;"",예산실적비교표!AO137,0)</f>
        <v>0</v>
      </c>
      <c r="AT137" s="1118">
        <f t="shared" si="36"/>
        <v>0</v>
      </c>
      <c r="AU137" s="1186">
        <f>IF(예산실적비교표!AQ137&lt;&gt;"",예산실적비교표!AQ137,0)</f>
        <v>0</v>
      </c>
      <c r="AV137" s="1120">
        <f t="shared" si="37"/>
        <v>0</v>
      </c>
      <c r="AW137" s="1121">
        <f>IF(AR137="",0,ROUND((AT137*$AT$7)*데이터입력!$AF$14+(AT137*$AU$7)*데이터입력!$AF$14+(AT137*$AU$7*$AV$7)*데이터입력!$AF$14+(AT137*$AW$7)*데이터입력!$AF$14+(AT137*$AX$7)*데이터입력!$AF$14,-1))</f>
        <v>0</v>
      </c>
      <c r="AX137" s="1122">
        <f t="shared" si="38"/>
        <v>0</v>
      </c>
      <c r="AY137" s="1123">
        <f>IFERROR(IF(AR137+AS137=0,0,ROUND(IF(데이터입력!$AF$14=100%,ROUND(AR137*$AR$1,-3),ROUND(AR137*$AR$1,-3)-ROUND(((AR137*$AR$1)*$AT$4)*(데이터입력!$AF$14-100%)+((AR137*$AR$1)*$AU$4)*(데이터입력!$AF$14-100%)+((AR137*$AR$1)*$AU$4*$AV$4)*(데이터입력!$AF$14-100%)+((AR137*$AR$1)*$AW$4)*(데이터입력!$AF$14-100%),-1)),0)),0)</f>
        <v>0</v>
      </c>
      <c r="AZ137" s="1124">
        <f>IFERROR(IF(AR137+AS137=0,0,IF(데이터입력!$AF$12=100%,(AT137),(AT137)+ROUND(AT137*(데이터입력!$AF$12-100%),-1))),0)</f>
        <v>0</v>
      </c>
      <c r="BA137" s="1265" t="str">
        <f t="shared" si="39"/>
        <v/>
      </c>
      <c r="BB137" s="1264" t="str">
        <f>IF(BA137="","",IF(데이터입력!$O$68="",ROUND(AZ137/12,0),ROUND(데이터입력!$O$68/데이터입력!$Y$8/$BC$63,0)))</f>
        <v/>
      </c>
    </row>
    <row r="138" spans="1:54" ht="17.25" thickBot="1">
      <c r="A138" s="1463" t="s">
        <v>87</v>
      </c>
      <c r="B138" s="1464"/>
      <c r="C138" s="1464"/>
      <c r="D138" s="1464"/>
      <c r="E138" s="1464"/>
      <c r="F138" s="1465"/>
      <c r="G138" s="522">
        <f>SUM(G42:G137)</f>
        <v>353968040</v>
      </c>
      <c r="H138" s="522">
        <f>SUM(H42:H137)</f>
        <v>369514076</v>
      </c>
      <c r="I138" s="522">
        <f>SUM(I42:I137)</f>
        <v>0</v>
      </c>
      <c r="J138" s="522">
        <f>SUM(J42:J137)</f>
        <v>0</v>
      </c>
      <c r="K138" s="522"/>
      <c r="L138" s="522">
        <f>SUM(L42:L137)</f>
        <v>249336000</v>
      </c>
      <c r="O138" s="561"/>
      <c r="P138" s="705">
        <f t="shared" si="41"/>
        <v>0</v>
      </c>
      <c r="Q138" s="566">
        <v>0</v>
      </c>
      <c r="R138" s="520" t="s">
        <v>48</v>
      </c>
      <c r="S138" s="521" t="s">
        <v>82</v>
      </c>
      <c r="T138" s="483">
        <f>IF(O138="",P138,O138)</f>
        <v>0</v>
      </c>
      <c r="U138" s="577">
        <f t="shared" si="40"/>
        <v>12</v>
      </c>
      <c r="V138" s="431" t="s">
        <v>127</v>
      </c>
      <c r="AP138" s="1182" t="str">
        <f>IF(예산실적비교표!AL138&lt;&gt;"",예산실적비교표!AL138,"")</f>
        <v/>
      </c>
      <c r="AQ138" s="1183" t="str">
        <f>IF(예산실적비교표!AM138&lt;&gt;"",예산실적비교표!AM138,"")</f>
        <v/>
      </c>
      <c r="AR138" s="1184">
        <f>IF(예산실적비교표!AN138&lt;&gt;"",예산실적비교표!AN138,0)</f>
        <v>0</v>
      </c>
      <c r="AS138" s="1185">
        <f>IF(예산실적비교표!AO138&lt;&gt;"",예산실적비교표!AO138,0)</f>
        <v>0</v>
      </c>
      <c r="AT138" s="1118">
        <f t="shared" si="36"/>
        <v>0</v>
      </c>
      <c r="AU138" s="1186">
        <f>IF(예산실적비교표!AQ138&lt;&gt;"",예산실적비교표!AQ138,0)</f>
        <v>0</v>
      </c>
      <c r="AV138" s="1120">
        <f t="shared" si="37"/>
        <v>0</v>
      </c>
      <c r="AW138" s="1121">
        <f>IF(AR138="",0,ROUND((AT138*$AT$7)*데이터입력!$AF$14+(AT138*$AU$7)*데이터입력!$AF$14+(AT138*$AU$7*$AV$7)*데이터입력!$AF$14+(AT138*$AW$7)*데이터입력!$AF$14+(AT138*$AX$7)*데이터입력!$AF$14,-1))</f>
        <v>0</v>
      </c>
      <c r="AX138" s="1122">
        <f t="shared" si="38"/>
        <v>0</v>
      </c>
      <c r="AY138" s="1123">
        <f>IFERROR(IF(AR138+AS138=0,0,ROUND(IF(데이터입력!$AF$14=100%,ROUND(AR138*$AR$1,-3),ROUND(AR138*$AR$1,-3)-ROUND(((AR138*$AR$1)*$AT$4)*(데이터입력!$AF$14-100%)+((AR138*$AR$1)*$AU$4)*(데이터입력!$AF$14-100%)+((AR138*$AR$1)*$AU$4*$AV$4)*(데이터입력!$AF$14-100%)+((AR138*$AR$1)*$AW$4)*(데이터입력!$AF$14-100%),-1)),0)),0)</f>
        <v>0</v>
      </c>
      <c r="AZ138" s="1124">
        <f>IFERROR(IF(AR138+AS138=0,0,IF(데이터입력!$AF$12=100%,(AT138),(AT138)+ROUND(AT138*(데이터입력!$AF$12-100%),-1))),0)</f>
        <v>0</v>
      </c>
      <c r="BA138" s="1265" t="str">
        <f t="shared" si="39"/>
        <v/>
      </c>
      <c r="BB138" s="1264" t="str">
        <f>IF(BA138="","",IF(데이터입력!$O$68="",ROUND(AZ138/12,0),ROUND(데이터입력!$O$68/데이터입력!$Y$8/$BC$63,0)))</f>
        <v/>
      </c>
    </row>
    <row r="139" spans="1:54" ht="17.25" thickBot="1">
      <c r="A139" s="1466" t="s">
        <v>88</v>
      </c>
      <c r="B139" s="1467"/>
      <c r="C139" s="1467"/>
      <c r="D139" s="1467"/>
      <c r="E139" s="1467"/>
      <c r="F139" s="1468"/>
      <c r="G139" s="523">
        <f>G41-G138</f>
        <v>0</v>
      </c>
      <c r="H139" s="523">
        <f>H41-H138</f>
        <v>0</v>
      </c>
      <c r="I139" s="523">
        <f>I41-I138</f>
        <v>0</v>
      </c>
      <c r="J139" s="523">
        <f>J41-J138</f>
        <v>0</v>
      </c>
      <c r="K139" s="523"/>
      <c r="L139" s="523"/>
      <c r="O139" s="561"/>
      <c r="P139" s="705">
        <f t="shared" si="41"/>
        <v>0</v>
      </c>
      <c r="Q139" s="566">
        <v>0</v>
      </c>
      <c r="R139" s="520" t="s">
        <v>49</v>
      </c>
      <c r="S139" s="521" t="s">
        <v>82</v>
      </c>
      <c r="T139" s="483">
        <f>IF(O139="",P139,O139)</f>
        <v>0</v>
      </c>
      <c r="U139" s="577">
        <f t="shared" si="40"/>
        <v>12</v>
      </c>
      <c r="V139" s="431" t="s">
        <v>127</v>
      </c>
      <c r="AP139" s="1182" t="str">
        <f>IF(예산실적비교표!AL139&lt;&gt;"",예산실적비교표!AL139,"")</f>
        <v/>
      </c>
      <c r="AQ139" s="1183" t="str">
        <f>IF(예산실적비교표!AM139&lt;&gt;"",예산실적비교표!AM139,"")</f>
        <v/>
      </c>
      <c r="AR139" s="1184">
        <f>IF(예산실적비교표!AN139&lt;&gt;"",예산실적비교표!AN139,0)</f>
        <v>0</v>
      </c>
      <c r="AS139" s="1185">
        <f>IF(예산실적비교표!AO139&lt;&gt;"",예산실적비교표!AO139,0)</f>
        <v>0</v>
      </c>
      <c r="AT139" s="1118">
        <f t="shared" si="36"/>
        <v>0</v>
      </c>
      <c r="AU139" s="1186">
        <f>IF(예산실적비교표!AQ139&lt;&gt;"",예산실적비교표!AQ139,0)</f>
        <v>0</v>
      </c>
      <c r="AV139" s="1120">
        <f t="shared" si="37"/>
        <v>0</v>
      </c>
      <c r="AW139" s="1121">
        <f>IF(AR139="",0,ROUND((AT139*$AT$7)*데이터입력!$AF$14+(AT139*$AU$7)*데이터입력!$AF$14+(AT139*$AU$7*$AV$7)*데이터입력!$AF$14+(AT139*$AW$7)*데이터입력!$AF$14+(AT139*$AX$7)*데이터입력!$AF$14,-1))</f>
        <v>0</v>
      </c>
      <c r="AX139" s="1122">
        <f t="shared" si="38"/>
        <v>0</v>
      </c>
      <c r="AY139" s="1123">
        <f>IFERROR(IF(AR139+AS139=0,0,ROUND(IF(데이터입력!$AF$14=100%,ROUND(AR139*$AR$1,-3),ROUND(AR139*$AR$1,-3)-ROUND(((AR139*$AR$1)*$AT$4)*(데이터입력!$AF$14-100%)+((AR139*$AR$1)*$AU$4)*(데이터입력!$AF$14-100%)+((AR139*$AR$1)*$AU$4*$AV$4)*(데이터입력!$AF$14-100%)+((AR139*$AR$1)*$AW$4)*(데이터입력!$AF$14-100%),-1)),0)),0)</f>
        <v>0</v>
      </c>
      <c r="AZ139" s="1124">
        <f>IFERROR(IF(AR139+AS139=0,0,IF(데이터입력!$AF$12=100%,(AT139),(AT139)+ROUND(AT139*(데이터입력!$AF$12-100%),-1))),0)</f>
        <v>0</v>
      </c>
      <c r="BA139" s="1265" t="str">
        <f t="shared" si="39"/>
        <v/>
      </c>
      <c r="BB139" s="1264" t="str">
        <f>IF(BA139="","",IF(데이터입력!$O$68="",ROUND(AZ139/12,0),ROUND(데이터입력!$O$68/데이터입력!$Y$8/$BC$63,0)))</f>
        <v/>
      </c>
    </row>
    <row r="140" spans="1:54">
      <c r="H140" s="688"/>
      <c r="O140" s="561"/>
      <c r="P140" s="705">
        <f t="shared" ref="P140:P150" si="43">IFERROR(IF(VLOOKUP(R140,$B$111:$L$137,11,FALSE)&gt;VLOOKUP(R140,$B$111:$L$137,6,FALSE),VLOOKUP(R140,$B$111:$L$137,11,FALSE),VLOOKUP(R140,$B$111:$L$137,6,FALSE)),0)</f>
        <v>0</v>
      </c>
      <c r="Q140" s="566">
        <v>0</v>
      </c>
      <c r="R140" s="520" t="s">
        <v>50</v>
      </c>
      <c r="S140" s="521" t="s">
        <v>82</v>
      </c>
      <c r="T140" s="483">
        <f t="shared" si="42"/>
        <v>0</v>
      </c>
      <c r="U140" s="577">
        <f t="shared" si="40"/>
        <v>12</v>
      </c>
      <c r="V140" s="431" t="s">
        <v>144</v>
      </c>
      <c r="AP140" s="1182" t="str">
        <f>IF(예산실적비교표!AL140&lt;&gt;"",예산실적비교표!AL140,"")</f>
        <v/>
      </c>
      <c r="AQ140" s="1183" t="str">
        <f>IF(예산실적비교표!AM140&lt;&gt;"",예산실적비교표!AM140,"")</f>
        <v/>
      </c>
      <c r="AR140" s="1184">
        <f>IF(예산실적비교표!AN140&lt;&gt;"",예산실적비교표!AN140,0)</f>
        <v>0</v>
      </c>
      <c r="AS140" s="1185">
        <f>IF(예산실적비교표!AO140&lt;&gt;"",예산실적비교표!AO140,0)</f>
        <v>0</v>
      </c>
      <c r="AT140" s="1118">
        <f t="shared" si="36"/>
        <v>0</v>
      </c>
      <c r="AU140" s="1186">
        <f>IF(예산실적비교표!AQ140&lt;&gt;"",예산실적비교표!AQ140,0)</f>
        <v>0</v>
      </c>
      <c r="AV140" s="1120">
        <f t="shared" si="37"/>
        <v>0</v>
      </c>
      <c r="AW140" s="1121">
        <f>IF(AR140="",0,ROUND((AT140*$AT$7)*데이터입력!$AF$14+(AT140*$AU$7)*데이터입력!$AF$14+(AT140*$AU$7*$AV$7)*데이터입력!$AF$14+(AT140*$AW$7)*데이터입력!$AF$14+(AT140*$AX$7)*데이터입력!$AF$14,-1))</f>
        <v>0</v>
      </c>
      <c r="AX140" s="1122">
        <f t="shared" si="38"/>
        <v>0</v>
      </c>
      <c r="AY140" s="1123">
        <f>IFERROR(IF(AR140+AS140=0,0,ROUND(IF(데이터입력!$AF$14=100%,ROUND(AR140*$AR$1,-3),ROUND(AR140*$AR$1,-3)-ROUND(((AR140*$AR$1)*$AT$4)*(데이터입력!$AF$14-100%)+((AR140*$AR$1)*$AU$4)*(데이터입력!$AF$14-100%)+((AR140*$AR$1)*$AU$4*$AV$4)*(데이터입력!$AF$14-100%)+((AR140*$AR$1)*$AW$4)*(데이터입력!$AF$14-100%),-1)),0)),0)</f>
        <v>0</v>
      </c>
      <c r="AZ140" s="1124">
        <f>IFERROR(IF(AR140+AS140=0,0,IF(데이터입력!$AF$12=100%,(AT140),(AT140)+ROUND(AT140*(데이터입력!$AF$12-100%),-1))),0)</f>
        <v>0</v>
      </c>
      <c r="BA140" s="1265" t="str">
        <f t="shared" si="39"/>
        <v/>
      </c>
      <c r="BB140" s="1264" t="str">
        <f>IF(BA140="","",IF(데이터입력!$O$68="",ROUND(AZ140/12,0),ROUND(데이터입력!$O$68/데이터입력!$Y$8/$BC$63,0)))</f>
        <v/>
      </c>
    </row>
    <row r="141" spans="1:54">
      <c r="O141" s="561"/>
      <c r="P141" s="705">
        <f t="shared" si="43"/>
        <v>0</v>
      </c>
      <c r="Q141" s="566">
        <v>0</v>
      </c>
      <c r="R141" s="520" t="s">
        <v>52</v>
      </c>
      <c r="S141" s="521" t="s">
        <v>82</v>
      </c>
      <c r="T141" s="483">
        <f t="shared" si="42"/>
        <v>0</v>
      </c>
      <c r="U141" s="577">
        <f t="shared" si="40"/>
        <v>12</v>
      </c>
      <c r="V141" s="431" t="s">
        <v>144</v>
      </c>
      <c r="AP141" s="1182" t="str">
        <f>IF(예산실적비교표!AL141&lt;&gt;"",예산실적비교표!AL141,"")</f>
        <v/>
      </c>
      <c r="AQ141" s="1183" t="str">
        <f>IF(예산실적비교표!AM141&lt;&gt;"",예산실적비교표!AM141,"")</f>
        <v/>
      </c>
      <c r="AR141" s="1184">
        <f>IF(예산실적비교표!AN141&lt;&gt;"",예산실적비교표!AN141,0)</f>
        <v>0</v>
      </c>
      <c r="AS141" s="1185">
        <f>IF(예산실적비교표!AO141&lt;&gt;"",예산실적비교표!AO141,0)</f>
        <v>0</v>
      </c>
      <c r="AT141" s="1118">
        <f t="shared" si="36"/>
        <v>0</v>
      </c>
      <c r="AU141" s="1186">
        <f>IF(예산실적비교표!AQ141&lt;&gt;"",예산실적비교표!AQ141,0)</f>
        <v>0</v>
      </c>
      <c r="AV141" s="1120">
        <f t="shared" si="37"/>
        <v>0</v>
      </c>
      <c r="AW141" s="1121">
        <f>IF(AR141="",0,ROUND((AT141*$AT$7)*데이터입력!$AF$14+(AT141*$AU$7)*데이터입력!$AF$14+(AT141*$AU$7*$AV$7)*데이터입력!$AF$14+(AT141*$AW$7)*데이터입력!$AF$14+(AT141*$AX$7)*데이터입력!$AF$14,-1))</f>
        <v>0</v>
      </c>
      <c r="AX141" s="1122">
        <f t="shared" si="38"/>
        <v>0</v>
      </c>
      <c r="AY141" s="1123">
        <f>IFERROR(IF(AR141+AS141=0,0,ROUND(IF(데이터입력!$AF$14=100%,ROUND(AR141*$AR$1,-3),ROUND(AR141*$AR$1,-3)-ROUND(((AR141*$AR$1)*$AT$4)*(데이터입력!$AF$14-100%)+((AR141*$AR$1)*$AU$4)*(데이터입력!$AF$14-100%)+((AR141*$AR$1)*$AU$4*$AV$4)*(데이터입력!$AF$14-100%)+((AR141*$AR$1)*$AW$4)*(데이터입력!$AF$14-100%),-1)),0)),0)</f>
        <v>0</v>
      </c>
      <c r="AZ141" s="1124">
        <f>IFERROR(IF(AR141+AS141=0,0,IF(데이터입력!$AF$12=100%,(AT141),(AT141)+ROUND(AT141*(데이터입력!$AF$12-100%),-1))),0)</f>
        <v>0</v>
      </c>
      <c r="BA141" s="1265" t="str">
        <f t="shared" si="39"/>
        <v/>
      </c>
      <c r="BB141" s="1264" t="str">
        <f>IF(BA141="","",IF(데이터입력!$O$68="",ROUND(AZ141/12,0),ROUND(데이터입력!$O$68/데이터입력!$Y$8/$BC$63,0)))</f>
        <v/>
      </c>
    </row>
    <row r="142" spans="1:54">
      <c r="O142" s="561"/>
      <c r="P142" s="705">
        <f t="shared" si="43"/>
        <v>0</v>
      </c>
      <c r="Q142" s="566">
        <v>0</v>
      </c>
      <c r="R142" s="520" t="s">
        <v>53</v>
      </c>
      <c r="S142" s="521" t="s">
        <v>82</v>
      </c>
      <c r="T142" s="483">
        <f t="shared" si="42"/>
        <v>0</v>
      </c>
      <c r="U142" s="577">
        <f t="shared" si="40"/>
        <v>12</v>
      </c>
      <c r="V142" s="431" t="s">
        <v>127</v>
      </c>
      <c r="AP142" s="1182" t="str">
        <f>IF(예산실적비교표!AL142&lt;&gt;"",예산실적비교표!AL142,"")</f>
        <v/>
      </c>
      <c r="AQ142" s="1183" t="str">
        <f>IF(예산실적비교표!AM142&lt;&gt;"",예산실적비교표!AM142,"")</f>
        <v/>
      </c>
      <c r="AR142" s="1184">
        <f>IF(예산실적비교표!AN142&lt;&gt;"",예산실적비교표!AN142,0)</f>
        <v>0</v>
      </c>
      <c r="AS142" s="1185">
        <f>IF(예산실적비교표!AO142&lt;&gt;"",예산실적비교표!AO142,0)</f>
        <v>0</v>
      </c>
      <c r="AT142" s="1118">
        <f t="shared" si="36"/>
        <v>0</v>
      </c>
      <c r="AU142" s="1186">
        <f>IF(예산실적비교표!AQ142&lt;&gt;"",예산실적비교표!AQ142,0)</f>
        <v>0</v>
      </c>
      <c r="AV142" s="1120">
        <f t="shared" si="37"/>
        <v>0</v>
      </c>
      <c r="AW142" s="1121">
        <f>IF(AR142="",0,ROUND((AT142*$AT$7)*데이터입력!$AF$14+(AT142*$AU$7)*데이터입력!$AF$14+(AT142*$AU$7*$AV$7)*데이터입력!$AF$14+(AT142*$AW$7)*데이터입력!$AF$14+(AT142*$AX$7)*데이터입력!$AF$14,-1))</f>
        <v>0</v>
      </c>
      <c r="AX142" s="1122">
        <f t="shared" si="38"/>
        <v>0</v>
      </c>
      <c r="AY142" s="1123">
        <f>IFERROR(IF(AR142+AS142=0,0,ROUND(IF(데이터입력!$AF$14=100%,ROUND(AR142*$AR$1,-3),ROUND(AR142*$AR$1,-3)-ROUND(((AR142*$AR$1)*$AT$4)*(데이터입력!$AF$14-100%)+((AR142*$AR$1)*$AU$4)*(데이터입력!$AF$14-100%)+((AR142*$AR$1)*$AU$4*$AV$4)*(데이터입력!$AF$14-100%)+((AR142*$AR$1)*$AW$4)*(데이터입력!$AF$14-100%),-1)),0)),0)</f>
        <v>0</v>
      </c>
      <c r="AZ142" s="1124">
        <f>IFERROR(IF(AR142+AS142=0,0,IF(데이터입력!$AF$12=100%,(AT142),(AT142)+ROUND(AT142*(데이터입력!$AF$12-100%),-1))),0)</f>
        <v>0</v>
      </c>
      <c r="BA142" s="1265" t="str">
        <f t="shared" si="39"/>
        <v/>
      </c>
      <c r="BB142" s="1264" t="str">
        <f>IF(BA142="","",IF(데이터입력!$O$68="",ROUND(AZ142/12,0),ROUND(데이터입력!$O$68/데이터입력!$Y$8/$BC$63,0)))</f>
        <v/>
      </c>
    </row>
    <row r="143" spans="1:54">
      <c r="O143" s="561"/>
      <c r="P143" s="705">
        <f t="shared" si="43"/>
        <v>0</v>
      </c>
      <c r="Q143" s="566">
        <v>0</v>
      </c>
      <c r="R143" s="520" t="s">
        <v>54</v>
      </c>
      <c r="S143" s="521" t="s">
        <v>82</v>
      </c>
      <c r="T143" s="483">
        <f t="shared" si="42"/>
        <v>0</v>
      </c>
      <c r="U143" s="577">
        <f t="shared" si="40"/>
        <v>12</v>
      </c>
      <c r="V143" s="431" t="s">
        <v>127</v>
      </c>
      <c r="AP143" s="1182" t="str">
        <f>IF(예산실적비교표!AL143&lt;&gt;"",예산실적비교표!AL143,"")</f>
        <v/>
      </c>
      <c r="AQ143" s="1183" t="str">
        <f>IF(예산실적비교표!AM143&lt;&gt;"",예산실적비교표!AM143,"")</f>
        <v/>
      </c>
      <c r="AR143" s="1184">
        <f>IF(예산실적비교표!AN143&lt;&gt;"",예산실적비교표!AN143,0)</f>
        <v>0</v>
      </c>
      <c r="AS143" s="1185">
        <f>IF(예산실적비교표!AO143&lt;&gt;"",예산실적비교표!AO143,0)</f>
        <v>0</v>
      </c>
      <c r="AT143" s="1118">
        <f t="shared" si="36"/>
        <v>0</v>
      </c>
      <c r="AU143" s="1186">
        <f>IF(예산실적비교표!AQ143&lt;&gt;"",예산실적비교표!AQ143,0)</f>
        <v>0</v>
      </c>
      <c r="AV143" s="1120">
        <f t="shared" si="37"/>
        <v>0</v>
      </c>
      <c r="AW143" s="1121">
        <f>IF(AR143="",0,ROUND((AT143*$AT$7)*데이터입력!$AF$14+(AT143*$AU$7)*데이터입력!$AF$14+(AT143*$AU$7*$AV$7)*데이터입력!$AF$14+(AT143*$AW$7)*데이터입력!$AF$14+(AT143*$AX$7)*데이터입력!$AF$14,-1))</f>
        <v>0</v>
      </c>
      <c r="AX143" s="1122">
        <f t="shared" si="38"/>
        <v>0</v>
      </c>
      <c r="AY143" s="1123">
        <f>IFERROR(IF(AR143+AS143=0,0,ROUND(IF(데이터입력!$AF$14=100%,ROUND(AR143*$AR$1,-3),ROUND(AR143*$AR$1,-3)-ROUND(((AR143*$AR$1)*$AT$4)*(데이터입력!$AF$14-100%)+((AR143*$AR$1)*$AU$4)*(데이터입력!$AF$14-100%)+((AR143*$AR$1)*$AU$4*$AV$4)*(데이터입력!$AF$14-100%)+((AR143*$AR$1)*$AW$4)*(데이터입력!$AF$14-100%),-1)),0)),0)</f>
        <v>0</v>
      </c>
      <c r="AZ143" s="1124">
        <f>IFERROR(IF(AR143+AS143=0,0,IF(데이터입력!$AF$12=100%,(AT143),(AT143)+ROUND(AT143*(데이터입력!$AF$12-100%),-1))),0)</f>
        <v>0</v>
      </c>
      <c r="BA143" s="1265" t="str">
        <f t="shared" si="39"/>
        <v/>
      </c>
      <c r="BB143" s="1264" t="str">
        <f>IF(BA143="","",IF(데이터입력!$O$68="",ROUND(AZ143/12,0),ROUND(데이터입력!$O$68/데이터입력!$Y$8/$BC$63,0)))</f>
        <v/>
      </c>
    </row>
    <row r="144" spans="1:54">
      <c r="O144" s="561"/>
      <c r="P144" s="705">
        <f t="shared" si="43"/>
        <v>0</v>
      </c>
      <c r="Q144" s="566">
        <v>0</v>
      </c>
      <c r="R144" s="520" t="str">
        <f>$R$76</f>
        <v>공공요금 및 각종 세금공과금</v>
      </c>
      <c r="S144" s="521" t="s">
        <v>82</v>
      </c>
      <c r="T144" s="483">
        <f t="shared" si="42"/>
        <v>0</v>
      </c>
      <c r="U144" s="577">
        <f t="shared" si="40"/>
        <v>12</v>
      </c>
      <c r="V144" s="431" t="s">
        <v>127</v>
      </c>
      <c r="AP144" s="1182" t="str">
        <f>IF(예산실적비교표!AL144&lt;&gt;"",예산실적비교표!AL144,"")</f>
        <v/>
      </c>
      <c r="AQ144" s="1183" t="str">
        <f>IF(예산실적비교표!AM144&lt;&gt;"",예산실적비교표!AM144,"")</f>
        <v/>
      </c>
      <c r="AR144" s="1184">
        <f>IF(예산실적비교표!AN144&lt;&gt;"",예산실적비교표!AN144,0)</f>
        <v>0</v>
      </c>
      <c r="AS144" s="1185">
        <f>IF(예산실적비교표!AO144&lt;&gt;"",예산실적비교표!AO144,0)</f>
        <v>0</v>
      </c>
      <c r="AT144" s="1118">
        <f t="shared" si="36"/>
        <v>0</v>
      </c>
      <c r="AU144" s="1186">
        <f>IF(예산실적비교표!AQ144&lt;&gt;"",예산실적비교표!AQ144,0)</f>
        <v>0</v>
      </c>
      <c r="AV144" s="1120">
        <f t="shared" si="37"/>
        <v>0</v>
      </c>
      <c r="AW144" s="1121">
        <f>IF(AR144="",0,ROUND((AT144*$AT$7)*데이터입력!$AF$14+(AT144*$AU$7)*데이터입력!$AF$14+(AT144*$AU$7*$AV$7)*데이터입력!$AF$14+(AT144*$AW$7)*데이터입력!$AF$14+(AT144*$AX$7)*데이터입력!$AF$14,-1))</f>
        <v>0</v>
      </c>
      <c r="AX144" s="1122">
        <f t="shared" si="38"/>
        <v>0</v>
      </c>
      <c r="AY144" s="1123">
        <f>IFERROR(IF(AR144+AS144=0,0,ROUND(IF(데이터입력!$AF$14=100%,ROUND(AR144*$AR$1,-3),ROUND(AR144*$AR$1,-3)-ROUND(((AR144*$AR$1)*$AT$4)*(데이터입력!$AF$14-100%)+((AR144*$AR$1)*$AU$4)*(데이터입력!$AF$14-100%)+((AR144*$AR$1)*$AU$4*$AV$4)*(데이터입력!$AF$14-100%)+((AR144*$AR$1)*$AW$4)*(데이터입력!$AF$14-100%),-1)),0)),0)</f>
        <v>0</v>
      </c>
      <c r="AZ144" s="1124">
        <f>IFERROR(IF(AR144+AS144=0,0,IF(데이터입력!$AF$12=100%,(AT144),(AT144)+ROUND(AT144*(데이터입력!$AF$12-100%),-1))),0)</f>
        <v>0</v>
      </c>
      <c r="BA144" s="1265" t="str">
        <f t="shared" si="39"/>
        <v/>
      </c>
      <c r="BB144" s="1264" t="str">
        <f>IF(BA144="","",IF(데이터입력!$O$68="",ROUND(AZ144/12,0),ROUND(데이터입력!$O$68/데이터입력!$Y$8/$BC$63,0)))</f>
        <v/>
      </c>
    </row>
    <row r="145" spans="15:54">
      <c r="O145" s="561"/>
      <c r="P145" s="705">
        <f t="shared" si="43"/>
        <v>0</v>
      </c>
      <c r="Q145" s="566">
        <v>0</v>
      </c>
      <c r="R145" s="520" t="s">
        <v>55</v>
      </c>
      <c r="S145" s="521" t="s">
        <v>82</v>
      </c>
      <c r="T145" s="483">
        <f t="shared" si="42"/>
        <v>0</v>
      </c>
      <c r="U145" s="577">
        <f t="shared" si="40"/>
        <v>12</v>
      </c>
      <c r="V145" s="431" t="s">
        <v>127</v>
      </c>
      <c r="AP145" s="1182" t="str">
        <f>IF(예산실적비교표!AL145&lt;&gt;"",예산실적비교표!AL145,"")</f>
        <v/>
      </c>
      <c r="AQ145" s="1183" t="str">
        <f>IF(예산실적비교표!AM145&lt;&gt;"",예산실적비교표!AM145,"")</f>
        <v/>
      </c>
      <c r="AR145" s="1184">
        <f>IF(예산실적비교표!AN145&lt;&gt;"",예산실적비교표!AN145,0)</f>
        <v>0</v>
      </c>
      <c r="AS145" s="1185">
        <f>IF(예산실적비교표!AO145&lt;&gt;"",예산실적비교표!AO145,0)</f>
        <v>0</v>
      </c>
      <c r="AT145" s="1118">
        <f t="shared" si="36"/>
        <v>0</v>
      </c>
      <c r="AU145" s="1186">
        <f>IF(예산실적비교표!AQ145&lt;&gt;"",예산실적비교표!AQ145,0)</f>
        <v>0</v>
      </c>
      <c r="AV145" s="1120">
        <f t="shared" si="37"/>
        <v>0</v>
      </c>
      <c r="AW145" s="1121">
        <f>IF(AR145="",0,ROUND((AT145*$AT$7)*데이터입력!$AF$14+(AT145*$AU$7)*데이터입력!$AF$14+(AT145*$AU$7*$AV$7)*데이터입력!$AF$14+(AT145*$AW$7)*데이터입력!$AF$14+(AT145*$AX$7)*데이터입력!$AF$14,-1))</f>
        <v>0</v>
      </c>
      <c r="AX145" s="1122">
        <f t="shared" si="38"/>
        <v>0</v>
      </c>
      <c r="AY145" s="1123">
        <f>IFERROR(IF(AR145+AS145=0,0,ROUND(IF(데이터입력!$AF$14=100%,ROUND(AR145*$AR$1,-3),ROUND(AR145*$AR$1,-3)-ROUND(((AR145*$AR$1)*$AT$4)*(데이터입력!$AF$14-100%)+((AR145*$AR$1)*$AU$4)*(데이터입력!$AF$14-100%)+((AR145*$AR$1)*$AU$4*$AV$4)*(데이터입력!$AF$14-100%)+((AR145*$AR$1)*$AW$4)*(데이터입력!$AF$14-100%),-1)),0)),0)</f>
        <v>0</v>
      </c>
      <c r="AZ145" s="1124">
        <f>IFERROR(IF(AR145+AS145=0,0,IF(데이터입력!$AF$12=100%,(AT145),(AT145)+ROUND(AT145*(데이터입력!$AF$12-100%),-1))),0)</f>
        <v>0</v>
      </c>
      <c r="BA145" s="1265" t="str">
        <f t="shared" si="39"/>
        <v/>
      </c>
      <c r="BB145" s="1264" t="str">
        <f>IF(BA145="","",IF(데이터입력!$O$68="",ROUND(AZ145/12,0),ROUND(데이터입력!$O$68/데이터입력!$Y$8/$BC$63,0)))</f>
        <v/>
      </c>
    </row>
    <row r="146" spans="15:54">
      <c r="O146" s="561"/>
      <c r="P146" s="924">
        <f t="shared" si="43"/>
        <v>0</v>
      </c>
      <c r="Q146" s="566">
        <v>0</v>
      </c>
      <c r="R146" s="520" t="s">
        <v>56</v>
      </c>
      <c r="S146" s="521" t="s">
        <v>82</v>
      </c>
      <c r="T146" s="483">
        <f t="shared" si="42"/>
        <v>0</v>
      </c>
      <c r="U146" s="577">
        <f t="shared" si="40"/>
        <v>12</v>
      </c>
      <c r="V146" s="431" t="s">
        <v>127</v>
      </c>
      <c r="AP146" s="1182" t="str">
        <f>IF(예산실적비교표!AL146&lt;&gt;"",예산실적비교표!AL146,"")</f>
        <v/>
      </c>
      <c r="AQ146" s="1183" t="str">
        <f>IF(예산실적비교표!AM146&lt;&gt;"",예산실적비교표!AM146,"")</f>
        <v/>
      </c>
      <c r="AR146" s="1184">
        <f>IF(예산실적비교표!AN146&lt;&gt;"",예산실적비교표!AN146,0)</f>
        <v>0</v>
      </c>
      <c r="AS146" s="1185">
        <f>IF(예산실적비교표!AO146&lt;&gt;"",예산실적비교표!AO146,0)</f>
        <v>0</v>
      </c>
      <c r="AT146" s="1118">
        <f t="shared" si="36"/>
        <v>0</v>
      </c>
      <c r="AU146" s="1186">
        <f>IF(예산실적비교표!AQ146&lt;&gt;"",예산실적비교표!AQ146,0)</f>
        <v>0</v>
      </c>
      <c r="AV146" s="1120">
        <f t="shared" si="37"/>
        <v>0</v>
      </c>
      <c r="AW146" s="1121">
        <f>IF(AR146="",0,ROUND((AT146*$AT$7)*데이터입력!$AF$14+(AT146*$AU$7)*데이터입력!$AF$14+(AT146*$AU$7*$AV$7)*데이터입력!$AF$14+(AT146*$AW$7)*데이터입력!$AF$14+(AT146*$AX$7)*데이터입력!$AF$14,-1))</f>
        <v>0</v>
      </c>
      <c r="AX146" s="1122">
        <f t="shared" si="38"/>
        <v>0</v>
      </c>
      <c r="AY146" s="1123">
        <f>IFERROR(IF(AR146+AS146=0,0,ROUND(IF(데이터입력!$AF$14=100%,ROUND(AR146*$AR$1,-3),ROUND(AR146*$AR$1,-3)-ROUND(((AR146*$AR$1)*$AT$4)*(데이터입력!$AF$14-100%)+((AR146*$AR$1)*$AU$4)*(데이터입력!$AF$14-100%)+((AR146*$AR$1)*$AU$4*$AV$4)*(데이터입력!$AF$14-100%)+((AR146*$AR$1)*$AW$4)*(데이터입력!$AF$14-100%),-1)),0)),0)</f>
        <v>0</v>
      </c>
      <c r="AZ146" s="1124">
        <f>IFERROR(IF(AR146+AS146=0,0,IF(데이터입력!$AF$12=100%,(AT146),(AT146)+ROUND(AT146*(데이터입력!$AF$12-100%),-1))),0)</f>
        <v>0</v>
      </c>
      <c r="BA146" s="1265" t="str">
        <f t="shared" si="39"/>
        <v/>
      </c>
      <c r="BB146" s="1264" t="str">
        <f>IF(BA146="","",IF(데이터입력!$O$68="",ROUND(AZ146/12,0),ROUND(데이터입력!$O$68/데이터입력!$Y$8/$BC$63,0)))</f>
        <v/>
      </c>
    </row>
    <row r="147" spans="15:54">
      <c r="O147" s="561"/>
      <c r="P147" s="924">
        <f>$AE$20</f>
        <v>0</v>
      </c>
      <c r="Q147" s="565"/>
      <c r="R147" s="520" t="s">
        <v>57</v>
      </c>
      <c r="S147" s="521" t="s">
        <v>82</v>
      </c>
      <c r="T147" s="483">
        <f t="shared" si="42"/>
        <v>0</v>
      </c>
      <c r="U147" s="577">
        <v>1</v>
      </c>
      <c r="V147" s="525" t="s">
        <v>130</v>
      </c>
      <c r="AP147" s="1182" t="str">
        <f>IF(예산실적비교표!AL147&lt;&gt;"",예산실적비교표!AL147,"")</f>
        <v/>
      </c>
      <c r="AQ147" s="1183" t="str">
        <f>IF(예산실적비교표!AM147&lt;&gt;"",예산실적비교표!AM147,"")</f>
        <v/>
      </c>
      <c r="AR147" s="1184">
        <f>IF(예산실적비교표!AN147&lt;&gt;"",예산실적비교표!AN147,0)</f>
        <v>0</v>
      </c>
      <c r="AS147" s="1185">
        <f>IF(예산실적비교표!AO147&lt;&gt;"",예산실적비교표!AO147,0)</f>
        <v>0</v>
      </c>
      <c r="AT147" s="1118">
        <f t="shared" si="36"/>
        <v>0</v>
      </c>
      <c r="AU147" s="1186">
        <f>IF(예산실적비교표!AQ147&lt;&gt;"",예산실적비교표!AQ147,0)</f>
        <v>0</v>
      </c>
      <c r="AV147" s="1120">
        <f t="shared" si="37"/>
        <v>0</v>
      </c>
      <c r="AW147" s="1121">
        <f>IF(AR147="",0,ROUND((AT147*$AT$7)*데이터입력!$AF$14+(AT147*$AU$7)*데이터입력!$AF$14+(AT147*$AU$7*$AV$7)*데이터입력!$AF$14+(AT147*$AW$7)*데이터입력!$AF$14+(AT147*$AX$7)*데이터입력!$AF$14,-1))</f>
        <v>0</v>
      </c>
      <c r="AX147" s="1122">
        <f t="shared" si="38"/>
        <v>0</v>
      </c>
      <c r="AY147" s="1123">
        <f>IFERROR(IF(AR147+AS147=0,0,ROUND(IF(데이터입력!$AF$14=100%,ROUND(AR147*$AR$1,-3),ROUND(AR147*$AR$1,-3)-ROUND(((AR147*$AR$1)*$AT$4)*(데이터입력!$AF$14-100%)+((AR147*$AR$1)*$AU$4)*(데이터입력!$AF$14-100%)+((AR147*$AR$1)*$AU$4*$AV$4)*(데이터입력!$AF$14-100%)+((AR147*$AR$1)*$AW$4)*(데이터입력!$AF$14-100%),-1)),0)),0)</f>
        <v>0</v>
      </c>
      <c r="AZ147" s="1124">
        <f>IFERROR(IF(AR147+AS147=0,0,IF(데이터입력!$AF$12=100%,(AT147),(AT147)+ROUND(AT147*(데이터입력!$AF$12-100%),-1))),0)</f>
        <v>0</v>
      </c>
      <c r="BA147" s="1265" t="str">
        <f t="shared" si="39"/>
        <v/>
      </c>
      <c r="BB147" s="1264" t="str">
        <f>IF(BA147="","",IF(데이터입력!$O$68="",ROUND(AZ147/12,0),ROUND(데이터입력!$O$68/데이터입력!$Y$8/$BC$63,0)))</f>
        <v/>
      </c>
    </row>
    <row r="148" spans="15:54">
      <c r="O148" s="561"/>
      <c r="P148" s="924">
        <f t="shared" si="43"/>
        <v>0</v>
      </c>
      <c r="Q148" s="566">
        <v>0</v>
      </c>
      <c r="R148" s="520" t="s">
        <v>58</v>
      </c>
      <c r="S148" s="521" t="s">
        <v>82</v>
      </c>
      <c r="T148" s="483">
        <f t="shared" si="42"/>
        <v>0</v>
      </c>
      <c r="U148" s="577">
        <f>IF(Q148=0,$Y$8,Q148)</f>
        <v>12</v>
      </c>
      <c r="V148" s="431" t="s">
        <v>145</v>
      </c>
      <c r="AP148" s="1182" t="str">
        <f>IF(예산실적비교표!AL148&lt;&gt;"",예산실적비교표!AL148,"")</f>
        <v/>
      </c>
      <c r="AQ148" s="1183" t="str">
        <f>IF(예산실적비교표!AM148&lt;&gt;"",예산실적비교표!AM148,"")</f>
        <v/>
      </c>
      <c r="AR148" s="1184">
        <f>IF(예산실적비교표!AN148&lt;&gt;"",예산실적비교표!AN148,0)</f>
        <v>0</v>
      </c>
      <c r="AS148" s="1185">
        <f>IF(예산실적비교표!AO148&lt;&gt;"",예산실적비교표!AO148,0)</f>
        <v>0</v>
      </c>
      <c r="AT148" s="1118">
        <f t="shared" si="36"/>
        <v>0</v>
      </c>
      <c r="AU148" s="1186">
        <f>IF(예산실적비교표!AQ148&lt;&gt;"",예산실적비교표!AQ148,0)</f>
        <v>0</v>
      </c>
      <c r="AV148" s="1120">
        <f t="shared" si="37"/>
        <v>0</v>
      </c>
      <c r="AW148" s="1121">
        <f>IF(AR148="",0,ROUND((AT148*$AT$7)*데이터입력!$AF$14+(AT148*$AU$7)*데이터입력!$AF$14+(AT148*$AU$7*$AV$7)*데이터입력!$AF$14+(AT148*$AW$7)*데이터입력!$AF$14+(AT148*$AX$7)*데이터입력!$AF$14,-1))</f>
        <v>0</v>
      </c>
      <c r="AX148" s="1122">
        <f t="shared" si="38"/>
        <v>0</v>
      </c>
      <c r="AY148" s="1123">
        <f>IFERROR(IF(AR148+AS148=0,0,ROUND(IF(데이터입력!$AF$14=100%,ROUND(AR148*$AR$1,-3),ROUND(AR148*$AR$1,-3)-ROUND(((AR148*$AR$1)*$AT$4)*(데이터입력!$AF$14-100%)+((AR148*$AR$1)*$AU$4)*(데이터입력!$AF$14-100%)+((AR148*$AR$1)*$AU$4*$AV$4)*(데이터입력!$AF$14-100%)+((AR148*$AR$1)*$AW$4)*(데이터입력!$AF$14-100%),-1)),0)),0)</f>
        <v>0</v>
      </c>
      <c r="AZ148" s="1124">
        <f>IFERROR(IF(AR148+AS148=0,0,IF(데이터입력!$AF$12=100%,(AT148),(AT148)+ROUND(AT148*(데이터입력!$AF$12-100%),-1))),0)</f>
        <v>0</v>
      </c>
      <c r="BA148" s="1265" t="str">
        <f t="shared" si="39"/>
        <v/>
      </c>
      <c r="BB148" s="1264" t="str">
        <f>IF(BA148="","",IF(데이터입력!$O$68="",ROUND(AZ148/12,0),ROUND(데이터입력!$O$68/데이터입력!$Y$8/$BC$63,0)))</f>
        <v/>
      </c>
    </row>
    <row r="149" spans="15:54">
      <c r="O149" s="561"/>
      <c r="P149" s="924">
        <f t="shared" si="43"/>
        <v>0</v>
      </c>
      <c r="Q149" s="566">
        <v>0</v>
      </c>
      <c r="R149" s="520" t="s">
        <v>59</v>
      </c>
      <c r="S149" s="521" t="s">
        <v>82</v>
      </c>
      <c r="T149" s="483">
        <f t="shared" si="42"/>
        <v>0</v>
      </c>
      <c r="U149" s="577">
        <f>IF(Q149=0,$Y$8,Q149)</f>
        <v>12</v>
      </c>
      <c r="V149" s="431" t="s">
        <v>127</v>
      </c>
      <c r="AP149" s="1182" t="str">
        <f>IF(예산실적비교표!AL149&lt;&gt;"",예산실적비교표!AL149,"")</f>
        <v/>
      </c>
      <c r="AQ149" s="1183" t="str">
        <f>IF(예산실적비교표!AM149&lt;&gt;"",예산실적비교표!AM149,"")</f>
        <v/>
      </c>
      <c r="AR149" s="1184">
        <f>IF(예산실적비교표!AN149&lt;&gt;"",예산실적비교표!AN149,0)</f>
        <v>0</v>
      </c>
      <c r="AS149" s="1185">
        <f>IF(예산실적비교표!AO149&lt;&gt;"",예산실적비교표!AO149,0)</f>
        <v>0</v>
      </c>
      <c r="AT149" s="1118">
        <f t="shared" si="36"/>
        <v>0</v>
      </c>
      <c r="AU149" s="1186">
        <f>IF(예산실적비교표!AQ149&lt;&gt;"",예산실적비교표!AQ149,0)</f>
        <v>0</v>
      </c>
      <c r="AV149" s="1120">
        <f t="shared" si="37"/>
        <v>0</v>
      </c>
      <c r="AW149" s="1121">
        <f>IF(AR149="",0,ROUND((AT149*$AT$7)*데이터입력!$AF$14+(AT149*$AU$7)*데이터입력!$AF$14+(AT149*$AU$7*$AV$7)*데이터입력!$AF$14+(AT149*$AW$7)*데이터입력!$AF$14+(AT149*$AX$7)*데이터입력!$AF$14,-1))</f>
        <v>0</v>
      </c>
      <c r="AX149" s="1122">
        <f t="shared" si="38"/>
        <v>0</v>
      </c>
      <c r="AY149" s="1123">
        <f>IFERROR(IF(AR149+AS149=0,0,ROUND(IF(데이터입력!$AF$14=100%,ROUND(AR149*$AR$1,-3),ROUND(AR149*$AR$1,-3)-ROUND(((AR149*$AR$1)*$AT$4)*(데이터입력!$AF$14-100%)+((AR149*$AR$1)*$AU$4)*(데이터입력!$AF$14-100%)+((AR149*$AR$1)*$AU$4*$AV$4)*(데이터입력!$AF$14-100%)+((AR149*$AR$1)*$AW$4)*(데이터입력!$AF$14-100%),-1)),0)),0)</f>
        <v>0</v>
      </c>
      <c r="AZ149" s="1124">
        <f>IFERROR(IF(AR149+AS149=0,0,IF(데이터입력!$AF$12=100%,(AT149),(AT149)+ROUND(AT149*(데이터입력!$AF$12-100%),-1))),0)</f>
        <v>0</v>
      </c>
      <c r="BA149" s="1265" t="str">
        <f t="shared" si="39"/>
        <v/>
      </c>
      <c r="BB149" s="1264" t="str">
        <f>IF(BA149="","",IF(데이터입력!$O$68="",ROUND(AZ149/12,0),ROUND(데이터입력!$O$68/데이터입력!$Y$8/$BC$63,0)))</f>
        <v/>
      </c>
    </row>
    <row r="150" spans="15:54">
      <c r="O150" s="561"/>
      <c r="P150" s="924">
        <f t="shared" si="43"/>
        <v>0</v>
      </c>
      <c r="Q150" s="566">
        <v>0</v>
      </c>
      <c r="R150" s="520" t="s">
        <v>60</v>
      </c>
      <c r="S150" s="521" t="s">
        <v>82</v>
      </c>
      <c r="T150" s="483">
        <f t="shared" si="42"/>
        <v>0</v>
      </c>
      <c r="U150" s="577">
        <f>IF(Q150=0,$Y$8,Q150)</f>
        <v>12</v>
      </c>
      <c r="V150" s="431" t="s">
        <v>127</v>
      </c>
      <c r="AP150" s="1182" t="str">
        <f>IF(예산실적비교표!AL150&lt;&gt;"",예산실적비교표!AL150,"")</f>
        <v/>
      </c>
      <c r="AQ150" s="1183" t="str">
        <f>IF(예산실적비교표!AM150&lt;&gt;"",예산실적비교표!AM150,"")</f>
        <v/>
      </c>
      <c r="AR150" s="1184">
        <f>IF(예산실적비교표!AN150&lt;&gt;"",예산실적비교표!AN150,0)</f>
        <v>0</v>
      </c>
      <c r="AS150" s="1185">
        <f>IF(예산실적비교표!AO150&lt;&gt;"",예산실적비교표!AO150,0)</f>
        <v>0</v>
      </c>
      <c r="AT150" s="1118">
        <f t="shared" si="36"/>
        <v>0</v>
      </c>
      <c r="AU150" s="1186">
        <f>IF(예산실적비교표!AQ150&lt;&gt;"",예산실적비교표!AQ150,0)</f>
        <v>0</v>
      </c>
      <c r="AV150" s="1120">
        <f t="shared" si="37"/>
        <v>0</v>
      </c>
      <c r="AW150" s="1121">
        <f>IF(AR150="",0,ROUND((AT150*$AT$7)*데이터입력!$AF$14+(AT150*$AU$7)*데이터입력!$AF$14+(AT150*$AU$7*$AV$7)*데이터입력!$AF$14+(AT150*$AW$7)*데이터입력!$AF$14+(AT150*$AX$7)*데이터입력!$AF$14,-1))</f>
        <v>0</v>
      </c>
      <c r="AX150" s="1122">
        <f t="shared" si="38"/>
        <v>0</v>
      </c>
      <c r="AY150" s="1123">
        <f>IFERROR(IF(AR150+AS150=0,0,ROUND(IF(데이터입력!$AF$14=100%,ROUND(AR150*$AR$1,-3),ROUND(AR150*$AR$1,-3)-ROUND(((AR150*$AR$1)*$AT$4)*(데이터입력!$AF$14-100%)+((AR150*$AR$1)*$AU$4)*(데이터입력!$AF$14-100%)+((AR150*$AR$1)*$AU$4*$AV$4)*(데이터입력!$AF$14-100%)+((AR150*$AR$1)*$AW$4)*(데이터입력!$AF$14-100%),-1)),0)),0)</f>
        <v>0</v>
      </c>
      <c r="AZ150" s="1124">
        <f>IFERROR(IF(AR150+AS150=0,0,IF(데이터입력!$AF$12=100%,(AT150),(AT150)+ROUND(AT150*(데이터입력!$AF$12-100%),-1))),0)</f>
        <v>0</v>
      </c>
      <c r="BA150" s="1265" t="str">
        <f t="shared" si="39"/>
        <v/>
      </c>
      <c r="BB150" s="1264" t="str">
        <f>IF(BA150="","",IF(데이터입력!$O$68="",ROUND(AZ150/12,0),ROUND(데이터입력!$O$68/데이터입력!$Y$8/$BC$63,0)))</f>
        <v/>
      </c>
    </row>
    <row r="151" spans="15:54">
      <c r="O151" s="561"/>
      <c r="P151" s="924">
        <f>$AE$21</f>
        <v>0</v>
      </c>
      <c r="Q151" s="565"/>
      <c r="R151" s="520" t="s">
        <v>61</v>
      </c>
      <c r="S151" s="521" t="s">
        <v>82</v>
      </c>
      <c r="T151" s="483">
        <f t="shared" si="42"/>
        <v>0</v>
      </c>
      <c r="U151" s="577">
        <v>1</v>
      </c>
      <c r="V151" s="525" t="s">
        <v>130</v>
      </c>
      <c r="AP151" s="1182" t="str">
        <f>IF(예산실적비교표!AL151&lt;&gt;"",예산실적비교표!AL151,"")</f>
        <v/>
      </c>
      <c r="AQ151" s="1183" t="str">
        <f>IF(예산실적비교표!AM151&lt;&gt;"",예산실적비교표!AM151,"")</f>
        <v/>
      </c>
      <c r="AR151" s="1184">
        <f>IF(예산실적비교표!AN151&lt;&gt;"",예산실적비교표!AN151,0)</f>
        <v>0</v>
      </c>
      <c r="AS151" s="1185">
        <f>IF(예산실적비교표!AO151&lt;&gt;"",예산실적비교표!AO151,0)</f>
        <v>0</v>
      </c>
      <c r="AT151" s="1118">
        <f t="shared" si="36"/>
        <v>0</v>
      </c>
      <c r="AU151" s="1186">
        <f>IF(예산실적비교표!AQ151&lt;&gt;"",예산실적비교표!AQ151,0)</f>
        <v>0</v>
      </c>
      <c r="AV151" s="1120">
        <f t="shared" si="37"/>
        <v>0</v>
      </c>
      <c r="AW151" s="1121">
        <f>IF(AR151="",0,ROUND((AT151*$AT$7)*데이터입력!$AF$14+(AT151*$AU$7)*데이터입력!$AF$14+(AT151*$AU$7*$AV$7)*데이터입력!$AF$14+(AT151*$AW$7)*데이터입력!$AF$14+(AT151*$AX$7)*데이터입력!$AF$14,-1))</f>
        <v>0</v>
      </c>
      <c r="AX151" s="1122">
        <f t="shared" si="38"/>
        <v>0</v>
      </c>
      <c r="AY151" s="1123">
        <f>IFERROR(IF(AR151+AS151=0,0,ROUND(IF(데이터입력!$AF$14=100%,ROUND(AR151*$AR$1,-3),ROUND(AR151*$AR$1,-3)-ROUND(((AR151*$AR$1)*$AT$4)*(데이터입력!$AF$14-100%)+((AR151*$AR$1)*$AU$4)*(데이터입력!$AF$14-100%)+((AR151*$AR$1)*$AU$4*$AV$4)*(데이터입력!$AF$14-100%)+((AR151*$AR$1)*$AW$4)*(데이터입력!$AF$14-100%),-1)),0)),0)</f>
        <v>0</v>
      </c>
      <c r="AZ151" s="1124">
        <f>IFERROR(IF(AR151+AS151=0,0,IF(데이터입력!$AF$12=100%,(AT151),(AT151)+ROUND(AT151*(데이터입력!$AF$12-100%),-1))),0)</f>
        <v>0</v>
      </c>
      <c r="BA151" s="1265" t="str">
        <f t="shared" si="39"/>
        <v/>
      </c>
      <c r="BB151" s="1264" t="str">
        <f>IF(BA151="","",IF(데이터입력!$O$68="",ROUND(AZ151/12,0),ROUND(데이터입력!$O$68/데이터입력!$Y$8/$BC$63,0)))</f>
        <v/>
      </c>
    </row>
    <row r="152" spans="15:54">
      <c r="O152" s="561"/>
      <c r="P152" s="924">
        <f>$AE$22</f>
        <v>0</v>
      </c>
      <c r="Q152" s="565"/>
      <c r="R152" s="520" t="s">
        <v>62</v>
      </c>
      <c r="S152" s="521" t="s">
        <v>82</v>
      </c>
      <c r="T152" s="483">
        <f t="shared" si="42"/>
        <v>0</v>
      </c>
      <c r="U152" s="577">
        <v>1</v>
      </c>
      <c r="V152" s="525" t="s">
        <v>130</v>
      </c>
      <c r="AP152" s="1182" t="str">
        <f>IF(예산실적비교표!AL152&lt;&gt;"",예산실적비교표!AL152,"")</f>
        <v/>
      </c>
      <c r="AQ152" s="1183" t="str">
        <f>IF(예산실적비교표!AM152&lt;&gt;"",예산실적비교표!AM152,"")</f>
        <v/>
      </c>
      <c r="AR152" s="1184">
        <f>IF(예산실적비교표!AN152&lt;&gt;"",예산실적비교표!AN152,0)</f>
        <v>0</v>
      </c>
      <c r="AS152" s="1185">
        <f>IF(예산실적비교표!AO152&lt;&gt;"",예산실적비교표!AO152,0)</f>
        <v>0</v>
      </c>
      <c r="AT152" s="1118">
        <f t="shared" si="36"/>
        <v>0</v>
      </c>
      <c r="AU152" s="1186">
        <f>IF(예산실적비교표!AQ152&lt;&gt;"",예산실적비교표!AQ152,0)</f>
        <v>0</v>
      </c>
      <c r="AV152" s="1120">
        <f t="shared" si="37"/>
        <v>0</v>
      </c>
      <c r="AW152" s="1121">
        <f>IF(AR152="",0,ROUND((AT152*$AT$7)*데이터입력!$AF$14+(AT152*$AU$7)*데이터입력!$AF$14+(AT152*$AU$7*$AV$7)*데이터입력!$AF$14+(AT152*$AW$7)*데이터입력!$AF$14+(AT152*$AX$7)*데이터입력!$AF$14,-1))</f>
        <v>0</v>
      </c>
      <c r="AX152" s="1122">
        <f t="shared" si="38"/>
        <v>0</v>
      </c>
      <c r="AY152" s="1123">
        <f>IFERROR(IF(AR152+AS152=0,0,ROUND(IF(데이터입력!$AF$14=100%,ROUND(AR152*$AR$1,-3),ROUND(AR152*$AR$1,-3)-ROUND(((AR152*$AR$1)*$AT$4)*(데이터입력!$AF$14-100%)+((AR152*$AR$1)*$AU$4)*(데이터입력!$AF$14-100%)+((AR152*$AR$1)*$AU$4*$AV$4)*(데이터입력!$AF$14-100%)+((AR152*$AR$1)*$AW$4)*(데이터입력!$AF$14-100%),-1)),0)),0)</f>
        <v>0</v>
      </c>
      <c r="AZ152" s="1124">
        <f>IFERROR(IF(AR152+AS152=0,0,IF(데이터입력!$AF$12=100%,(AT152),(AT152)+ROUND(AT152*(데이터입력!$AF$12-100%),-1))),0)</f>
        <v>0</v>
      </c>
      <c r="BA152" s="1265" t="str">
        <f t="shared" si="39"/>
        <v/>
      </c>
      <c r="BB152" s="1264" t="str">
        <f>IF(BA152="","",IF(데이터입력!$O$68="",ROUND(AZ152/12,0),ROUND(데이터입력!$O$68/데이터입력!$Y$8/$BC$63,0)))</f>
        <v/>
      </c>
    </row>
    <row r="153" spans="15:54">
      <c r="O153" s="561"/>
      <c r="P153" s="924">
        <f t="shared" ref="P153:P155" si="44">IFERROR(IF(VLOOKUP(R153,$B$111:$L$137,11,FALSE)&gt;VLOOKUP(R153,$B$111:$L$137,6,FALSE),VLOOKUP(R153,$B$111:$L$137,11,FALSE),VLOOKUP(R153,$B$111:$L$137,6,FALSE)),0)</f>
        <v>0</v>
      </c>
      <c r="Q153" s="566">
        <v>0</v>
      </c>
      <c r="R153" s="520" t="s">
        <v>63</v>
      </c>
      <c r="S153" s="521" t="s">
        <v>82</v>
      </c>
      <c r="T153" s="483">
        <f t="shared" si="42"/>
        <v>0</v>
      </c>
      <c r="U153" s="577">
        <f>IF(Q153=0,$Y$8,Q153)</f>
        <v>12</v>
      </c>
      <c r="V153" s="431" t="s">
        <v>127</v>
      </c>
      <c r="AP153" s="1182" t="str">
        <f>IF(예산실적비교표!AL153&lt;&gt;"",예산실적비교표!AL153,"")</f>
        <v/>
      </c>
      <c r="AQ153" s="1183" t="str">
        <f>IF(예산실적비교표!AM153&lt;&gt;"",예산실적비교표!AM153,"")</f>
        <v/>
      </c>
      <c r="AR153" s="1184">
        <f>IF(예산실적비교표!AN153&lt;&gt;"",예산실적비교표!AN153,0)</f>
        <v>0</v>
      </c>
      <c r="AS153" s="1185">
        <f>IF(예산실적비교표!AO153&lt;&gt;"",예산실적비교표!AO153,0)</f>
        <v>0</v>
      </c>
      <c r="AT153" s="1118">
        <f t="shared" si="36"/>
        <v>0</v>
      </c>
      <c r="AU153" s="1186">
        <f>IF(예산실적비교표!AQ153&lt;&gt;"",예산실적비교표!AQ153,0)</f>
        <v>0</v>
      </c>
      <c r="AV153" s="1120">
        <f t="shared" si="37"/>
        <v>0</v>
      </c>
      <c r="AW153" s="1121">
        <f>IF(AR153="",0,ROUND((AT153*$AT$7)*데이터입력!$AF$14+(AT153*$AU$7)*데이터입력!$AF$14+(AT153*$AU$7*$AV$7)*데이터입력!$AF$14+(AT153*$AW$7)*데이터입력!$AF$14+(AT153*$AX$7)*데이터입력!$AF$14,-1))</f>
        <v>0</v>
      </c>
      <c r="AX153" s="1122">
        <f t="shared" si="38"/>
        <v>0</v>
      </c>
      <c r="AY153" s="1123">
        <f>IFERROR(IF(AR153+AS153=0,0,ROUND(IF(데이터입력!$AF$14=100%,ROUND(AR153*$AR$1,-3),ROUND(AR153*$AR$1,-3)-ROUND(((AR153*$AR$1)*$AT$4)*(데이터입력!$AF$14-100%)+((AR153*$AR$1)*$AU$4)*(데이터입력!$AF$14-100%)+((AR153*$AR$1)*$AU$4*$AV$4)*(데이터입력!$AF$14-100%)+((AR153*$AR$1)*$AW$4)*(데이터입력!$AF$14-100%),-1)),0)),0)</f>
        <v>0</v>
      </c>
      <c r="AZ153" s="1124">
        <f>IFERROR(IF(AR153+AS153=0,0,IF(데이터입력!$AF$12=100%,(AT153),(AT153)+ROUND(AT153*(데이터입력!$AF$12-100%),-1))),0)</f>
        <v>0</v>
      </c>
      <c r="BA153" s="1265" t="str">
        <f t="shared" si="39"/>
        <v/>
      </c>
      <c r="BB153" s="1264" t="str">
        <f>IF(BA153="","",IF(데이터입력!$O$68="",ROUND(AZ153/12,0),ROUND(데이터입력!$O$68/데이터입력!$Y$8/$BC$63,0)))</f>
        <v/>
      </c>
    </row>
    <row r="154" spans="15:54">
      <c r="O154" s="561"/>
      <c r="P154" s="924">
        <f t="shared" si="44"/>
        <v>0</v>
      </c>
      <c r="Q154" s="566">
        <v>0</v>
      </c>
      <c r="R154" s="520" t="s">
        <v>64</v>
      </c>
      <c r="S154" s="521" t="s">
        <v>82</v>
      </c>
      <c r="T154" s="483">
        <f t="shared" si="42"/>
        <v>0</v>
      </c>
      <c r="U154" s="577">
        <f>IF(Q154=0,$Y$8,Q154)</f>
        <v>12</v>
      </c>
      <c r="V154" s="431" t="s">
        <v>127</v>
      </c>
      <c r="AP154" s="1182" t="str">
        <f>IF(예산실적비교표!AL154&lt;&gt;"",예산실적비교표!AL154,"")</f>
        <v/>
      </c>
      <c r="AQ154" s="1183" t="str">
        <f>IF(예산실적비교표!AM154&lt;&gt;"",예산실적비교표!AM154,"")</f>
        <v/>
      </c>
      <c r="AR154" s="1184">
        <f>IF(예산실적비교표!AN154&lt;&gt;"",예산실적비교표!AN154,0)</f>
        <v>0</v>
      </c>
      <c r="AS154" s="1185">
        <f>IF(예산실적비교표!AO154&lt;&gt;"",예산실적비교표!AO154,0)</f>
        <v>0</v>
      </c>
      <c r="AT154" s="1118">
        <f t="shared" si="36"/>
        <v>0</v>
      </c>
      <c r="AU154" s="1186">
        <f>IF(예산실적비교표!AQ154&lt;&gt;"",예산실적비교표!AQ154,0)</f>
        <v>0</v>
      </c>
      <c r="AV154" s="1120">
        <f t="shared" si="37"/>
        <v>0</v>
      </c>
      <c r="AW154" s="1121">
        <f>IF(AR154="",0,ROUND((AT154*$AT$7)*데이터입력!$AF$14+(AT154*$AU$7)*데이터입력!$AF$14+(AT154*$AU$7*$AV$7)*데이터입력!$AF$14+(AT154*$AW$7)*데이터입력!$AF$14+(AT154*$AX$7)*데이터입력!$AF$14,-1))</f>
        <v>0</v>
      </c>
      <c r="AX154" s="1122">
        <f t="shared" si="38"/>
        <v>0</v>
      </c>
      <c r="AY154" s="1123">
        <f>IFERROR(IF(AR154+AS154=0,0,ROUND(IF(데이터입력!$AF$14=100%,ROUND(AR154*$AR$1,-3),ROUND(AR154*$AR$1,-3)-ROUND(((AR154*$AR$1)*$AT$4)*(데이터입력!$AF$14-100%)+((AR154*$AR$1)*$AU$4)*(데이터입력!$AF$14-100%)+((AR154*$AR$1)*$AU$4*$AV$4)*(데이터입력!$AF$14-100%)+((AR154*$AR$1)*$AW$4)*(데이터입력!$AF$14-100%),-1)),0)),0)</f>
        <v>0</v>
      </c>
      <c r="AZ154" s="1124">
        <f>IFERROR(IF(AR154+AS154=0,0,IF(데이터입력!$AF$12=100%,(AT154),(AT154)+ROUND(AT154*(데이터입력!$AF$12-100%),-1))),0)</f>
        <v>0</v>
      </c>
      <c r="BA154" s="1265" t="str">
        <f t="shared" si="39"/>
        <v/>
      </c>
      <c r="BB154" s="1264" t="str">
        <f>IF(BA154="","",IF(데이터입력!$O$68="",ROUND(AZ154/12,0),ROUND(데이터입력!$O$68/데이터입력!$Y$8/$BC$63,0)))</f>
        <v/>
      </c>
    </row>
    <row r="155" spans="15:54" ht="17.25" thickBot="1">
      <c r="O155" s="563"/>
      <c r="P155" s="925">
        <f t="shared" si="44"/>
        <v>0</v>
      </c>
      <c r="Q155" s="567">
        <v>0</v>
      </c>
      <c r="R155" s="526" t="s">
        <v>65</v>
      </c>
      <c r="S155" s="527" t="s">
        <v>82</v>
      </c>
      <c r="T155" s="488">
        <f t="shared" si="42"/>
        <v>0</v>
      </c>
      <c r="U155" s="578">
        <f>IF(Q155=0,$Y$8,Q155)</f>
        <v>12</v>
      </c>
      <c r="V155" s="476" t="s">
        <v>127</v>
      </c>
      <c r="AP155" s="1182" t="str">
        <f>IF(예산실적비교표!AL155&lt;&gt;"",예산실적비교표!AL155,"")</f>
        <v/>
      </c>
      <c r="AQ155" s="1183" t="str">
        <f>IF(예산실적비교표!AM155&lt;&gt;"",예산실적비교표!AM155,"")</f>
        <v/>
      </c>
      <c r="AR155" s="1184">
        <f>IF(예산실적비교표!AN155&lt;&gt;"",예산실적비교표!AN155,0)</f>
        <v>0</v>
      </c>
      <c r="AS155" s="1185">
        <f>IF(예산실적비교표!AO155&lt;&gt;"",예산실적비교표!AO155,0)</f>
        <v>0</v>
      </c>
      <c r="AT155" s="1118">
        <f t="shared" si="36"/>
        <v>0</v>
      </c>
      <c r="AU155" s="1186">
        <f>IF(예산실적비교표!AQ155&lt;&gt;"",예산실적비교표!AQ155,0)</f>
        <v>0</v>
      </c>
      <c r="AV155" s="1120">
        <f t="shared" si="37"/>
        <v>0</v>
      </c>
      <c r="AW155" s="1121">
        <f>IF(AR155="",0,ROUND((AT155*$AT$7)*데이터입력!$AF$14+(AT155*$AU$7)*데이터입력!$AF$14+(AT155*$AU$7*$AV$7)*데이터입력!$AF$14+(AT155*$AW$7)*데이터입력!$AF$14+(AT155*$AX$7)*데이터입력!$AF$14,-1))</f>
        <v>0</v>
      </c>
      <c r="AX155" s="1122">
        <f t="shared" si="38"/>
        <v>0</v>
      </c>
      <c r="AY155" s="1123">
        <f>IFERROR(IF(AR155+AS155=0,0,ROUND(IF(데이터입력!$AF$14=100%,ROUND(AR155*$AR$1,-3),ROUND(AR155*$AR$1,-3)-ROUND(((AR155*$AR$1)*$AT$4)*(데이터입력!$AF$14-100%)+((AR155*$AR$1)*$AU$4)*(데이터입력!$AF$14-100%)+((AR155*$AR$1)*$AU$4*$AV$4)*(데이터입력!$AF$14-100%)+((AR155*$AR$1)*$AW$4)*(데이터입력!$AF$14-100%),-1)),0)),0)</f>
        <v>0</v>
      </c>
      <c r="AZ155" s="1124">
        <f>IFERROR(IF(AR155+AS155=0,0,IF(데이터입력!$AF$12=100%,(AT155),(AT155)+ROUND(AT155*(데이터입력!$AF$12-100%),-1))),0)</f>
        <v>0</v>
      </c>
      <c r="BA155" s="1265" t="str">
        <f t="shared" si="39"/>
        <v/>
      </c>
      <c r="BB155" s="1264" t="str">
        <f>IF(BA155="","",IF(데이터입력!$O$68="",ROUND(AZ155/12,0),ROUND(데이터입력!$O$68/데이터입력!$Y$8/$BC$63,0)))</f>
        <v/>
      </c>
    </row>
    <row r="156" spans="15:54">
      <c r="AP156" s="1182" t="str">
        <f>IF(예산실적비교표!AL156&lt;&gt;"",예산실적비교표!AL156,"")</f>
        <v/>
      </c>
      <c r="AQ156" s="1183" t="str">
        <f>IF(예산실적비교표!AM156&lt;&gt;"",예산실적비교표!AM156,"")</f>
        <v/>
      </c>
      <c r="AR156" s="1184">
        <f>IF(예산실적비교표!AN156&lt;&gt;"",예산실적비교표!AN156,0)</f>
        <v>0</v>
      </c>
      <c r="AS156" s="1185">
        <f>IF(예산실적비교표!AO156&lt;&gt;"",예산실적비교표!AO156,0)</f>
        <v>0</v>
      </c>
      <c r="AT156" s="1118">
        <f t="shared" si="36"/>
        <v>0</v>
      </c>
      <c r="AU156" s="1186">
        <f>IF(예산실적비교표!AQ156&lt;&gt;"",예산실적비교표!AQ156,0)</f>
        <v>0</v>
      </c>
      <c r="AV156" s="1120">
        <f t="shared" si="37"/>
        <v>0</v>
      </c>
      <c r="AW156" s="1121">
        <f>IF(AR156="",0,ROUND((AT156*$AT$7)*데이터입력!$AF$14+(AT156*$AU$7)*데이터입력!$AF$14+(AT156*$AU$7*$AV$7)*데이터입력!$AF$14+(AT156*$AW$7)*데이터입력!$AF$14+(AT156*$AX$7)*데이터입력!$AF$14,-1))</f>
        <v>0</v>
      </c>
      <c r="AX156" s="1122">
        <f t="shared" si="38"/>
        <v>0</v>
      </c>
      <c r="AY156" s="1123">
        <f>IFERROR(IF(AR156+AS156=0,0,ROUND(IF(데이터입력!$AF$14=100%,ROUND(AR156*$AR$1,-3),ROUND(AR156*$AR$1,-3)-ROUND(((AR156*$AR$1)*$AT$4)*(데이터입력!$AF$14-100%)+((AR156*$AR$1)*$AU$4)*(데이터입력!$AF$14-100%)+((AR156*$AR$1)*$AU$4*$AV$4)*(데이터입력!$AF$14-100%)+((AR156*$AR$1)*$AW$4)*(데이터입력!$AF$14-100%),-1)),0)),0)</f>
        <v>0</v>
      </c>
      <c r="AZ156" s="1124">
        <f>IFERROR(IF(AR156+AS156=0,0,IF(데이터입력!$AF$12=100%,(AT156),(AT156)+ROUND(AT156*(데이터입력!$AF$12-100%),-1))),0)</f>
        <v>0</v>
      </c>
      <c r="BA156" s="1265" t="str">
        <f t="shared" si="39"/>
        <v/>
      </c>
      <c r="BB156" s="1264" t="str">
        <f>IF(BA156="","",IF(데이터입력!$O$68="",ROUND(AZ156/12,0),ROUND(데이터입력!$O$68/데이터입력!$Y$8/$BC$63,0)))</f>
        <v/>
      </c>
    </row>
    <row r="157" spans="15:54">
      <c r="AP157" s="1182" t="str">
        <f>IF(예산실적비교표!AL157&lt;&gt;"",예산실적비교표!AL157,"")</f>
        <v/>
      </c>
      <c r="AQ157" s="1183" t="str">
        <f>IF(예산실적비교표!AM157&lt;&gt;"",예산실적비교표!AM157,"")</f>
        <v/>
      </c>
      <c r="AR157" s="1184">
        <f>IF(예산실적비교표!AN157&lt;&gt;"",예산실적비교표!AN157,0)</f>
        <v>0</v>
      </c>
      <c r="AS157" s="1185">
        <f>IF(예산실적비교표!AO157&lt;&gt;"",예산실적비교표!AO157,0)</f>
        <v>0</v>
      </c>
      <c r="AT157" s="1118">
        <f t="shared" si="36"/>
        <v>0</v>
      </c>
      <c r="AU157" s="1186">
        <f>IF(예산실적비교표!AQ157&lt;&gt;"",예산실적비교표!AQ157,0)</f>
        <v>0</v>
      </c>
      <c r="AV157" s="1120">
        <f t="shared" si="37"/>
        <v>0</v>
      </c>
      <c r="AW157" s="1121">
        <f>IF(AR157="",0,ROUND((AT157*$AT$7)*데이터입력!$AF$14+(AT157*$AU$7)*데이터입력!$AF$14+(AT157*$AU$7*$AV$7)*데이터입력!$AF$14+(AT157*$AW$7)*데이터입력!$AF$14+(AT157*$AX$7)*데이터입력!$AF$14,-1))</f>
        <v>0</v>
      </c>
      <c r="AX157" s="1122">
        <f t="shared" si="38"/>
        <v>0</v>
      </c>
      <c r="AY157" s="1123">
        <f>IFERROR(IF(AR157+AS157=0,0,ROUND(IF(데이터입력!$AF$14=100%,ROUND(AR157*$AR$1,-3),ROUND(AR157*$AR$1,-3)-ROUND(((AR157*$AR$1)*$AT$4)*(데이터입력!$AF$14-100%)+((AR157*$AR$1)*$AU$4)*(데이터입력!$AF$14-100%)+((AR157*$AR$1)*$AU$4*$AV$4)*(데이터입력!$AF$14-100%)+((AR157*$AR$1)*$AW$4)*(데이터입력!$AF$14-100%),-1)),0)),0)</f>
        <v>0</v>
      </c>
      <c r="AZ157" s="1124">
        <f>IFERROR(IF(AR157+AS157=0,0,IF(데이터입력!$AF$12=100%,(AT157),(AT157)+ROUND(AT157*(데이터입력!$AF$12-100%),-1))),0)</f>
        <v>0</v>
      </c>
      <c r="BA157" s="1265" t="str">
        <f t="shared" si="39"/>
        <v/>
      </c>
      <c r="BB157" s="1264" t="str">
        <f>IF(BA157="","",IF(데이터입력!$O$68="",ROUND(AZ157/12,0),ROUND(데이터입력!$O$68/데이터입력!$Y$8/$BC$63,0)))</f>
        <v/>
      </c>
    </row>
    <row r="158" spans="15:54">
      <c r="AP158" s="1182" t="str">
        <f>IF(예산실적비교표!AL158&lt;&gt;"",예산실적비교표!AL158,"")</f>
        <v/>
      </c>
      <c r="AQ158" s="1183" t="str">
        <f>IF(예산실적비교표!AM158&lt;&gt;"",예산실적비교표!AM158,"")</f>
        <v/>
      </c>
      <c r="AR158" s="1184">
        <f>IF(예산실적비교표!AN158&lt;&gt;"",예산실적비교표!AN158,0)</f>
        <v>0</v>
      </c>
      <c r="AS158" s="1185">
        <f>IF(예산실적비교표!AO158&lt;&gt;"",예산실적비교표!AO158,0)</f>
        <v>0</v>
      </c>
      <c r="AT158" s="1118">
        <f t="shared" si="36"/>
        <v>0</v>
      </c>
      <c r="AU158" s="1186">
        <f>IF(예산실적비교표!AQ158&lt;&gt;"",예산실적비교표!AQ158,0)</f>
        <v>0</v>
      </c>
      <c r="AV158" s="1120">
        <f t="shared" si="37"/>
        <v>0</v>
      </c>
      <c r="AW158" s="1121">
        <f>IF(AR158="",0,ROUND((AT158*$AT$7)*데이터입력!$AF$14+(AT158*$AU$7)*데이터입력!$AF$14+(AT158*$AU$7*$AV$7)*데이터입력!$AF$14+(AT158*$AW$7)*데이터입력!$AF$14+(AT158*$AX$7)*데이터입력!$AF$14,-1))</f>
        <v>0</v>
      </c>
      <c r="AX158" s="1122">
        <f t="shared" si="38"/>
        <v>0</v>
      </c>
      <c r="AY158" s="1123">
        <f>IFERROR(IF(AR158+AS158=0,0,ROUND(IF(데이터입력!$AF$14=100%,ROUND(AR158*$AR$1,-3),ROUND(AR158*$AR$1,-3)-ROUND(((AR158*$AR$1)*$AT$4)*(데이터입력!$AF$14-100%)+((AR158*$AR$1)*$AU$4)*(데이터입력!$AF$14-100%)+((AR158*$AR$1)*$AU$4*$AV$4)*(데이터입력!$AF$14-100%)+((AR158*$AR$1)*$AW$4)*(데이터입력!$AF$14-100%),-1)),0)),0)</f>
        <v>0</v>
      </c>
      <c r="AZ158" s="1124">
        <f>IFERROR(IF(AR158+AS158=0,0,IF(데이터입력!$AF$12=100%,(AT158),(AT158)+ROUND(AT158*(데이터입력!$AF$12-100%),-1))),0)</f>
        <v>0</v>
      </c>
      <c r="BA158" s="1265" t="str">
        <f t="shared" si="39"/>
        <v/>
      </c>
      <c r="BB158" s="1264" t="str">
        <f>IF(BA158="","",IF(데이터입력!$O$68="",ROUND(AZ158/12,0),ROUND(데이터입력!$O$68/데이터입력!$Y$8/$BC$63,0)))</f>
        <v/>
      </c>
    </row>
    <row r="159" spans="15:54">
      <c r="AP159" s="1182" t="str">
        <f>IF(예산실적비교표!AL159&lt;&gt;"",예산실적비교표!AL159,"")</f>
        <v/>
      </c>
      <c r="AQ159" s="1183" t="str">
        <f>IF(예산실적비교표!AM159&lt;&gt;"",예산실적비교표!AM159,"")</f>
        <v/>
      </c>
      <c r="AR159" s="1184">
        <f>IF(예산실적비교표!AN159&lt;&gt;"",예산실적비교표!AN159,0)</f>
        <v>0</v>
      </c>
      <c r="AS159" s="1185">
        <f>IF(예산실적비교표!AO159&lt;&gt;"",예산실적비교표!AO159,0)</f>
        <v>0</v>
      </c>
      <c r="AT159" s="1118">
        <f t="shared" si="36"/>
        <v>0</v>
      </c>
      <c r="AU159" s="1186">
        <f>IF(예산실적비교표!AQ159&lt;&gt;"",예산실적비교표!AQ159,0)</f>
        <v>0</v>
      </c>
      <c r="AV159" s="1120">
        <f t="shared" si="37"/>
        <v>0</v>
      </c>
      <c r="AW159" s="1121">
        <f>IF(AR159="",0,ROUND((AT159*$AT$7)*데이터입력!$AF$14+(AT159*$AU$7)*데이터입력!$AF$14+(AT159*$AU$7*$AV$7)*데이터입력!$AF$14+(AT159*$AW$7)*데이터입력!$AF$14+(AT159*$AX$7)*데이터입력!$AF$14,-1))</f>
        <v>0</v>
      </c>
      <c r="AX159" s="1122">
        <f t="shared" si="38"/>
        <v>0</v>
      </c>
      <c r="AY159" s="1123">
        <f>IFERROR(IF(AR159+AS159=0,0,ROUND(IF(데이터입력!$AF$14=100%,ROUND(AR159*$AR$1,-3),ROUND(AR159*$AR$1,-3)-ROUND(((AR159*$AR$1)*$AT$4)*(데이터입력!$AF$14-100%)+((AR159*$AR$1)*$AU$4)*(데이터입력!$AF$14-100%)+((AR159*$AR$1)*$AU$4*$AV$4)*(데이터입력!$AF$14-100%)+((AR159*$AR$1)*$AW$4)*(데이터입력!$AF$14-100%),-1)),0)),0)</f>
        <v>0</v>
      </c>
      <c r="AZ159" s="1124">
        <f>IFERROR(IF(AR159+AS159=0,0,IF(데이터입력!$AF$12=100%,(AT159),(AT159)+ROUND(AT159*(데이터입력!$AF$12-100%),-1))),0)</f>
        <v>0</v>
      </c>
      <c r="BA159" s="1265" t="str">
        <f t="shared" si="39"/>
        <v/>
      </c>
      <c r="BB159" s="1264" t="str">
        <f>IF(BA159="","",IF(데이터입력!$O$68="",ROUND(AZ159/12,0),ROUND(데이터입력!$O$68/데이터입력!$Y$8/$BC$63,0)))</f>
        <v/>
      </c>
    </row>
    <row r="160" spans="15:54">
      <c r="AP160" s="1182" t="str">
        <f>IF(예산실적비교표!AL160&lt;&gt;"",예산실적비교표!AL160,"")</f>
        <v/>
      </c>
      <c r="AQ160" s="1183" t="str">
        <f>IF(예산실적비교표!AM160&lt;&gt;"",예산실적비교표!AM160,"")</f>
        <v/>
      </c>
      <c r="AR160" s="1184">
        <f>IF(예산실적비교표!AN160&lt;&gt;"",예산실적비교표!AN160,0)</f>
        <v>0</v>
      </c>
      <c r="AS160" s="1185">
        <f>IF(예산실적비교표!AO160&lt;&gt;"",예산실적비교표!AO160,0)</f>
        <v>0</v>
      </c>
      <c r="AT160" s="1118">
        <f t="shared" si="36"/>
        <v>0</v>
      </c>
      <c r="AU160" s="1186">
        <f>IF(예산실적비교표!AQ160&lt;&gt;"",예산실적비교표!AQ160,0)</f>
        <v>0</v>
      </c>
      <c r="AV160" s="1120">
        <f t="shared" si="37"/>
        <v>0</v>
      </c>
      <c r="AW160" s="1121">
        <f>IF(AR160="",0,ROUND((AT160*$AT$7)*데이터입력!$AF$14+(AT160*$AU$7)*데이터입력!$AF$14+(AT160*$AU$7*$AV$7)*데이터입력!$AF$14+(AT160*$AW$7)*데이터입력!$AF$14+(AT160*$AX$7)*데이터입력!$AF$14,-1))</f>
        <v>0</v>
      </c>
      <c r="AX160" s="1122">
        <f t="shared" si="38"/>
        <v>0</v>
      </c>
      <c r="AY160" s="1123">
        <f>IFERROR(IF(AR160+AS160=0,0,ROUND(IF(데이터입력!$AF$14=100%,ROUND(AR160*$AR$1,-3),ROUND(AR160*$AR$1,-3)-ROUND(((AR160*$AR$1)*$AT$4)*(데이터입력!$AF$14-100%)+((AR160*$AR$1)*$AU$4)*(데이터입력!$AF$14-100%)+((AR160*$AR$1)*$AU$4*$AV$4)*(데이터입력!$AF$14-100%)+((AR160*$AR$1)*$AW$4)*(데이터입력!$AF$14-100%),-1)),0)),0)</f>
        <v>0</v>
      </c>
      <c r="AZ160" s="1124">
        <f>IFERROR(IF(AR160+AS160=0,0,IF(데이터입력!$AF$12=100%,(AT160),(AT160)+ROUND(AT160*(데이터입력!$AF$12-100%),-1))),0)</f>
        <v>0</v>
      </c>
      <c r="BA160" s="1265" t="str">
        <f t="shared" si="39"/>
        <v/>
      </c>
      <c r="BB160" s="1264" t="str">
        <f>IF(BA160="","",IF(데이터입력!$O$68="",ROUND(AZ160/12,0),ROUND(데이터입력!$O$68/데이터입력!$Y$8/$BC$63,0)))</f>
        <v/>
      </c>
    </row>
    <row r="161" spans="42:54">
      <c r="AP161" s="1182" t="str">
        <f>IF(예산실적비교표!AL161&lt;&gt;"",예산실적비교표!AL161,"")</f>
        <v/>
      </c>
      <c r="AQ161" s="1183" t="str">
        <f>IF(예산실적비교표!AM161&lt;&gt;"",예산실적비교표!AM161,"")</f>
        <v/>
      </c>
      <c r="AR161" s="1184">
        <f>IF(예산실적비교표!AN161&lt;&gt;"",예산실적비교표!AN161,0)</f>
        <v>0</v>
      </c>
      <c r="AS161" s="1185">
        <f>IF(예산실적비교표!AO161&lt;&gt;"",예산실적비교표!AO161,0)</f>
        <v>0</v>
      </c>
      <c r="AT161" s="1118">
        <f t="shared" si="36"/>
        <v>0</v>
      </c>
      <c r="AU161" s="1186">
        <f>IF(예산실적비교표!AQ161&lt;&gt;"",예산실적비교표!AQ161,0)</f>
        <v>0</v>
      </c>
      <c r="AV161" s="1120">
        <f t="shared" si="37"/>
        <v>0</v>
      </c>
      <c r="AW161" s="1121">
        <f>IF(AR161="",0,ROUND((AT161*$AT$7)*데이터입력!$AF$14+(AT161*$AU$7)*데이터입력!$AF$14+(AT161*$AU$7*$AV$7)*데이터입력!$AF$14+(AT161*$AW$7)*데이터입력!$AF$14+(AT161*$AX$7)*데이터입력!$AF$14,-1))</f>
        <v>0</v>
      </c>
      <c r="AX161" s="1122">
        <f t="shared" si="38"/>
        <v>0</v>
      </c>
      <c r="AY161" s="1123">
        <f>IFERROR(IF(AR161+AS161=0,0,ROUND(IF(데이터입력!$AF$14=100%,ROUND(AR161*$AR$1,-3),ROUND(AR161*$AR$1,-3)-ROUND(((AR161*$AR$1)*$AT$4)*(데이터입력!$AF$14-100%)+((AR161*$AR$1)*$AU$4)*(데이터입력!$AF$14-100%)+((AR161*$AR$1)*$AU$4*$AV$4)*(데이터입력!$AF$14-100%)+((AR161*$AR$1)*$AW$4)*(데이터입력!$AF$14-100%),-1)),0)),0)</f>
        <v>0</v>
      </c>
      <c r="AZ161" s="1124">
        <f>IFERROR(IF(AR161+AS161=0,0,IF(데이터입력!$AF$12=100%,(AT161),(AT161)+ROUND(AT161*(데이터입력!$AF$12-100%),-1))),0)</f>
        <v>0</v>
      </c>
      <c r="BA161" s="1265" t="str">
        <f t="shared" si="39"/>
        <v/>
      </c>
      <c r="BB161" s="1264" t="str">
        <f>IF(BA161="","",IF(데이터입력!$O$68="",ROUND(AZ161/12,0),ROUND(데이터입력!$O$68/데이터입력!$Y$8/$BC$63,0)))</f>
        <v/>
      </c>
    </row>
    <row r="162" spans="42:54">
      <c r="AP162" s="1182" t="str">
        <f>IF(예산실적비교표!AL162&lt;&gt;"",예산실적비교표!AL162,"")</f>
        <v/>
      </c>
      <c r="AQ162" s="1183" t="str">
        <f>IF(예산실적비교표!AM162&lt;&gt;"",예산실적비교표!AM162,"")</f>
        <v/>
      </c>
      <c r="AR162" s="1184">
        <f>IF(예산실적비교표!AN162&lt;&gt;"",예산실적비교표!AN162,0)</f>
        <v>0</v>
      </c>
      <c r="AS162" s="1185">
        <f>IF(예산실적비교표!AO162&lt;&gt;"",예산실적비교표!AO162,0)</f>
        <v>0</v>
      </c>
      <c r="AT162" s="1118">
        <f t="shared" si="36"/>
        <v>0</v>
      </c>
      <c r="AU162" s="1186">
        <f>IF(예산실적비교표!AQ162&lt;&gt;"",예산실적비교표!AQ162,0)</f>
        <v>0</v>
      </c>
      <c r="AV162" s="1120">
        <f t="shared" si="37"/>
        <v>0</v>
      </c>
      <c r="AW162" s="1121">
        <f>IF(AR162="",0,ROUND((AT162*$AT$7)*데이터입력!$AF$14+(AT162*$AU$7)*데이터입력!$AF$14+(AT162*$AU$7*$AV$7)*데이터입력!$AF$14+(AT162*$AW$7)*데이터입력!$AF$14+(AT162*$AX$7)*데이터입력!$AF$14,-1))</f>
        <v>0</v>
      </c>
      <c r="AX162" s="1122">
        <f t="shared" si="38"/>
        <v>0</v>
      </c>
      <c r="AY162" s="1123">
        <f>IFERROR(IF(AR162+AS162=0,0,ROUND(IF(데이터입력!$AF$14=100%,ROUND(AR162*$AR$1,-3),ROUND(AR162*$AR$1,-3)-ROUND(((AR162*$AR$1)*$AT$4)*(데이터입력!$AF$14-100%)+((AR162*$AR$1)*$AU$4)*(데이터입력!$AF$14-100%)+((AR162*$AR$1)*$AU$4*$AV$4)*(데이터입력!$AF$14-100%)+((AR162*$AR$1)*$AW$4)*(데이터입력!$AF$14-100%),-1)),0)),0)</f>
        <v>0</v>
      </c>
      <c r="AZ162" s="1124">
        <f>IFERROR(IF(AR162+AS162=0,0,IF(데이터입력!$AF$12=100%,(AT162),(AT162)+ROUND(AT162*(데이터입력!$AF$12-100%),-1))),0)</f>
        <v>0</v>
      </c>
      <c r="BA162" s="1265" t="str">
        <f t="shared" si="39"/>
        <v/>
      </c>
      <c r="BB162" s="1264" t="str">
        <f>IF(BA162="","",IF(데이터입력!$O$68="",ROUND(AZ162/12,0),ROUND(데이터입력!$O$68/데이터입력!$Y$8/$BC$63,0)))</f>
        <v/>
      </c>
    </row>
    <row r="163" spans="42:54">
      <c r="AP163" s="1182" t="str">
        <f>IF(예산실적비교표!AL163&lt;&gt;"",예산실적비교표!AL163,"")</f>
        <v/>
      </c>
      <c r="AQ163" s="1183" t="str">
        <f>IF(예산실적비교표!AM163&lt;&gt;"",예산실적비교표!AM163,"")</f>
        <v/>
      </c>
      <c r="AR163" s="1184">
        <f>IF(예산실적비교표!AN163&lt;&gt;"",예산실적비교표!AN163,0)</f>
        <v>0</v>
      </c>
      <c r="AS163" s="1185">
        <f>IF(예산실적비교표!AO163&lt;&gt;"",예산실적비교표!AO163,0)</f>
        <v>0</v>
      </c>
      <c r="AT163" s="1118">
        <f t="shared" si="36"/>
        <v>0</v>
      </c>
      <c r="AU163" s="1186">
        <f>IF(예산실적비교표!AQ163&lt;&gt;"",예산실적비교표!AQ163,0)</f>
        <v>0</v>
      </c>
      <c r="AV163" s="1120">
        <f t="shared" si="37"/>
        <v>0</v>
      </c>
      <c r="AW163" s="1121">
        <f>IF(AR163="",0,ROUND((AT163*$AT$7)*데이터입력!$AF$14+(AT163*$AU$7)*데이터입력!$AF$14+(AT163*$AU$7*$AV$7)*데이터입력!$AF$14+(AT163*$AW$7)*데이터입력!$AF$14+(AT163*$AX$7)*데이터입력!$AF$14,-1))</f>
        <v>0</v>
      </c>
      <c r="AX163" s="1122">
        <f t="shared" si="38"/>
        <v>0</v>
      </c>
      <c r="AY163" s="1123">
        <f>IFERROR(IF(AR163+AS163=0,0,ROUND(IF(데이터입력!$AF$14=100%,ROUND(AR163*$AR$1,-3),ROUND(AR163*$AR$1,-3)-ROUND(((AR163*$AR$1)*$AT$4)*(데이터입력!$AF$14-100%)+((AR163*$AR$1)*$AU$4)*(데이터입력!$AF$14-100%)+((AR163*$AR$1)*$AU$4*$AV$4)*(데이터입력!$AF$14-100%)+((AR163*$AR$1)*$AW$4)*(데이터입력!$AF$14-100%),-1)),0)),0)</f>
        <v>0</v>
      </c>
      <c r="AZ163" s="1124">
        <f>IFERROR(IF(AR163+AS163=0,0,IF(데이터입력!$AF$12=100%,(AT163),(AT163)+ROUND(AT163*(데이터입력!$AF$12-100%),-1))),0)</f>
        <v>0</v>
      </c>
      <c r="BA163" s="1265" t="str">
        <f t="shared" si="39"/>
        <v/>
      </c>
      <c r="BB163" s="1264" t="str">
        <f>IF(BA163="","",IF(데이터입력!$O$68="",ROUND(AZ163/12,0),ROUND(데이터입력!$O$68/데이터입력!$Y$8/$BC$63,0)))</f>
        <v/>
      </c>
    </row>
    <row r="164" spans="42:54">
      <c r="AP164" s="1182" t="str">
        <f>IF(예산실적비교표!AL164&lt;&gt;"",예산실적비교표!AL164,"")</f>
        <v/>
      </c>
      <c r="AQ164" s="1183" t="str">
        <f>IF(예산실적비교표!AM164&lt;&gt;"",예산실적비교표!AM164,"")</f>
        <v/>
      </c>
      <c r="AR164" s="1184">
        <f>IF(예산실적비교표!AN164&lt;&gt;"",예산실적비교표!AN164,0)</f>
        <v>0</v>
      </c>
      <c r="AS164" s="1185">
        <f>IF(예산실적비교표!AO164&lt;&gt;"",예산실적비교표!AO164,0)</f>
        <v>0</v>
      </c>
      <c r="AT164" s="1118">
        <f t="shared" si="36"/>
        <v>0</v>
      </c>
      <c r="AU164" s="1186">
        <f>IF(예산실적비교표!AQ164&lt;&gt;"",예산실적비교표!AQ164,0)</f>
        <v>0</v>
      </c>
      <c r="AV164" s="1120">
        <f t="shared" si="37"/>
        <v>0</v>
      </c>
      <c r="AW164" s="1121">
        <f>IF(AR164="",0,ROUND((AT164*$AT$7)*데이터입력!$AF$14+(AT164*$AU$7)*데이터입력!$AF$14+(AT164*$AU$7*$AV$7)*데이터입력!$AF$14+(AT164*$AW$7)*데이터입력!$AF$14+(AT164*$AX$7)*데이터입력!$AF$14,-1))</f>
        <v>0</v>
      </c>
      <c r="AX164" s="1122">
        <f t="shared" si="38"/>
        <v>0</v>
      </c>
      <c r="AY164" s="1123">
        <f>IFERROR(IF(AR164+AS164=0,0,ROUND(IF(데이터입력!$AF$14=100%,ROUND(AR164*$AR$1,-3),ROUND(AR164*$AR$1,-3)-ROUND(((AR164*$AR$1)*$AT$4)*(데이터입력!$AF$14-100%)+((AR164*$AR$1)*$AU$4)*(데이터입력!$AF$14-100%)+((AR164*$AR$1)*$AU$4*$AV$4)*(데이터입력!$AF$14-100%)+((AR164*$AR$1)*$AW$4)*(데이터입력!$AF$14-100%),-1)),0)),0)</f>
        <v>0</v>
      </c>
      <c r="AZ164" s="1124">
        <f>IFERROR(IF(AR164+AS164=0,0,IF(데이터입력!$AF$12=100%,(AT164),(AT164)+ROUND(AT164*(데이터입력!$AF$12-100%),-1))),0)</f>
        <v>0</v>
      </c>
      <c r="BA164" s="1265" t="str">
        <f t="shared" si="39"/>
        <v/>
      </c>
      <c r="BB164" s="1264" t="str">
        <f>IF(BA164="","",IF(데이터입력!$O$68="",ROUND(AZ164/12,0),ROUND(데이터입력!$O$68/데이터입력!$Y$8/$BC$63,0)))</f>
        <v/>
      </c>
    </row>
    <row r="165" spans="42:54">
      <c r="AP165" s="1182" t="str">
        <f>IF(예산실적비교표!AL165&lt;&gt;"",예산실적비교표!AL165,"")</f>
        <v/>
      </c>
      <c r="AQ165" s="1183" t="str">
        <f>IF(예산실적비교표!AM165&lt;&gt;"",예산실적비교표!AM165,"")</f>
        <v/>
      </c>
      <c r="AR165" s="1184">
        <f>IF(예산실적비교표!AN165&lt;&gt;"",예산실적비교표!AN165,0)</f>
        <v>0</v>
      </c>
      <c r="AS165" s="1185">
        <f>IF(예산실적비교표!AO165&lt;&gt;"",예산실적비교표!AO165,0)</f>
        <v>0</v>
      </c>
      <c r="AT165" s="1118">
        <f t="shared" si="36"/>
        <v>0</v>
      </c>
      <c r="AU165" s="1186">
        <f>IF(예산실적비교표!AQ165&lt;&gt;"",예산실적비교표!AQ165,0)</f>
        <v>0</v>
      </c>
      <c r="AV165" s="1120">
        <f t="shared" si="37"/>
        <v>0</v>
      </c>
      <c r="AW165" s="1121">
        <f>IF(AR165="",0,ROUND((AT165*$AT$7)*데이터입력!$AF$14+(AT165*$AU$7)*데이터입력!$AF$14+(AT165*$AU$7*$AV$7)*데이터입력!$AF$14+(AT165*$AW$7)*데이터입력!$AF$14+(AT165*$AX$7)*데이터입력!$AF$14,-1))</f>
        <v>0</v>
      </c>
      <c r="AX165" s="1122">
        <f t="shared" si="38"/>
        <v>0</v>
      </c>
      <c r="AY165" s="1123">
        <f>IFERROR(IF(AR165+AS165=0,0,ROUND(IF(데이터입력!$AF$14=100%,ROUND(AR165*$AR$1,-3),ROUND(AR165*$AR$1,-3)-ROUND(((AR165*$AR$1)*$AT$4)*(데이터입력!$AF$14-100%)+((AR165*$AR$1)*$AU$4)*(데이터입력!$AF$14-100%)+((AR165*$AR$1)*$AU$4*$AV$4)*(데이터입력!$AF$14-100%)+((AR165*$AR$1)*$AW$4)*(데이터입력!$AF$14-100%),-1)),0)),0)</f>
        <v>0</v>
      </c>
      <c r="AZ165" s="1124">
        <f>IFERROR(IF(AR165+AS165=0,0,IF(데이터입력!$AF$12=100%,(AT165),(AT165)+ROUND(AT165*(데이터입력!$AF$12-100%),-1))),0)</f>
        <v>0</v>
      </c>
      <c r="BA165" s="1265" t="str">
        <f t="shared" si="39"/>
        <v/>
      </c>
      <c r="BB165" s="1264" t="str">
        <f>IF(BA165="","",IF(데이터입력!$O$68="",ROUND(AZ165/12,0),ROUND(데이터입력!$O$68/데이터입력!$Y$8/$BC$63,0)))</f>
        <v/>
      </c>
    </row>
    <row r="166" spans="42:54">
      <c r="AP166" s="1182" t="str">
        <f>IF(예산실적비교표!AL166&lt;&gt;"",예산실적비교표!AL166,"")</f>
        <v/>
      </c>
      <c r="AQ166" s="1183" t="str">
        <f>IF(예산실적비교표!AM166&lt;&gt;"",예산실적비교표!AM166,"")</f>
        <v/>
      </c>
      <c r="AR166" s="1184">
        <f>IF(예산실적비교표!AN166&lt;&gt;"",예산실적비교표!AN166,0)</f>
        <v>0</v>
      </c>
      <c r="AS166" s="1185">
        <f>IF(예산실적비교표!AO166&lt;&gt;"",예산실적비교표!AO166,0)</f>
        <v>0</v>
      </c>
      <c r="AT166" s="1118">
        <f t="shared" si="36"/>
        <v>0</v>
      </c>
      <c r="AU166" s="1186">
        <f>IF(예산실적비교표!AQ166&lt;&gt;"",예산실적비교표!AQ166,0)</f>
        <v>0</v>
      </c>
      <c r="AV166" s="1120">
        <f t="shared" si="37"/>
        <v>0</v>
      </c>
      <c r="AW166" s="1121">
        <f>IF(AR166="",0,ROUND((AT166*$AT$7)*데이터입력!$AF$14+(AT166*$AU$7)*데이터입력!$AF$14+(AT166*$AU$7*$AV$7)*데이터입력!$AF$14+(AT166*$AW$7)*데이터입력!$AF$14+(AT166*$AX$7)*데이터입력!$AF$14,-1))</f>
        <v>0</v>
      </c>
      <c r="AX166" s="1122">
        <f t="shared" si="38"/>
        <v>0</v>
      </c>
      <c r="AY166" s="1123">
        <f>IFERROR(IF(AR166+AS166=0,0,ROUND(IF(데이터입력!$AF$14=100%,ROUND(AR166*$AR$1,-3),ROUND(AR166*$AR$1,-3)-ROUND(((AR166*$AR$1)*$AT$4)*(데이터입력!$AF$14-100%)+((AR166*$AR$1)*$AU$4)*(데이터입력!$AF$14-100%)+((AR166*$AR$1)*$AU$4*$AV$4)*(데이터입력!$AF$14-100%)+((AR166*$AR$1)*$AW$4)*(데이터입력!$AF$14-100%),-1)),0)),0)</f>
        <v>0</v>
      </c>
      <c r="AZ166" s="1124">
        <f>IFERROR(IF(AR166+AS166=0,0,IF(데이터입력!$AF$12=100%,(AT166),(AT166)+ROUND(AT166*(데이터입력!$AF$12-100%),-1))),0)</f>
        <v>0</v>
      </c>
      <c r="BA166" s="1265" t="str">
        <f t="shared" si="39"/>
        <v/>
      </c>
      <c r="BB166" s="1264" t="str">
        <f>IF(BA166="","",IF(데이터입력!$O$68="",ROUND(AZ166/12,0),ROUND(데이터입력!$O$68/데이터입력!$Y$8/$BC$63,0)))</f>
        <v/>
      </c>
    </row>
    <row r="167" spans="42:54">
      <c r="AP167" s="1182" t="str">
        <f>IF(예산실적비교표!AL167&lt;&gt;"",예산실적비교표!AL167,"")</f>
        <v/>
      </c>
      <c r="AQ167" s="1183" t="str">
        <f>IF(예산실적비교표!AM167&lt;&gt;"",예산실적비교표!AM167,"")</f>
        <v/>
      </c>
      <c r="AR167" s="1184">
        <f>IF(예산실적비교표!AN167&lt;&gt;"",예산실적비교표!AN167,0)</f>
        <v>0</v>
      </c>
      <c r="AS167" s="1185">
        <f>IF(예산실적비교표!AO167&lt;&gt;"",예산실적비교표!AO167,0)</f>
        <v>0</v>
      </c>
      <c r="AT167" s="1118">
        <f t="shared" si="36"/>
        <v>0</v>
      </c>
      <c r="AU167" s="1186">
        <f>IF(예산실적비교표!AQ167&lt;&gt;"",예산실적비교표!AQ167,0)</f>
        <v>0</v>
      </c>
      <c r="AV167" s="1120">
        <f t="shared" si="37"/>
        <v>0</v>
      </c>
      <c r="AW167" s="1121">
        <f>IF(AR167="",0,ROUND((AT167*$AT$7)*데이터입력!$AF$14+(AT167*$AU$7)*데이터입력!$AF$14+(AT167*$AU$7*$AV$7)*데이터입력!$AF$14+(AT167*$AW$7)*데이터입력!$AF$14+(AT167*$AX$7)*데이터입력!$AF$14,-1))</f>
        <v>0</v>
      </c>
      <c r="AX167" s="1122">
        <f t="shared" si="38"/>
        <v>0</v>
      </c>
      <c r="AY167" s="1123">
        <f>IFERROR(IF(AR167+AS167=0,0,ROUND(IF(데이터입력!$AF$14=100%,ROUND(AR167*$AR$1,-3),ROUND(AR167*$AR$1,-3)-ROUND(((AR167*$AR$1)*$AT$4)*(데이터입력!$AF$14-100%)+((AR167*$AR$1)*$AU$4)*(데이터입력!$AF$14-100%)+((AR167*$AR$1)*$AU$4*$AV$4)*(데이터입력!$AF$14-100%)+((AR167*$AR$1)*$AW$4)*(데이터입력!$AF$14-100%),-1)),0)),0)</f>
        <v>0</v>
      </c>
      <c r="AZ167" s="1124">
        <f>IFERROR(IF(AR167+AS167=0,0,IF(데이터입력!$AF$12=100%,(AT167),(AT167)+ROUND(AT167*(데이터입력!$AF$12-100%),-1))),0)</f>
        <v>0</v>
      </c>
      <c r="BA167" s="1265" t="str">
        <f t="shared" si="39"/>
        <v/>
      </c>
      <c r="BB167" s="1264" t="str">
        <f>IF(BA167="","",IF(데이터입력!$O$68="",ROUND(AZ167/12,0),ROUND(데이터입력!$O$68/데이터입력!$Y$8/$BC$63,0)))</f>
        <v/>
      </c>
    </row>
    <row r="168" spans="42:54">
      <c r="AP168" s="1182" t="str">
        <f>IF(예산실적비교표!AL168&lt;&gt;"",예산실적비교표!AL168,"")</f>
        <v/>
      </c>
      <c r="AQ168" s="1183" t="str">
        <f>IF(예산실적비교표!AM168&lt;&gt;"",예산실적비교표!AM168,"")</f>
        <v/>
      </c>
      <c r="AR168" s="1184">
        <f>IF(예산실적비교표!AN168&lt;&gt;"",예산실적비교표!AN168,0)</f>
        <v>0</v>
      </c>
      <c r="AS168" s="1185">
        <f>IF(예산실적비교표!AO168&lt;&gt;"",예산실적비교표!AO168,0)</f>
        <v>0</v>
      </c>
      <c r="AT168" s="1118">
        <f t="shared" si="36"/>
        <v>0</v>
      </c>
      <c r="AU168" s="1186">
        <f>IF(예산실적비교표!AQ168&lt;&gt;"",예산실적비교표!AQ168,0)</f>
        <v>0</v>
      </c>
      <c r="AV168" s="1120">
        <f t="shared" si="37"/>
        <v>0</v>
      </c>
      <c r="AW168" s="1121">
        <f>IF(AR168="",0,ROUND((AT168*$AT$7)*데이터입력!$AF$14+(AT168*$AU$7)*데이터입력!$AF$14+(AT168*$AU$7*$AV$7)*데이터입력!$AF$14+(AT168*$AW$7)*데이터입력!$AF$14+(AT168*$AX$7)*데이터입력!$AF$14,-1))</f>
        <v>0</v>
      </c>
      <c r="AX168" s="1122">
        <f t="shared" si="38"/>
        <v>0</v>
      </c>
      <c r="AY168" s="1123">
        <f>IFERROR(IF(AR168+AS168=0,0,ROUND(IF(데이터입력!$AF$14=100%,ROUND(AR168*$AR$1,-3),ROUND(AR168*$AR$1,-3)-ROUND(((AR168*$AR$1)*$AT$4)*(데이터입력!$AF$14-100%)+((AR168*$AR$1)*$AU$4)*(데이터입력!$AF$14-100%)+((AR168*$AR$1)*$AU$4*$AV$4)*(데이터입력!$AF$14-100%)+((AR168*$AR$1)*$AW$4)*(데이터입력!$AF$14-100%),-1)),0)),0)</f>
        <v>0</v>
      </c>
      <c r="AZ168" s="1124">
        <f>IFERROR(IF(AR168+AS168=0,0,IF(데이터입력!$AF$12=100%,(AT168),(AT168)+ROUND(AT168*(데이터입력!$AF$12-100%),-1))),0)</f>
        <v>0</v>
      </c>
      <c r="BA168" s="1265" t="str">
        <f t="shared" si="39"/>
        <v/>
      </c>
      <c r="BB168" s="1264" t="str">
        <f>IF(BA168="","",IF(데이터입력!$O$68="",ROUND(AZ168/12,0),ROUND(데이터입력!$O$68/데이터입력!$Y$8/$BC$63,0)))</f>
        <v/>
      </c>
    </row>
    <row r="169" spans="42:54">
      <c r="AP169" s="1182" t="str">
        <f>IF(예산실적비교표!AL169&lt;&gt;"",예산실적비교표!AL169,"")</f>
        <v/>
      </c>
      <c r="AQ169" s="1183" t="str">
        <f>IF(예산실적비교표!AM169&lt;&gt;"",예산실적비교표!AM169,"")</f>
        <v/>
      </c>
      <c r="AR169" s="1184">
        <f>IF(예산실적비교표!AN169&lt;&gt;"",예산실적비교표!AN169,0)</f>
        <v>0</v>
      </c>
      <c r="AS169" s="1185">
        <f>IF(예산실적비교표!AO169&lt;&gt;"",예산실적비교표!AO169,0)</f>
        <v>0</v>
      </c>
      <c r="AT169" s="1118">
        <f t="shared" si="36"/>
        <v>0</v>
      </c>
      <c r="AU169" s="1186">
        <f>IF(예산실적비교표!AQ169&lt;&gt;"",예산실적비교표!AQ169,0)</f>
        <v>0</v>
      </c>
      <c r="AV169" s="1120">
        <f t="shared" si="37"/>
        <v>0</v>
      </c>
      <c r="AW169" s="1121">
        <f>IF(AR169="",0,ROUND((AT169*$AT$7)*데이터입력!$AF$14+(AT169*$AU$7)*데이터입력!$AF$14+(AT169*$AU$7*$AV$7)*데이터입력!$AF$14+(AT169*$AW$7)*데이터입력!$AF$14+(AT169*$AX$7)*데이터입력!$AF$14,-1))</f>
        <v>0</v>
      </c>
      <c r="AX169" s="1122">
        <f t="shared" si="38"/>
        <v>0</v>
      </c>
      <c r="AY169" s="1123">
        <f>IFERROR(IF(AR169+AS169=0,0,ROUND(IF(데이터입력!$AF$14=100%,ROUND(AR169*$AR$1,-3),ROUND(AR169*$AR$1,-3)-ROUND(((AR169*$AR$1)*$AT$4)*(데이터입력!$AF$14-100%)+((AR169*$AR$1)*$AU$4)*(데이터입력!$AF$14-100%)+((AR169*$AR$1)*$AU$4*$AV$4)*(데이터입력!$AF$14-100%)+((AR169*$AR$1)*$AW$4)*(데이터입력!$AF$14-100%),-1)),0)),0)</f>
        <v>0</v>
      </c>
      <c r="AZ169" s="1124">
        <f>IFERROR(IF(AR169+AS169=0,0,IF(데이터입력!$AF$12=100%,(AT169),(AT169)+ROUND(AT169*(데이터입력!$AF$12-100%),-1))),0)</f>
        <v>0</v>
      </c>
      <c r="BA169" s="1265" t="str">
        <f t="shared" si="39"/>
        <v/>
      </c>
      <c r="BB169" s="1264" t="str">
        <f>IF(BA169="","",IF(데이터입력!$O$68="",ROUND(AZ169/12,0),ROUND(데이터입력!$O$68/데이터입력!$Y$8/$BC$63,0)))</f>
        <v/>
      </c>
    </row>
    <row r="170" spans="42:54">
      <c r="AP170" s="1182" t="str">
        <f>IF(예산실적비교표!AL170&lt;&gt;"",예산실적비교표!AL170,"")</f>
        <v/>
      </c>
      <c r="AQ170" s="1183" t="str">
        <f>IF(예산실적비교표!AM170&lt;&gt;"",예산실적비교표!AM170,"")</f>
        <v/>
      </c>
      <c r="AR170" s="1184">
        <f>IF(예산실적비교표!AN170&lt;&gt;"",예산실적비교표!AN170,0)</f>
        <v>0</v>
      </c>
      <c r="AS170" s="1185">
        <f>IF(예산실적비교표!AO170&lt;&gt;"",예산실적비교표!AO170,0)</f>
        <v>0</v>
      </c>
      <c r="AT170" s="1118">
        <f t="shared" si="36"/>
        <v>0</v>
      </c>
      <c r="AU170" s="1186">
        <f>IF(예산실적비교표!AQ170&lt;&gt;"",예산실적비교표!AQ170,0)</f>
        <v>0</v>
      </c>
      <c r="AV170" s="1120">
        <f t="shared" si="37"/>
        <v>0</v>
      </c>
      <c r="AW170" s="1121">
        <f>IF(AR170="",0,ROUND((AT170*$AT$7)*데이터입력!$AF$14+(AT170*$AU$7)*데이터입력!$AF$14+(AT170*$AU$7*$AV$7)*데이터입력!$AF$14+(AT170*$AW$7)*데이터입력!$AF$14+(AT170*$AX$7)*데이터입력!$AF$14,-1))</f>
        <v>0</v>
      </c>
      <c r="AX170" s="1122">
        <f t="shared" si="38"/>
        <v>0</v>
      </c>
      <c r="AY170" s="1123">
        <f>IFERROR(IF(AR170+AS170=0,0,ROUND(IF(데이터입력!$AF$14=100%,ROUND(AR170*$AR$1,-3),ROUND(AR170*$AR$1,-3)-ROUND(((AR170*$AR$1)*$AT$4)*(데이터입력!$AF$14-100%)+((AR170*$AR$1)*$AU$4)*(데이터입력!$AF$14-100%)+((AR170*$AR$1)*$AU$4*$AV$4)*(데이터입력!$AF$14-100%)+((AR170*$AR$1)*$AW$4)*(데이터입력!$AF$14-100%),-1)),0)),0)</f>
        <v>0</v>
      </c>
      <c r="AZ170" s="1124">
        <f>IFERROR(IF(AR170+AS170=0,0,IF(데이터입력!$AF$12=100%,(AT170),(AT170)+ROUND(AT170*(데이터입력!$AF$12-100%),-1))),0)</f>
        <v>0</v>
      </c>
      <c r="BA170" s="1265" t="str">
        <f t="shared" si="39"/>
        <v/>
      </c>
      <c r="BB170" s="1264" t="str">
        <f>IF(BA170="","",IF(데이터입력!$O$68="",ROUND(AZ170/12,0),ROUND(데이터입력!$O$68/데이터입력!$Y$8/$BC$63,0)))</f>
        <v/>
      </c>
    </row>
    <row r="171" spans="42:54">
      <c r="AP171" s="1182" t="str">
        <f>IF(예산실적비교표!AL171&lt;&gt;"",예산실적비교표!AL171,"")</f>
        <v/>
      </c>
      <c r="AQ171" s="1183" t="str">
        <f>IF(예산실적비교표!AM171&lt;&gt;"",예산실적비교표!AM171,"")</f>
        <v/>
      </c>
      <c r="AR171" s="1184">
        <f>IF(예산실적비교표!AN171&lt;&gt;"",예산실적비교표!AN171,0)</f>
        <v>0</v>
      </c>
      <c r="AS171" s="1185">
        <f>IF(예산실적비교표!AO171&lt;&gt;"",예산실적비교표!AO171,0)</f>
        <v>0</v>
      </c>
      <c r="AT171" s="1118">
        <f t="shared" si="36"/>
        <v>0</v>
      </c>
      <c r="AU171" s="1186">
        <f>IF(예산실적비교표!AQ171&lt;&gt;"",예산실적비교표!AQ171,0)</f>
        <v>0</v>
      </c>
      <c r="AV171" s="1120">
        <f t="shared" si="37"/>
        <v>0</v>
      </c>
      <c r="AW171" s="1121">
        <f>IF(AR171="",0,ROUND((AT171*$AT$7)*데이터입력!$AF$14+(AT171*$AU$7)*데이터입력!$AF$14+(AT171*$AU$7*$AV$7)*데이터입력!$AF$14+(AT171*$AW$7)*데이터입력!$AF$14+(AT171*$AX$7)*데이터입력!$AF$14,-1))</f>
        <v>0</v>
      </c>
      <c r="AX171" s="1122">
        <f t="shared" si="38"/>
        <v>0</v>
      </c>
      <c r="AY171" s="1123">
        <f>IFERROR(IF(AR171+AS171=0,0,ROUND(IF(데이터입력!$AF$14=100%,ROUND(AR171*$AR$1,-3),ROUND(AR171*$AR$1,-3)-ROUND(((AR171*$AR$1)*$AT$4)*(데이터입력!$AF$14-100%)+((AR171*$AR$1)*$AU$4)*(데이터입력!$AF$14-100%)+((AR171*$AR$1)*$AU$4*$AV$4)*(데이터입력!$AF$14-100%)+((AR171*$AR$1)*$AW$4)*(데이터입력!$AF$14-100%),-1)),0)),0)</f>
        <v>0</v>
      </c>
      <c r="AZ171" s="1124">
        <f>IFERROR(IF(AR171+AS171=0,0,IF(데이터입력!$AF$12=100%,(AT171),(AT171)+ROUND(AT171*(데이터입력!$AF$12-100%),-1))),0)</f>
        <v>0</v>
      </c>
      <c r="BA171" s="1265" t="str">
        <f t="shared" si="39"/>
        <v/>
      </c>
      <c r="BB171" s="1264" t="str">
        <f>IF(BA171="","",IF(데이터입력!$O$68="",ROUND(AZ171/12,0),ROUND(데이터입력!$O$68/데이터입력!$Y$8/$BC$63,0)))</f>
        <v/>
      </c>
    </row>
    <row r="172" spans="42:54">
      <c r="AP172" s="1182" t="str">
        <f>IF(예산실적비교표!AL172&lt;&gt;"",예산실적비교표!AL172,"")</f>
        <v/>
      </c>
      <c r="AQ172" s="1183" t="str">
        <f>IF(예산실적비교표!AM172&lt;&gt;"",예산실적비교표!AM172,"")</f>
        <v/>
      </c>
      <c r="AR172" s="1184">
        <f>IF(예산실적비교표!AN172&lt;&gt;"",예산실적비교표!AN172,0)</f>
        <v>0</v>
      </c>
      <c r="AS172" s="1185">
        <f>IF(예산실적비교표!AO172&lt;&gt;"",예산실적비교표!AO172,0)</f>
        <v>0</v>
      </c>
      <c r="AT172" s="1118">
        <f t="shared" si="36"/>
        <v>0</v>
      </c>
      <c r="AU172" s="1186">
        <f>IF(예산실적비교표!AQ172&lt;&gt;"",예산실적비교표!AQ172,0)</f>
        <v>0</v>
      </c>
      <c r="AV172" s="1120">
        <f t="shared" si="37"/>
        <v>0</v>
      </c>
      <c r="AW172" s="1121">
        <f>IF(AR172="",0,ROUND((AT172*$AT$7)*데이터입력!$AF$14+(AT172*$AU$7)*데이터입력!$AF$14+(AT172*$AU$7*$AV$7)*데이터입력!$AF$14+(AT172*$AW$7)*데이터입력!$AF$14+(AT172*$AX$7)*데이터입력!$AF$14,-1))</f>
        <v>0</v>
      </c>
      <c r="AX172" s="1122">
        <f t="shared" si="38"/>
        <v>0</v>
      </c>
      <c r="AY172" s="1123">
        <f>IFERROR(IF(AR172+AS172=0,0,ROUND(IF(데이터입력!$AF$14=100%,ROUND(AR172*$AR$1,-3),ROUND(AR172*$AR$1,-3)-ROUND(((AR172*$AR$1)*$AT$4)*(데이터입력!$AF$14-100%)+((AR172*$AR$1)*$AU$4)*(데이터입력!$AF$14-100%)+((AR172*$AR$1)*$AU$4*$AV$4)*(데이터입력!$AF$14-100%)+((AR172*$AR$1)*$AW$4)*(데이터입력!$AF$14-100%),-1)),0)),0)</f>
        <v>0</v>
      </c>
      <c r="AZ172" s="1124">
        <f>IFERROR(IF(AR172+AS172=0,0,IF(데이터입력!$AF$12=100%,(AT172),(AT172)+ROUND(AT172*(데이터입력!$AF$12-100%),-1))),0)</f>
        <v>0</v>
      </c>
      <c r="BA172" s="1265" t="str">
        <f t="shared" si="39"/>
        <v/>
      </c>
      <c r="BB172" s="1264" t="str">
        <f>IF(BA172="","",IF(데이터입력!$O$68="",ROUND(AZ172/12,0),ROUND(데이터입력!$O$68/데이터입력!$Y$8/$BC$63,0)))</f>
        <v/>
      </c>
    </row>
    <row r="173" spans="42:54">
      <c r="AP173" s="1182" t="str">
        <f>IF(예산실적비교표!AL173&lt;&gt;"",예산실적비교표!AL173,"")</f>
        <v/>
      </c>
      <c r="AQ173" s="1183" t="str">
        <f>IF(예산실적비교표!AM173&lt;&gt;"",예산실적비교표!AM173,"")</f>
        <v/>
      </c>
      <c r="AR173" s="1184">
        <f>IF(예산실적비교표!AN173&lt;&gt;"",예산실적비교표!AN173,0)</f>
        <v>0</v>
      </c>
      <c r="AS173" s="1185">
        <f>IF(예산실적비교표!AO173&lt;&gt;"",예산실적비교표!AO173,0)</f>
        <v>0</v>
      </c>
      <c r="AT173" s="1118">
        <f t="shared" si="36"/>
        <v>0</v>
      </c>
      <c r="AU173" s="1186">
        <f>IF(예산실적비교표!AQ173&lt;&gt;"",예산실적비교표!AQ173,0)</f>
        <v>0</v>
      </c>
      <c r="AV173" s="1120">
        <f t="shared" si="37"/>
        <v>0</v>
      </c>
      <c r="AW173" s="1121">
        <f>IF(AR173="",0,ROUND((AT173*$AT$7)*데이터입력!$AF$14+(AT173*$AU$7)*데이터입력!$AF$14+(AT173*$AU$7*$AV$7)*데이터입력!$AF$14+(AT173*$AW$7)*데이터입력!$AF$14+(AT173*$AX$7)*데이터입력!$AF$14,-1))</f>
        <v>0</v>
      </c>
      <c r="AX173" s="1122">
        <f t="shared" si="38"/>
        <v>0</v>
      </c>
      <c r="AY173" s="1123">
        <f>IFERROR(IF(AR173+AS173=0,0,ROUND(IF(데이터입력!$AF$14=100%,ROUND(AR173*$AR$1,-3),ROUND(AR173*$AR$1,-3)-ROUND(((AR173*$AR$1)*$AT$4)*(데이터입력!$AF$14-100%)+((AR173*$AR$1)*$AU$4)*(데이터입력!$AF$14-100%)+((AR173*$AR$1)*$AU$4*$AV$4)*(데이터입력!$AF$14-100%)+((AR173*$AR$1)*$AW$4)*(데이터입력!$AF$14-100%),-1)),0)),0)</f>
        <v>0</v>
      </c>
      <c r="AZ173" s="1124">
        <f>IFERROR(IF(AR173+AS173=0,0,IF(데이터입력!$AF$12=100%,(AT173),(AT173)+ROUND(AT173*(데이터입력!$AF$12-100%),-1))),0)</f>
        <v>0</v>
      </c>
      <c r="BA173" s="1265" t="str">
        <f t="shared" si="39"/>
        <v/>
      </c>
      <c r="BB173" s="1264" t="str">
        <f>IF(BA173="","",IF(데이터입력!$O$68="",ROUND(AZ173/12,0),ROUND(데이터입력!$O$68/데이터입력!$Y$8/$BC$63,0)))</f>
        <v/>
      </c>
    </row>
    <row r="174" spans="42:54">
      <c r="AP174" s="1182" t="str">
        <f>IF(예산실적비교표!AL174&lt;&gt;"",예산실적비교표!AL174,"")</f>
        <v/>
      </c>
      <c r="AQ174" s="1183" t="str">
        <f>IF(예산실적비교표!AM174&lt;&gt;"",예산실적비교표!AM174,"")</f>
        <v/>
      </c>
      <c r="AR174" s="1184">
        <f>IF(예산실적비교표!AN174&lt;&gt;"",예산실적비교표!AN174,0)</f>
        <v>0</v>
      </c>
      <c r="AS174" s="1185">
        <f>IF(예산실적비교표!AO174&lt;&gt;"",예산실적비교표!AO174,0)</f>
        <v>0</v>
      </c>
      <c r="AT174" s="1118">
        <f t="shared" si="36"/>
        <v>0</v>
      </c>
      <c r="AU174" s="1186">
        <f>IF(예산실적비교표!AQ174&lt;&gt;"",예산실적비교표!AQ174,0)</f>
        <v>0</v>
      </c>
      <c r="AV174" s="1120">
        <f t="shared" si="37"/>
        <v>0</v>
      </c>
      <c r="AW174" s="1121">
        <f>IF(AR174="",0,ROUND((AT174*$AT$7)*데이터입력!$AF$14+(AT174*$AU$7)*데이터입력!$AF$14+(AT174*$AU$7*$AV$7)*데이터입력!$AF$14+(AT174*$AW$7)*데이터입력!$AF$14+(AT174*$AX$7)*데이터입력!$AF$14,-1))</f>
        <v>0</v>
      </c>
      <c r="AX174" s="1122">
        <f t="shared" si="38"/>
        <v>0</v>
      </c>
      <c r="AY174" s="1123">
        <f>IFERROR(IF(AR174+AS174=0,0,ROUND(IF(데이터입력!$AF$14=100%,ROUND(AR174*$AR$1,-3),ROUND(AR174*$AR$1,-3)-ROUND(((AR174*$AR$1)*$AT$4)*(데이터입력!$AF$14-100%)+((AR174*$AR$1)*$AU$4)*(데이터입력!$AF$14-100%)+((AR174*$AR$1)*$AU$4*$AV$4)*(데이터입력!$AF$14-100%)+((AR174*$AR$1)*$AW$4)*(데이터입력!$AF$14-100%),-1)),0)),0)</f>
        <v>0</v>
      </c>
      <c r="AZ174" s="1124">
        <f>IFERROR(IF(AR174+AS174=0,0,IF(데이터입력!$AF$12=100%,(AT174),(AT174)+ROUND(AT174*(데이터입력!$AF$12-100%),-1))),0)</f>
        <v>0</v>
      </c>
      <c r="BA174" s="1265" t="str">
        <f t="shared" si="39"/>
        <v/>
      </c>
      <c r="BB174" s="1264" t="str">
        <f>IF(BA174="","",IF(데이터입력!$O$68="",ROUND(AZ174/12,0),ROUND(데이터입력!$O$68/데이터입력!$Y$8/$BC$63,0)))</f>
        <v/>
      </c>
    </row>
    <row r="175" spans="42:54">
      <c r="AP175" s="1182" t="str">
        <f>IF(예산실적비교표!AL175&lt;&gt;"",예산실적비교표!AL175,"")</f>
        <v/>
      </c>
      <c r="AQ175" s="1183" t="str">
        <f>IF(예산실적비교표!AM175&lt;&gt;"",예산실적비교표!AM175,"")</f>
        <v/>
      </c>
      <c r="AR175" s="1184">
        <f>IF(예산실적비교표!AN175&lt;&gt;"",예산실적비교표!AN175,0)</f>
        <v>0</v>
      </c>
      <c r="AS175" s="1185">
        <f>IF(예산실적비교표!AO175&lt;&gt;"",예산실적비교표!AO175,0)</f>
        <v>0</v>
      </c>
      <c r="AT175" s="1118">
        <f t="shared" si="36"/>
        <v>0</v>
      </c>
      <c r="AU175" s="1186">
        <f>IF(예산실적비교표!AQ175&lt;&gt;"",예산실적비교표!AQ175,0)</f>
        <v>0</v>
      </c>
      <c r="AV175" s="1120">
        <f t="shared" si="37"/>
        <v>0</v>
      </c>
      <c r="AW175" s="1121">
        <f>IF(AR175="",0,ROUND((AT175*$AT$7)*데이터입력!$AF$14+(AT175*$AU$7)*데이터입력!$AF$14+(AT175*$AU$7*$AV$7)*데이터입력!$AF$14+(AT175*$AW$7)*데이터입력!$AF$14+(AT175*$AX$7)*데이터입력!$AF$14,-1))</f>
        <v>0</v>
      </c>
      <c r="AX175" s="1122">
        <f t="shared" si="38"/>
        <v>0</v>
      </c>
      <c r="AY175" s="1123">
        <f>IFERROR(IF(AR175+AS175=0,0,ROUND(IF(데이터입력!$AF$14=100%,ROUND(AR175*$AR$1,-3),ROUND(AR175*$AR$1,-3)-ROUND(((AR175*$AR$1)*$AT$4)*(데이터입력!$AF$14-100%)+((AR175*$AR$1)*$AU$4)*(데이터입력!$AF$14-100%)+((AR175*$AR$1)*$AU$4*$AV$4)*(데이터입력!$AF$14-100%)+((AR175*$AR$1)*$AW$4)*(데이터입력!$AF$14-100%),-1)),0)),0)</f>
        <v>0</v>
      </c>
      <c r="AZ175" s="1124">
        <f>IFERROR(IF(AR175+AS175=0,0,IF(데이터입력!$AF$12=100%,(AT175),(AT175)+ROUND(AT175*(데이터입력!$AF$12-100%),-1))),0)</f>
        <v>0</v>
      </c>
      <c r="BA175" s="1265" t="str">
        <f t="shared" si="39"/>
        <v/>
      </c>
      <c r="BB175" s="1264" t="str">
        <f>IF(BA175="","",IF(데이터입력!$O$68="",ROUND(AZ175/12,0),ROUND(데이터입력!$O$68/데이터입력!$Y$8/$BC$63,0)))</f>
        <v/>
      </c>
    </row>
    <row r="176" spans="42:54">
      <c r="AP176" s="1182" t="str">
        <f>IF(예산실적비교표!AL176&lt;&gt;"",예산실적비교표!AL176,"")</f>
        <v/>
      </c>
      <c r="AQ176" s="1183" t="str">
        <f>IF(예산실적비교표!AM176&lt;&gt;"",예산실적비교표!AM176,"")</f>
        <v/>
      </c>
      <c r="AR176" s="1184">
        <f>IF(예산실적비교표!AN176&lt;&gt;"",예산실적비교표!AN176,0)</f>
        <v>0</v>
      </c>
      <c r="AS176" s="1185">
        <f>IF(예산실적비교표!AO176&lt;&gt;"",예산실적비교표!AO176,0)</f>
        <v>0</v>
      </c>
      <c r="AT176" s="1118">
        <f t="shared" si="36"/>
        <v>0</v>
      </c>
      <c r="AU176" s="1186">
        <f>IF(예산실적비교표!AQ176&lt;&gt;"",예산실적비교표!AQ176,0)</f>
        <v>0</v>
      </c>
      <c r="AV176" s="1120">
        <f t="shared" si="37"/>
        <v>0</v>
      </c>
      <c r="AW176" s="1121">
        <f>IF(AR176="",0,ROUND((AT176*$AT$7)*데이터입력!$AF$14+(AT176*$AU$7)*데이터입력!$AF$14+(AT176*$AU$7*$AV$7)*데이터입력!$AF$14+(AT176*$AW$7)*데이터입력!$AF$14+(AT176*$AX$7)*데이터입력!$AF$14,-1))</f>
        <v>0</v>
      </c>
      <c r="AX176" s="1122">
        <f t="shared" si="38"/>
        <v>0</v>
      </c>
      <c r="AY176" s="1123">
        <f>IFERROR(IF(AR176+AS176=0,0,ROUND(IF(데이터입력!$AF$14=100%,ROUND(AR176*$AR$1,-3),ROUND(AR176*$AR$1,-3)-ROUND(((AR176*$AR$1)*$AT$4)*(데이터입력!$AF$14-100%)+((AR176*$AR$1)*$AU$4)*(데이터입력!$AF$14-100%)+((AR176*$AR$1)*$AU$4*$AV$4)*(데이터입력!$AF$14-100%)+((AR176*$AR$1)*$AW$4)*(데이터입력!$AF$14-100%),-1)),0)),0)</f>
        <v>0</v>
      </c>
      <c r="AZ176" s="1124">
        <f>IFERROR(IF(AR176+AS176=0,0,IF(데이터입력!$AF$12=100%,(AT176),(AT176)+ROUND(AT176*(데이터입력!$AF$12-100%),-1))),0)</f>
        <v>0</v>
      </c>
      <c r="BA176" s="1265" t="str">
        <f t="shared" si="39"/>
        <v/>
      </c>
      <c r="BB176" s="1264" t="str">
        <f>IF(BA176="","",IF(데이터입력!$O$68="",ROUND(AZ176/12,0),ROUND(데이터입력!$O$68/데이터입력!$Y$8/$BC$63,0)))</f>
        <v/>
      </c>
    </row>
    <row r="177" spans="42:54">
      <c r="AP177" s="1182" t="str">
        <f>IF(예산실적비교표!AL177&lt;&gt;"",예산실적비교표!AL177,"")</f>
        <v/>
      </c>
      <c r="AQ177" s="1183" t="str">
        <f>IF(예산실적비교표!AM177&lt;&gt;"",예산실적비교표!AM177,"")</f>
        <v/>
      </c>
      <c r="AR177" s="1184">
        <f>IF(예산실적비교표!AN177&lt;&gt;"",예산실적비교표!AN177,0)</f>
        <v>0</v>
      </c>
      <c r="AS177" s="1185">
        <f>IF(예산실적비교표!AO177&lt;&gt;"",예산실적비교표!AO177,0)</f>
        <v>0</v>
      </c>
      <c r="AT177" s="1118">
        <f t="shared" si="36"/>
        <v>0</v>
      </c>
      <c r="AU177" s="1186">
        <f>IF(예산실적비교표!AQ177&lt;&gt;"",예산실적비교표!AQ177,0)</f>
        <v>0</v>
      </c>
      <c r="AV177" s="1120">
        <f t="shared" si="37"/>
        <v>0</v>
      </c>
      <c r="AW177" s="1121">
        <f>IF(AR177="",0,ROUND((AT177*$AT$7)*데이터입력!$AF$14+(AT177*$AU$7)*데이터입력!$AF$14+(AT177*$AU$7*$AV$7)*데이터입력!$AF$14+(AT177*$AW$7)*데이터입력!$AF$14+(AT177*$AX$7)*데이터입력!$AF$14,-1))</f>
        <v>0</v>
      </c>
      <c r="AX177" s="1122">
        <f t="shared" si="38"/>
        <v>0</v>
      </c>
      <c r="AY177" s="1123">
        <f>IFERROR(IF(AR177+AS177=0,0,ROUND(IF(데이터입력!$AF$14=100%,ROUND(AR177*$AR$1,-3),ROUND(AR177*$AR$1,-3)-ROUND(((AR177*$AR$1)*$AT$4)*(데이터입력!$AF$14-100%)+((AR177*$AR$1)*$AU$4)*(데이터입력!$AF$14-100%)+((AR177*$AR$1)*$AU$4*$AV$4)*(데이터입력!$AF$14-100%)+((AR177*$AR$1)*$AW$4)*(데이터입력!$AF$14-100%),-1)),0)),0)</f>
        <v>0</v>
      </c>
      <c r="AZ177" s="1124">
        <f>IFERROR(IF(AR177+AS177=0,0,IF(데이터입력!$AF$12=100%,(AT177),(AT177)+ROUND(AT177*(데이터입력!$AF$12-100%),-1))),0)</f>
        <v>0</v>
      </c>
      <c r="BA177" s="1265" t="str">
        <f t="shared" si="39"/>
        <v/>
      </c>
      <c r="BB177" s="1264" t="str">
        <f>IF(BA177="","",IF(데이터입력!$O$68="",ROUND(AZ177/12,0),ROUND(데이터입력!$O$68/데이터입력!$Y$8/$BC$63,0)))</f>
        <v/>
      </c>
    </row>
    <row r="178" spans="42:54">
      <c r="AP178" s="1182" t="str">
        <f>IF(예산실적비교표!AL178&lt;&gt;"",예산실적비교표!AL178,"")</f>
        <v/>
      </c>
      <c r="AQ178" s="1183" t="str">
        <f>IF(예산실적비교표!AM178&lt;&gt;"",예산실적비교표!AM178,"")</f>
        <v/>
      </c>
      <c r="AR178" s="1184">
        <f>IF(예산실적비교표!AN178&lt;&gt;"",예산실적비교표!AN178,0)</f>
        <v>0</v>
      </c>
      <c r="AS178" s="1185">
        <f>IF(예산실적비교표!AO178&lt;&gt;"",예산실적비교표!AO178,0)</f>
        <v>0</v>
      </c>
      <c r="AT178" s="1118">
        <f t="shared" si="36"/>
        <v>0</v>
      </c>
      <c r="AU178" s="1186">
        <f>IF(예산실적비교표!AQ178&lt;&gt;"",예산실적비교표!AQ178,0)</f>
        <v>0</v>
      </c>
      <c r="AV178" s="1120">
        <f t="shared" si="37"/>
        <v>0</v>
      </c>
      <c r="AW178" s="1121">
        <f>IF(AR178="",0,ROUND((AT178*$AT$7)*데이터입력!$AF$14+(AT178*$AU$7)*데이터입력!$AF$14+(AT178*$AU$7*$AV$7)*데이터입력!$AF$14+(AT178*$AW$7)*데이터입력!$AF$14+(AT178*$AX$7)*데이터입력!$AF$14,-1))</f>
        <v>0</v>
      </c>
      <c r="AX178" s="1122">
        <f t="shared" si="38"/>
        <v>0</v>
      </c>
      <c r="AY178" s="1123">
        <f>IFERROR(IF(AR178+AS178=0,0,ROUND(IF(데이터입력!$AF$14=100%,ROUND(AR178*$AR$1,-3),ROUND(AR178*$AR$1,-3)-ROUND(((AR178*$AR$1)*$AT$4)*(데이터입력!$AF$14-100%)+((AR178*$AR$1)*$AU$4)*(데이터입력!$AF$14-100%)+((AR178*$AR$1)*$AU$4*$AV$4)*(데이터입력!$AF$14-100%)+((AR178*$AR$1)*$AW$4)*(데이터입력!$AF$14-100%),-1)),0)),0)</f>
        <v>0</v>
      </c>
      <c r="AZ178" s="1124">
        <f>IFERROR(IF(AR178+AS178=0,0,IF(데이터입력!$AF$12=100%,(AT178),(AT178)+ROUND(AT178*(데이터입력!$AF$12-100%),-1))),0)</f>
        <v>0</v>
      </c>
      <c r="BA178" s="1265" t="str">
        <f t="shared" si="39"/>
        <v/>
      </c>
      <c r="BB178" s="1264" t="str">
        <f>IF(BA178="","",IF(데이터입력!$O$68="",ROUND(AZ178/12,0),ROUND(데이터입력!$O$68/데이터입력!$Y$8/$BC$63,0)))</f>
        <v/>
      </c>
    </row>
    <row r="179" spans="42:54">
      <c r="AP179" s="1182" t="str">
        <f>IF(예산실적비교표!AL179&lt;&gt;"",예산실적비교표!AL179,"")</f>
        <v/>
      </c>
      <c r="AQ179" s="1183" t="str">
        <f>IF(예산실적비교표!AM179&lt;&gt;"",예산실적비교표!AM179,"")</f>
        <v/>
      </c>
      <c r="AR179" s="1184">
        <f>IF(예산실적비교표!AN179&lt;&gt;"",예산실적비교표!AN179,0)</f>
        <v>0</v>
      </c>
      <c r="AS179" s="1185">
        <f>IF(예산실적비교표!AO179&lt;&gt;"",예산실적비교표!AO179,0)</f>
        <v>0</v>
      </c>
      <c r="AT179" s="1118">
        <f t="shared" si="36"/>
        <v>0</v>
      </c>
      <c r="AU179" s="1186">
        <f>IF(예산실적비교표!AQ179&lt;&gt;"",예산실적비교표!AQ179,0)</f>
        <v>0</v>
      </c>
      <c r="AV179" s="1120">
        <f t="shared" si="37"/>
        <v>0</v>
      </c>
      <c r="AW179" s="1121">
        <f>IF(AR179="",0,ROUND((AT179*$AT$7)*데이터입력!$AF$14+(AT179*$AU$7)*데이터입력!$AF$14+(AT179*$AU$7*$AV$7)*데이터입력!$AF$14+(AT179*$AW$7)*데이터입력!$AF$14+(AT179*$AX$7)*데이터입력!$AF$14,-1))</f>
        <v>0</v>
      </c>
      <c r="AX179" s="1122">
        <f t="shared" si="38"/>
        <v>0</v>
      </c>
      <c r="AY179" s="1123">
        <f>IFERROR(IF(AR179+AS179=0,0,ROUND(IF(데이터입력!$AF$14=100%,ROUND(AR179*$AR$1,-3),ROUND(AR179*$AR$1,-3)-ROUND(((AR179*$AR$1)*$AT$4)*(데이터입력!$AF$14-100%)+((AR179*$AR$1)*$AU$4)*(데이터입력!$AF$14-100%)+((AR179*$AR$1)*$AU$4*$AV$4)*(데이터입력!$AF$14-100%)+((AR179*$AR$1)*$AW$4)*(데이터입력!$AF$14-100%),-1)),0)),0)</f>
        <v>0</v>
      </c>
      <c r="AZ179" s="1124">
        <f>IFERROR(IF(AR179+AS179=0,0,IF(데이터입력!$AF$12=100%,(AT179),(AT179)+ROUND(AT179*(데이터입력!$AF$12-100%),-1))),0)</f>
        <v>0</v>
      </c>
      <c r="BA179" s="1265" t="str">
        <f t="shared" si="39"/>
        <v/>
      </c>
      <c r="BB179" s="1264" t="str">
        <f>IF(BA179="","",IF(데이터입력!$O$68="",ROUND(AZ179/12,0),ROUND(데이터입력!$O$68/데이터입력!$Y$8/$BC$63,0)))</f>
        <v/>
      </c>
    </row>
    <row r="180" spans="42:54">
      <c r="AP180" s="1182" t="str">
        <f>IF(예산실적비교표!AL180&lt;&gt;"",예산실적비교표!AL180,"")</f>
        <v/>
      </c>
      <c r="AQ180" s="1183" t="str">
        <f>IF(예산실적비교표!AM180&lt;&gt;"",예산실적비교표!AM180,"")</f>
        <v/>
      </c>
      <c r="AR180" s="1184">
        <f>IF(예산실적비교표!AN180&lt;&gt;"",예산실적비교표!AN180,0)</f>
        <v>0</v>
      </c>
      <c r="AS180" s="1185">
        <f>IF(예산실적비교표!AO180&lt;&gt;"",예산실적비교표!AO180,0)</f>
        <v>0</v>
      </c>
      <c r="AT180" s="1118">
        <f t="shared" si="36"/>
        <v>0</v>
      </c>
      <c r="AU180" s="1186">
        <f>IF(예산실적비교표!AQ180&lt;&gt;"",예산실적비교표!AQ180,0)</f>
        <v>0</v>
      </c>
      <c r="AV180" s="1120">
        <f t="shared" si="37"/>
        <v>0</v>
      </c>
      <c r="AW180" s="1121">
        <f>IF(AR180="",0,ROUND((AT180*$AT$7)*데이터입력!$AF$14+(AT180*$AU$7)*데이터입력!$AF$14+(AT180*$AU$7*$AV$7)*데이터입력!$AF$14+(AT180*$AW$7)*데이터입력!$AF$14+(AT180*$AX$7)*데이터입력!$AF$14,-1))</f>
        <v>0</v>
      </c>
      <c r="AX180" s="1122">
        <f t="shared" si="38"/>
        <v>0</v>
      </c>
      <c r="AY180" s="1123">
        <f>IFERROR(IF(AR180+AS180=0,0,ROUND(IF(데이터입력!$AF$14=100%,ROUND(AR180*$AR$1,-3),ROUND(AR180*$AR$1,-3)-ROUND(((AR180*$AR$1)*$AT$4)*(데이터입력!$AF$14-100%)+((AR180*$AR$1)*$AU$4)*(데이터입력!$AF$14-100%)+((AR180*$AR$1)*$AU$4*$AV$4)*(데이터입력!$AF$14-100%)+((AR180*$AR$1)*$AW$4)*(데이터입력!$AF$14-100%),-1)),0)),0)</f>
        <v>0</v>
      </c>
      <c r="AZ180" s="1124">
        <f>IFERROR(IF(AR180+AS180=0,0,IF(데이터입력!$AF$12=100%,(AT180),(AT180)+ROUND(AT180*(데이터입력!$AF$12-100%),-1))),0)</f>
        <v>0</v>
      </c>
      <c r="BA180" s="1265" t="str">
        <f t="shared" si="39"/>
        <v/>
      </c>
      <c r="BB180" s="1264" t="str">
        <f>IF(BA180="","",IF(데이터입력!$O$68="",ROUND(AZ180/12,0),ROUND(데이터입력!$O$68/데이터입력!$Y$8/$BC$63,0)))</f>
        <v/>
      </c>
    </row>
    <row r="181" spans="42:54">
      <c r="AP181" s="1182" t="str">
        <f>IF(예산실적비교표!AL181&lt;&gt;"",예산실적비교표!AL181,"")</f>
        <v/>
      </c>
      <c r="AQ181" s="1183" t="str">
        <f>IF(예산실적비교표!AM181&lt;&gt;"",예산실적비교표!AM181,"")</f>
        <v/>
      </c>
      <c r="AR181" s="1184">
        <f>IF(예산실적비교표!AN181&lt;&gt;"",예산실적비교표!AN181,0)</f>
        <v>0</v>
      </c>
      <c r="AS181" s="1185">
        <f>IF(예산실적비교표!AO181&lt;&gt;"",예산실적비교표!AO181,0)</f>
        <v>0</v>
      </c>
      <c r="AT181" s="1118">
        <f t="shared" si="36"/>
        <v>0</v>
      </c>
      <c r="AU181" s="1186">
        <f>IF(예산실적비교표!AQ181&lt;&gt;"",예산실적비교표!AQ181,0)</f>
        <v>0</v>
      </c>
      <c r="AV181" s="1120">
        <f t="shared" si="37"/>
        <v>0</v>
      </c>
      <c r="AW181" s="1121">
        <f>IF(AR181="",0,ROUND((AT181*$AT$7)*데이터입력!$AF$14+(AT181*$AU$7)*데이터입력!$AF$14+(AT181*$AU$7*$AV$7)*데이터입력!$AF$14+(AT181*$AW$7)*데이터입력!$AF$14+(AT181*$AX$7)*데이터입력!$AF$14,-1))</f>
        <v>0</v>
      </c>
      <c r="AX181" s="1122">
        <f t="shared" si="38"/>
        <v>0</v>
      </c>
      <c r="AY181" s="1123">
        <f>IFERROR(IF(AR181+AS181=0,0,ROUND(IF(데이터입력!$AF$14=100%,ROUND(AR181*$AR$1,-3),ROUND(AR181*$AR$1,-3)-ROUND(((AR181*$AR$1)*$AT$4)*(데이터입력!$AF$14-100%)+((AR181*$AR$1)*$AU$4)*(데이터입력!$AF$14-100%)+((AR181*$AR$1)*$AU$4*$AV$4)*(데이터입력!$AF$14-100%)+((AR181*$AR$1)*$AW$4)*(데이터입력!$AF$14-100%),-1)),0)),0)</f>
        <v>0</v>
      </c>
      <c r="AZ181" s="1124">
        <f>IFERROR(IF(AR181+AS181=0,0,IF(데이터입력!$AF$12=100%,(AT181),(AT181)+ROUND(AT181*(데이터입력!$AF$12-100%),-1))),0)</f>
        <v>0</v>
      </c>
      <c r="BA181" s="1265" t="str">
        <f t="shared" si="39"/>
        <v/>
      </c>
      <c r="BB181" s="1264" t="str">
        <f>IF(BA181="","",IF(데이터입력!$O$68="",ROUND(AZ181/12,0),ROUND(데이터입력!$O$68/데이터입력!$Y$8/$BC$63,0)))</f>
        <v/>
      </c>
    </row>
    <row r="182" spans="42:54">
      <c r="AP182" s="1182" t="str">
        <f>IF(예산실적비교표!AL182&lt;&gt;"",예산실적비교표!AL182,"")</f>
        <v/>
      </c>
      <c r="AQ182" s="1183" t="str">
        <f>IF(예산실적비교표!AM182&lt;&gt;"",예산실적비교표!AM182,"")</f>
        <v/>
      </c>
      <c r="AR182" s="1184">
        <f>IF(예산실적비교표!AN182&lt;&gt;"",예산실적비교표!AN182,0)</f>
        <v>0</v>
      </c>
      <c r="AS182" s="1185">
        <f>IF(예산실적비교표!AO182&lt;&gt;"",예산실적비교표!AO182,0)</f>
        <v>0</v>
      </c>
      <c r="AT182" s="1118">
        <f t="shared" si="36"/>
        <v>0</v>
      </c>
      <c r="AU182" s="1186">
        <f>IF(예산실적비교표!AQ182&lt;&gt;"",예산실적비교표!AQ182,0)</f>
        <v>0</v>
      </c>
      <c r="AV182" s="1120">
        <f t="shared" si="37"/>
        <v>0</v>
      </c>
      <c r="AW182" s="1121">
        <f>IF(AR182="",0,ROUND((AT182*$AT$7)*데이터입력!$AF$14+(AT182*$AU$7)*데이터입력!$AF$14+(AT182*$AU$7*$AV$7)*데이터입력!$AF$14+(AT182*$AW$7)*데이터입력!$AF$14+(AT182*$AX$7)*데이터입력!$AF$14,-1))</f>
        <v>0</v>
      </c>
      <c r="AX182" s="1122">
        <f t="shared" si="38"/>
        <v>0</v>
      </c>
      <c r="AY182" s="1123">
        <f>IFERROR(IF(AR182+AS182=0,0,ROUND(IF(데이터입력!$AF$14=100%,ROUND(AR182*$AR$1,-3),ROUND(AR182*$AR$1,-3)-ROUND(((AR182*$AR$1)*$AT$4)*(데이터입력!$AF$14-100%)+((AR182*$AR$1)*$AU$4)*(데이터입력!$AF$14-100%)+((AR182*$AR$1)*$AU$4*$AV$4)*(데이터입력!$AF$14-100%)+((AR182*$AR$1)*$AW$4)*(데이터입력!$AF$14-100%),-1)),0)),0)</f>
        <v>0</v>
      </c>
      <c r="AZ182" s="1124">
        <f>IFERROR(IF(AR182+AS182=0,0,IF(데이터입력!$AF$12=100%,(AT182),(AT182)+ROUND(AT182*(데이터입력!$AF$12-100%),-1))),0)</f>
        <v>0</v>
      </c>
      <c r="BA182" s="1265" t="str">
        <f t="shared" si="39"/>
        <v/>
      </c>
      <c r="BB182" s="1264" t="str">
        <f>IF(BA182="","",IF(데이터입력!$O$68="",ROUND(AZ182/12,0),ROUND(데이터입력!$O$68/데이터입력!$Y$8/$BC$63,0)))</f>
        <v/>
      </c>
    </row>
    <row r="183" spans="42:54">
      <c r="AP183" s="1182" t="str">
        <f>IF(예산실적비교표!AL183&lt;&gt;"",예산실적비교표!AL183,"")</f>
        <v/>
      </c>
      <c r="AQ183" s="1183" t="str">
        <f>IF(예산실적비교표!AM183&lt;&gt;"",예산실적비교표!AM183,"")</f>
        <v/>
      </c>
      <c r="AR183" s="1184">
        <f>IF(예산실적비교표!AN183&lt;&gt;"",예산실적비교표!AN183,0)</f>
        <v>0</v>
      </c>
      <c r="AS183" s="1185">
        <f>IF(예산실적비교표!AO183&lt;&gt;"",예산실적비교표!AO183,0)</f>
        <v>0</v>
      </c>
      <c r="AT183" s="1118">
        <f t="shared" si="36"/>
        <v>0</v>
      </c>
      <c r="AU183" s="1186">
        <f>IF(예산실적비교표!AQ183&lt;&gt;"",예산실적비교표!AQ183,0)</f>
        <v>0</v>
      </c>
      <c r="AV183" s="1120">
        <f t="shared" si="37"/>
        <v>0</v>
      </c>
      <c r="AW183" s="1121">
        <f>IF(AR183="",0,ROUND((AT183*$AT$7)*데이터입력!$AF$14+(AT183*$AU$7)*데이터입력!$AF$14+(AT183*$AU$7*$AV$7)*데이터입력!$AF$14+(AT183*$AW$7)*데이터입력!$AF$14+(AT183*$AX$7)*데이터입력!$AF$14,-1))</f>
        <v>0</v>
      </c>
      <c r="AX183" s="1122">
        <f t="shared" si="38"/>
        <v>0</v>
      </c>
      <c r="AY183" s="1123">
        <f>IFERROR(IF(AR183+AS183=0,0,ROUND(IF(데이터입력!$AF$14=100%,ROUND(AR183*$AR$1,-3),ROUND(AR183*$AR$1,-3)-ROUND(((AR183*$AR$1)*$AT$4)*(데이터입력!$AF$14-100%)+((AR183*$AR$1)*$AU$4)*(데이터입력!$AF$14-100%)+((AR183*$AR$1)*$AU$4*$AV$4)*(데이터입력!$AF$14-100%)+((AR183*$AR$1)*$AW$4)*(데이터입력!$AF$14-100%),-1)),0)),0)</f>
        <v>0</v>
      </c>
      <c r="AZ183" s="1124">
        <f>IFERROR(IF(AR183+AS183=0,0,IF(데이터입력!$AF$12=100%,(AT183),(AT183)+ROUND(AT183*(데이터입력!$AF$12-100%),-1))),0)</f>
        <v>0</v>
      </c>
      <c r="BA183" s="1265" t="str">
        <f t="shared" si="39"/>
        <v/>
      </c>
      <c r="BB183" s="1264" t="str">
        <f>IF(BA183="","",IF(데이터입력!$O$68="",ROUND(AZ183/12,0),ROUND(데이터입력!$O$68/데이터입력!$Y$8/$BC$63,0)))</f>
        <v/>
      </c>
    </row>
    <row r="184" spans="42:54">
      <c r="AP184" s="1182" t="str">
        <f>IF(예산실적비교표!AL184&lt;&gt;"",예산실적비교표!AL184,"")</f>
        <v/>
      </c>
      <c r="AQ184" s="1183" t="str">
        <f>IF(예산실적비교표!AM184&lt;&gt;"",예산실적비교표!AM184,"")</f>
        <v/>
      </c>
      <c r="AR184" s="1184">
        <f>IF(예산실적비교표!AN184&lt;&gt;"",예산실적비교표!AN184,0)</f>
        <v>0</v>
      </c>
      <c r="AS184" s="1185">
        <f>IF(예산실적비교표!AO184&lt;&gt;"",예산실적비교표!AO184,0)</f>
        <v>0</v>
      </c>
      <c r="AT184" s="1118">
        <f t="shared" si="36"/>
        <v>0</v>
      </c>
      <c r="AU184" s="1186">
        <f>IF(예산실적비교표!AQ184&lt;&gt;"",예산실적비교표!AQ184,0)</f>
        <v>0</v>
      </c>
      <c r="AV184" s="1120">
        <f t="shared" si="37"/>
        <v>0</v>
      </c>
      <c r="AW184" s="1121">
        <f>IF(AR184="",0,ROUND((AT184*$AT$7)*데이터입력!$AF$14+(AT184*$AU$7)*데이터입력!$AF$14+(AT184*$AU$7*$AV$7)*데이터입력!$AF$14+(AT184*$AW$7)*데이터입력!$AF$14+(AT184*$AX$7)*데이터입력!$AF$14,-1))</f>
        <v>0</v>
      </c>
      <c r="AX184" s="1122">
        <f t="shared" si="38"/>
        <v>0</v>
      </c>
      <c r="AY184" s="1123">
        <f>IFERROR(IF(AR184+AS184=0,0,ROUND(IF(데이터입력!$AF$14=100%,ROUND(AR184*$AR$1,-3),ROUND(AR184*$AR$1,-3)-ROUND(((AR184*$AR$1)*$AT$4)*(데이터입력!$AF$14-100%)+((AR184*$AR$1)*$AU$4)*(데이터입력!$AF$14-100%)+((AR184*$AR$1)*$AU$4*$AV$4)*(데이터입력!$AF$14-100%)+((AR184*$AR$1)*$AW$4)*(데이터입력!$AF$14-100%),-1)),0)),0)</f>
        <v>0</v>
      </c>
      <c r="AZ184" s="1124">
        <f>IFERROR(IF(AR184+AS184=0,0,IF(데이터입력!$AF$12=100%,(AT184),(AT184)+ROUND(AT184*(데이터입력!$AF$12-100%),-1))),0)</f>
        <v>0</v>
      </c>
      <c r="BA184" s="1265" t="str">
        <f t="shared" si="39"/>
        <v/>
      </c>
      <c r="BB184" s="1264" t="str">
        <f>IF(BA184="","",IF(데이터입력!$O$68="",ROUND(AZ184/12,0),ROUND(데이터입력!$O$68/데이터입력!$Y$8/$BC$63,0)))</f>
        <v/>
      </c>
    </row>
    <row r="185" spans="42:54">
      <c r="AP185" s="1182" t="str">
        <f>IF(예산실적비교표!AL185&lt;&gt;"",예산실적비교표!AL185,"")</f>
        <v/>
      </c>
      <c r="AQ185" s="1183" t="str">
        <f>IF(예산실적비교표!AM185&lt;&gt;"",예산실적비교표!AM185,"")</f>
        <v/>
      </c>
      <c r="AR185" s="1184">
        <f>IF(예산실적비교표!AN185&lt;&gt;"",예산실적비교표!AN185,0)</f>
        <v>0</v>
      </c>
      <c r="AS185" s="1185">
        <f>IF(예산실적비교표!AO185&lt;&gt;"",예산실적비교표!AO185,0)</f>
        <v>0</v>
      </c>
      <c r="AT185" s="1118">
        <f t="shared" si="36"/>
        <v>0</v>
      </c>
      <c r="AU185" s="1186">
        <f>IF(예산실적비교표!AQ185&lt;&gt;"",예산실적비교표!AQ185,0)</f>
        <v>0</v>
      </c>
      <c r="AV185" s="1120">
        <f t="shared" si="37"/>
        <v>0</v>
      </c>
      <c r="AW185" s="1121">
        <f>IF(AR185="",0,ROUND((AT185*$AT$7)*데이터입력!$AF$14+(AT185*$AU$7)*데이터입력!$AF$14+(AT185*$AU$7*$AV$7)*데이터입력!$AF$14+(AT185*$AW$7)*데이터입력!$AF$14+(AT185*$AX$7)*데이터입력!$AF$14,-1))</f>
        <v>0</v>
      </c>
      <c r="AX185" s="1122">
        <f t="shared" si="38"/>
        <v>0</v>
      </c>
      <c r="AY185" s="1123">
        <f>IFERROR(IF(AR185+AS185=0,0,ROUND(IF(데이터입력!$AF$14=100%,ROUND(AR185*$AR$1,-3),ROUND(AR185*$AR$1,-3)-ROUND(((AR185*$AR$1)*$AT$4)*(데이터입력!$AF$14-100%)+((AR185*$AR$1)*$AU$4)*(데이터입력!$AF$14-100%)+((AR185*$AR$1)*$AU$4*$AV$4)*(데이터입력!$AF$14-100%)+((AR185*$AR$1)*$AW$4)*(데이터입력!$AF$14-100%),-1)),0)),0)</f>
        <v>0</v>
      </c>
      <c r="AZ185" s="1124">
        <f>IFERROR(IF(AR185+AS185=0,0,IF(데이터입력!$AF$12=100%,(AT185),(AT185)+ROUND(AT185*(데이터입력!$AF$12-100%),-1))),0)</f>
        <v>0</v>
      </c>
      <c r="BA185" s="1265" t="str">
        <f t="shared" si="39"/>
        <v/>
      </c>
      <c r="BB185" s="1264" t="str">
        <f>IF(BA185="","",IF(데이터입력!$O$68="",ROUND(AZ185/12,0),ROUND(데이터입력!$O$68/데이터입력!$Y$8/$BC$63,0)))</f>
        <v/>
      </c>
    </row>
    <row r="186" spans="42:54">
      <c r="AP186" s="1182" t="str">
        <f>IF(예산실적비교표!AL186&lt;&gt;"",예산실적비교표!AL186,"")</f>
        <v/>
      </c>
      <c r="AQ186" s="1183" t="str">
        <f>IF(예산실적비교표!AM186&lt;&gt;"",예산실적비교표!AM186,"")</f>
        <v/>
      </c>
      <c r="AR186" s="1184">
        <f>IF(예산실적비교표!AN186&lt;&gt;"",예산실적비교표!AN186,0)</f>
        <v>0</v>
      </c>
      <c r="AS186" s="1185">
        <f>IF(예산실적비교표!AO186&lt;&gt;"",예산실적비교표!AO186,0)</f>
        <v>0</v>
      </c>
      <c r="AT186" s="1118">
        <f t="shared" si="36"/>
        <v>0</v>
      </c>
      <c r="AU186" s="1186">
        <f>IF(예산실적비교표!AQ186&lt;&gt;"",예산실적비교표!AQ186,0)</f>
        <v>0</v>
      </c>
      <c r="AV186" s="1120">
        <f t="shared" si="37"/>
        <v>0</v>
      </c>
      <c r="AW186" s="1121">
        <f>IF(AR186="",0,ROUND((AT186*$AT$7)*데이터입력!$AF$14+(AT186*$AU$7)*데이터입력!$AF$14+(AT186*$AU$7*$AV$7)*데이터입력!$AF$14+(AT186*$AW$7)*데이터입력!$AF$14+(AT186*$AX$7)*데이터입력!$AF$14,-1))</f>
        <v>0</v>
      </c>
      <c r="AX186" s="1122">
        <f t="shared" si="38"/>
        <v>0</v>
      </c>
      <c r="AY186" s="1123">
        <f>IFERROR(IF(AR186+AS186=0,0,ROUND(IF(데이터입력!$AF$14=100%,ROUND(AR186*$AR$1,-3),ROUND(AR186*$AR$1,-3)-ROUND(((AR186*$AR$1)*$AT$4)*(데이터입력!$AF$14-100%)+((AR186*$AR$1)*$AU$4)*(데이터입력!$AF$14-100%)+((AR186*$AR$1)*$AU$4*$AV$4)*(데이터입력!$AF$14-100%)+((AR186*$AR$1)*$AW$4)*(데이터입력!$AF$14-100%),-1)),0)),0)</f>
        <v>0</v>
      </c>
      <c r="AZ186" s="1124">
        <f>IFERROR(IF(AR186+AS186=0,0,IF(데이터입력!$AF$12=100%,(AT186),(AT186)+ROUND(AT186*(데이터입력!$AF$12-100%),-1))),0)</f>
        <v>0</v>
      </c>
      <c r="BA186" s="1265" t="str">
        <f t="shared" si="39"/>
        <v/>
      </c>
      <c r="BB186" s="1264" t="str">
        <f>IF(BA186="","",IF(데이터입력!$O$68="",ROUND(AZ186/12,0),ROUND(데이터입력!$O$68/데이터입력!$Y$8/$BC$63,0)))</f>
        <v/>
      </c>
    </row>
    <row r="187" spans="42:54">
      <c r="AP187" s="1182" t="str">
        <f>IF(예산실적비교표!AL187&lt;&gt;"",예산실적비교표!AL187,"")</f>
        <v/>
      </c>
      <c r="AQ187" s="1183" t="str">
        <f>IF(예산실적비교표!AM187&lt;&gt;"",예산실적비교표!AM187,"")</f>
        <v/>
      </c>
      <c r="AR187" s="1184">
        <f>IF(예산실적비교표!AN187&lt;&gt;"",예산실적비교표!AN187,0)</f>
        <v>0</v>
      </c>
      <c r="AS187" s="1185">
        <f>IF(예산실적비교표!AO187&lt;&gt;"",예산실적비교표!AO187,0)</f>
        <v>0</v>
      </c>
      <c r="AT187" s="1118">
        <f t="shared" si="36"/>
        <v>0</v>
      </c>
      <c r="AU187" s="1186">
        <f>IF(예산실적비교표!AQ187&lt;&gt;"",예산실적비교표!AQ187,0)</f>
        <v>0</v>
      </c>
      <c r="AV187" s="1120">
        <f t="shared" si="37"/>
        <v>0</v>
      </c>
      <c r="AW187" s="1121">
        <f>IF(AR187="",0,ROUND((AT187*$AT$7)*데이터입력!$AF$14+(AT187*$AU$7)*데이터입력!$AF$14+(AT187*$AU$7*$AV$7)*데이터입력!$AF$14+(AT187*$AW$7)*데이터입력!$AF$14+(AT187*$AX$7)*데이터입력!$AF$14,-1))</f>
        <v>0</v>
      </c>
      <c r="AX187" s="1122">
        <f t="shared" si="38"/>
        <v>0</v>
      </c>
      <c r="AY187" s="1123">
        <f>IFERROR(IF(AR187+AS187=0,0,ROUND(IF(데이터입력!$AF$14=100%,ROUND(AR187*$AR$1,-3),ROUND(AR187*$AR$1,-3)-ROUND(((AR187*$AR$1)*$AT$4)*(데이터입력!$AF$14-100%)+((AR187*$AR$1)*$AU$4)*(데이터입력!$AF$14-100%)+((AR187*$AR$1)*$AU$4*$AV$4)*(데이터입력!$AF$14-100%)+((AR187*$AR$1)*$AW$4)*(데이터입력!$AF$14-100%),-1)),0)),0)</f>
        <v>0</v>
      </c>
      <c r="AZ187" s="1124">
        <f>IFERROR(IF(AR187+AS187=0,0,IF(데이터입력!$AF$12=100%,(AT187),(AT187)+ROUND(AT187*(데이터입력!$AF$12-100%),-1))),0)</f>
        <v>0</v>
      </c>
      <c r="BA187" s="1265" t="str">
        <f t="shared" si="39"/>
        <v/>
      </c>
      <c r="BB187" s="1264" t="str">
        <f>IF(BA187="","",IF(데이터입력!$O$68="",ROUND(AZ187/12,0),ROUND(데이터입력!$O$68/데이터입력!$Y$8/$BC$63,0)))</f>
        <v/>
      </c>
    </row>
    <row r="188" spans="42:54">
      <c r="AP188" s="1182" t="str">
        <f>IF(예산실적비교표!AL188&lt;&gt;"",예산실적비교표!AL188,"")</f>
        <v/>
      </c>
      <c r="AQ188" s="1183" t="str">
        <f>IF(예산실적비교표!AM188&lt;&gt;"",예산실적비교표!AM188,"")</f>
        <v/>
      </c>
      <c r="AR188" s="1184">
        <f>IF(예산실적비교표!AN188&lt;&gt;"",예산실적비교표!AN188,0)</f>
        <v>0</v>
      </c>
      <c r="AS188" s="1185">
        <f>IF(예산실적비교표!AO188&lt;&gt;"",예산실적비교표!AO188,0)</f>
        <v>0</v>
      </c>
      <c r="AT188" s="1118">
        <f t="shared" si="36"/>
        <v>0</v>
      </c>
      <c r="AU188" s="1186">
        <f>IF(예산실적비교표!AQ188&lt;&gt;"",예산실적비교표!AQ188,0)</f>
        <v>0</v>
      </c>
      <c r="AV188" s="1120">
        <f t="shared" si="37"/>
        <v>0</v>
      </c>
      <c r="AW188" s="1121">
        <f>IF(AR188="",0,ROUND((AT188*$AT$7)*데이터입력!$AF$14+(AT188*$AU$7)*데이터입력!$AF$14+(AT188*$AU$7*$AV$7)*데이터입력!$AF$14+(AT188*$AW$7)*데이터입력!$AF$14+(AT188*$AX$7)*데이터입력!$AF$14,-1))</f>
        <v>0</v>
      </c>
      <c r="AX188" s="1122">
        <f t="shared" si="38"/>
        <v>0</v>
      </c>
      <c r="AY188" s="1123">
        <f>IFERROR(IF(AR188+AS188=0,0,ROUND(IF(데이터입력!$AF$14=100%,ROUND(AR188*$AR$1,-3),ROUND(AR188*$AR$1,-3)-ROUND(((AR188*$AR$1)*$AT$4)*(데이터입력!$AF$14-100%)+((AR188*$AR$1)*$AU$4)*(데이터입력!$AF$14-100%)+((AR188*$AR$1)*$AU$4*$AV$4)*(데이터입력!$AF$14-100%)+((AR188*$AR$1)*$AW$4)*(데이터입력!$AF$14-100%),-1)),0)),0)</f>
        <v>0</v>
      </c>
      <c r="AZ188" s="1124">
        <f>IFERROR(IF(AR188+AS188=0,0,IF(데이터입력!$AF$12=100%,(AT188),(AT188)+ROUND(AT188*(데이터입력!$AF$12-100%),-1))),0)</f>
        <v>0</v>
      </c>
      <c r="BA188" s="1265" t="str">
        <f t="shared" si="39"/>
        <v/>
      </c>
      <c r="BB188" s="1264" t="str">
        <f>IF(BA188="","",IF(데이터입력!$O$68="",ROUND(AZ188/12,0),ROUND(데이터입력!$O$68/데이터입력!$Y$8/$BC$63,0)))</f>
        <v/>
      </c>
    </row>
    <row r="189" spans="42:54">
      <c r="AP189" s="1182" t="str">
        <f>IF(예산실적비교표!AL189&lt;&gt;"",예산실적비교표!AL189,"")</f>
        <v/>
      </c>
      <c r="AQ189" s="1183" t="str">
        <f>IF(예산실적비교표!AM189&lt;&gt;"",예산실적비교표!AM189,"")</f>
        <v/>
      </c>
      <c r="AR189" s="1184">
        <f>IF(예산실적비교표!AN189&lt;&gt;"",예산실적비교표!AN189,0)</f>
        <v>0</v>
      </c>
      <c r="AS189" s="1185">
        <f>IF(예산실적비교표!AO189&lt;&gt;"",예산실적비교표!AO189,0)</f>
        <v>0</v>
      </c>
      <c r="AT189" s="1118">
        <f t="shared" si="36"/>
        <v>0</v>
      </c>
      <c r="AU189" s="1186">
        <f>IF(예산실적비교표!AQ189&lt;&gt;"",예산실적비교표!AQ189,0)</f>
        <v>0</v>
      </c>
      <c r="AV189" s="1120">
        <f t="shared" si="37"/>
        <v>0</v>
      </c>
      <c r="AW189" s="1121">
        <f>IF(AR189="",0,ROUND((AT189*$AT$7)*데이터입력!$AF$14+(AT189*$AU$7)*데이터입력!$AF$14+(AT189*$AU$7*$AV$7)*데이터입력!$AF$14+(AT189*$AW$7)*데이터입력!$AF$14+(AT189*$AX$7)*데이터입력!$AF$14,-1))</f>
        <v>0</v>
      </c>
      <c r="AX189" s="1122">
        <f t="shared" si="38"/>
        <v>0</v>
      </c>
      <c r="AY189" s="1123">
        <f>IFERROR(IF(AR189+AS189=0,0,ROUND(IF(데이터입력!$AF$14=100%,ROUND(AR189*$AR$1,-3),ROUND(AR189*$AR$1,-3)-ROUND(((AR189*$AR$1)*$AT$4)*(데이터입력!$AF$14-100%)+((AR189*$AR$1)*$AU$4)*(데이터입력!$AF$14-100%)+((AR189*$AR$1)*$AU$4*$AV$4)*(데이터입력!$AF$14-100%)+((AR189*$AR$1)*$AW$4)*(데이터입력!$AF$14-100%),-1)),0)),0)</f>
        <v>0</v>
      </c>
      <c r="AZ189" s="1124">
        <f>IFERROR(IF(AR189+AS189=0,0,IF(데이터입력!$AF$12=100%,(AT189),(AT189)+ROUND(AT189*(데이터입력!$AF$12-100%),-1))),0)</f>
        <v>0</v>
      </c>
      <c r="BA189" s="1265" t="str">
        <f t="shared" si="39"/>
        <v/>
      </c>
      <c r="BB189" s="1264" t="str">
        <f>IF(BA189="","",IF(데이터입력!$O$68="",ROUND(AZ189/12,0),ROUND(데이터입력!$O$68/데이터입력!$Y$8/$BC$63,0)))</f>
        <v/>
      </c>
    </row>
    <row r="190" spans="42:54">
      <c r="AP190" s="1182" t="str">
        <f>IF(예산실적비교표!AL190&lt;&gt;"",예산실적비교표!AL190,"")</f>
        <v/>
      </c>
      <c r="AQ190" s="1183" t="str">
        <f>IF(예산실적비교표!AM190&lt;&gt;"",예산실적비교표!AM190,"")</f>
        <v/>
      </c>
      <c r="AR190" s="1184">
        <f>IF(예산실적비교표!AN190&lt;&gt;"",예산실적비교표!AN190,0)</f>
        <v>0</v>
      </c>
      <c r="AS190" s="1185">
        <f>IF(예산실적비교표!AO190&lt;&gt;"",예산실적비교표!AO190,0)</f>
        <v>0</v>
      </c>
      <c r="AT190" s="1118">
        <f t="shared" si="36"/>
        <v>0</v>
      </c>
      <c r="AU190" s="1186">
        <f>IF(예산실적비교표!AQ190&lt;&gt;"",예산실적비교표!AQ190,0)</f>
        <v>0</v>
      </c>
      <c r="AV190" s="1120">
        <f t="shared" si="37"/>
        <v>0</v>
      </c>
      <c r="AW190" s="1121">
        <f>IF(AR190="",0,ROUND((AT190*$AT$7)*데이터입력!$AF$14+(AT190*$AU$7)*데이터입력!$AF$14+(AT190*$AU$7*$AV$7)*데이터입력!$AF$14+(AT190*$AW$7)*데이터입력!$AF$14+(AT190*$AX$7)*데이터입력!$AF$14,-1))</f>
        <v>0</v>
      </c>
      <c r="AX190" s="1122">
        <f t="shared" si="38"/>
        <v>0</v>
      </c>
      <c r="AY190" s="1123">
        <f>IFERROR(IF(AR190+AS190=0,0,ROUND(IF(데이터입력!$AF$14=100%,ROUND(AR190*$AR$1,-3),ROUND(AR190*$AR$1,-3)-ROUND(((AR190*$AR$1)*$AT$4)*(데이터입력!$AF$14-100%)+((AR190*$AR$1)*$AU$4)*(데이터입력!$AF$14-100%)+((AR190*$AR$1)*$AU$4*$AV$4)*(데이터입력!$AF$14-100%)+((AR190*$AR$1)*$AW$4)*(데이터입력!$AF$14-100%),-1)),0)),0)</f>
        <v>0</v>
      </c>
      <c r="AZ190" s="1124">
        <f>IFERROR(IF(AR190+AS190=0,0,IF(데이터입력!$AF$12=100%,(AT190),(AT190)+ROUND(AT190*(데이터입력!$AF$12-100%),-1))),0)</f>
        <v>0</v>
      </c>
      <c r="BA190" s="1265" t="str">
        <f t="shared" si="39"/>
        <v/>
      </c>
      <c r="BB190" s="1264" t="str">
        <f>IF(BA190="","",IF(데이터입력!$O$68="",ROUND(AZ190/12,0),ROUND(데이터입력!$O$68/데이터입력!$Y$8/$BC$63,0)))</f>
        <v/>
      </c>
    </row>
    <row r="191" spans="42:54">
      <c r="AP191" s="1182" t="str">
        <f>IF(예산실적비교표!AL191&lt;&gt;"",예산실적비교표!AL191,"")</f>
        <v/>
      </c>
      <c r="AQ191" s="1183" t="str">
        <f>IF(예산실적비교표!AM191&lt;&gt;"",예산실적비교표!AM191,"")</f>
        <v/>
      </c>
      <c r="AR191" s="1184">
        <f>IF(예산실적비교표!AN191&lt;&gt;"",예산실적비교표!AN191,0)</f>
        <v>0</v>
      </c>
      <c r="AS191" s="1185">
        <f>IF(예산실적비교표!AO191&lt;&gt;"",예산실적비교표!AO191,0)</f>
        <v>0</v>
      </c>
      <c r="AT191" s="1118">
        <f t="shared" si="36"/>
        <v>0</v>
      </c>
      <c r="AU191" s="1186">
        <f>IF(예산실적비교표!AQ191&lt;&gt;"",예산실적비교표!AQ191,0)</f>
        <v>0</v>
      </c>
      <c r="AV191" s="1120">
        <f t="shared" si="37"/>
        <v>0</v>
      </c>
      <c r="AW191" s="1121">
        <f>IF(AR191="",0,ROUND((AT191*$AT$7)*데이터입력!$AF$14+(AT191*$AU$7)*데이터입력!$AF$14+(AT191*$AU$7*$AV$7)*데이터입력!$AF$14+(AT191*$AW$7)*데이터입력!$AF$14+(AT191*$AX$7)*데이터입력!$AF$14,-1))</f>
        <v>0</v>
      </c>
      <c r="AX191" s="1122">
        <f t="shared" si="38"/>
        <v>0</v>
      </c>
      <c r="AY191" s="1123">
        <f>IFERROR(IF(AR191+AS191=0,0,ROUND(IF(데이터입력!$AF$14=100%,ROUND(AR191*$AR$1,-3),ROUND(AR191*$AR$1,-3)-ROUND(((AR191*$AR$1)*$AT$4)*(데이터입력!$AF$14-100%)+((AR191*$AR$1)*$AU$4)*(데이터입력!$AF$14-100%)+((AR191*$AR$1)*$AU$4*$AV$4)*(데이터입력!$AF$14-100%)+((AR191*$AR$1)*$AW$4)*(데이터입력!$AF$14-100%),-1)),0)),0)</f>
        <v>0</v>
      </c>
      <c r="AZ191" s="1124">
        <f>IFERROR(IF(AR191+AS191=0,0,IF(데이터입력!$AF$12=100%,(AT191),(AT191)+ROUND(AT191*(데이터입력!$AF$12-100%),-1))),0)</f>
        <v>0</v>
      </c>
      <c r="BA191" s="1265" t="str">
        <f t="shared" si="39"/>
        <v/>
      </c>
      <c r="BB191" s="1264" t="str">
        <f>IF(BA191="","",IF(데이터입력!$O$68="",ROUND(AZ191/12,0),ROUND(데이터입력!$O$68/데이터입력!$Y$8/$BC$63,0)))</f>
        <v/>
      </c>
    </row>
    <row r="192" spans="42:54">
      <c r="AP192" s="1182" t="str">
        <f>IF(예산실적비교표!AL192&lt;&gt;"",예산실적비교표!AL192,"")</f>
        <v/>
      </c>
      <c r="AQ192" s="1183" t="str">
        <f>IF(예산실적비교표!AM192&lt;&gt;"",예산실적비교표!AM192,"")</f>
        <v/>
      </c>
      <c r="AR192" s="1184">
        <f>IF(예산실적비교표!AN192&lt;&gt;"",예산실적비교표!AN192,0)</f>
        <v>0</v>
      </c>
      <c r="AS192" s="1185">
        <f>IF(예산실적비교표!AO192&lt;&gt;"",예산실적비교표!AO192,0)</f>
        <v>0</v>
      </c>
      <c r="AT192" s="1118">
        <f t="shared" ref="AT192:AT255" si="45">IFERROR(ROUND((AR192+AS192)*$AR$1,-3),0)</f>
        <v>0</v>
      </c>
      <c r="AU192" s="1186">
        <f>IF(예산실적비교표!AQ192&lt;&gt;"",예산실적비교표!AQ192,0)</f>
        <v>0</v>
      </c>
      <c r="AV192" s="1120">
        <f t="shared" ref="AV192:AV255" si="46">IF(BB192="",0,BB192)</f>
        <v>0</v>
      </c>
      <c r="AW192" s="1121">
        <f>IF(AR192="",0,ROUND((AT192*$AT$7)*데이터입력!$AF$14+(AT192*$AU$7)*데이터입력!$AF$14+(AT192*$AU$7*$AV$7)*데이터입력!$AF$14+(AT192*$AW$7)*데이터입력!$AF$14+(AT192*$AX$7)*데이터입력!$AF$14,-1))</f>
        <v>0</v>
      </c>
      <c r="AX192" s="1122">
        <f t="shared" ref="AX192:AX255" si="47">IF(SUM(AT192:AW192)=0,0,SUM(AT192:AW192))</f>
        <v>0</v>
      </c>
      <c r="AY192" s="1123">
        <f>IFERROR(IF(AR192+AS192=0,0,ROUND(IF(데이터입력!$AF$14=100%,ROUND(AR192*$AR$1,-3),ROUND(AR192*$AR$1,-3)-ROUND(((AR192*$AR$1)*$AT$4)*(데이터입력!$AF$14-100%)+((AR192*$AR$1)*$AU$4)*(데이터입력!$AF$14-100%)+((AR192*$AR$1)*$AU$4*$AV$4)*(데이터입력!$AF$14-100%)+((AR192*$AR$1)*$AW$4)*(데이터입력!$AF$14-100%),-1)),0)),0)</f>
        <v>0</v>
      </c>
      <c r="AZ192" s="1124">
        <f>IFERROR(IF(AR192+AS192=0,0,IF(데이터입력!$AF$12=100%,(AT192),(AT192)+ROUND(AT192*(데이터입력!$AF$12-100%),-1))),0)</f>
        <v>0</v>
      </c>
      <c r="BA192" s="1265" t="str">
        <f t="shared" ref="BA192:BA255" si="48">IFERROR(IF(AZ192=0,"",ROUND(AZ192/12,0)),"")</f>
        <v/>
      </c>
      <c r="BB192" s="1264" t="str">
        <f>IF(BA192="","",IF(데이터입력!$O$68="",ROUND(AZ192/12,0),ROUND(데이터입력!$O$68/데이터입력!$Y$8/$BC$63,0)))</f>
        <v/>
      </c>
    </row>
    <row r="193" spans="42:54">
      <c r="AP193" s="1182" t="str">
        <f>IF(예산실적비교표!AL193&lt;&gt;"",예산실적비교표!AL193,"")</f>
        <v/>
      </c>
      <c r="AQ193" s="1183" t="str">
        <f>IF(예산실적비교표!AM193&lt;&gt;"",예산실적비교표!AM193,"")</f>
        <v/>
      </c>
      <c r="AR193" s="1184">
        <f>IF(예산실적비교표!AN193&lt;&gt;"",예산실적비교표!AN193,0)</f>
        <v>0</v>
      </c>
      <c r="AS193" s="1185">
        <f>IF(예산실적비교표!AO193&lt;&gt;"",예산실적비교표!AO193,0)</f>
        <v>0</v>
      </c>
      <c r="AT193" s="1118">
        <f t="shared" si="45"/>
        <v>0</v>
      </c>
      <c r="AU193" s="1186">
        <f>IF(예산실적비교표!AQ193&lt;&gt;"",예산실적비교표!AQ193,0)</f>
        <v>0</v>
      </c>
      <c r="AV193" s="1120">
        <f t="shared" si="46"/>
        <v>0</v>
      </c>
      <c r="AW193" s="1121">
        <f>IF(AR193="",0,ROUND((AT193*$AT$7)*데이터입력!$AF$14+(AT193*$AU$7)*데이터입력!$AF$14+(AT193*$AU$7*$AV$7)*데이터입력!$AF$14+(AT193*$AW$7)*데이터입력!$AF$14+(AT193*$AX$7)*데이터입력!$AF$14,-1))</f>
        <v>0</v>
      </c>
      <c r="AX193" s="1122">
        <f t="shared" si="47"/>
        <v>0</v>
      </c>
      <c r="AY193" s="1123">
        <f>IFERROR(IF(AR193+AS193=0,0,ROUND(IF(데이터입력!$AF$14=100%,ROUND(AR193*$AR$1,-3),ROUND(AR193*$AR$1,-3)-ROUND(((AR193*$AR$1)*$AT$4)*(데이터입력!$AF$14-100%)+((AR193*$AR$1)*$AU$4)*(데이터입력!$AF$14-100%)+((AR193*$AR$1)*$AU$4*$AV$4)*(데이터입력!$AF$14-100%)+((AR193*$AR$1)*$AW$4)*(데이터입력!$AF$14-100%),-1)),0)),0)</f>
        <v>0</v>
      </c>
      <c r="AZ193" s="1124">
        <f>IFERROR(IF(AR193+AS193=0,0,IF(데이터입력!$AF$12=100%,(AT193),(AT193)+ROUND(AT193*(데이터입력!$AF$12-100%),-1))),0)</f>
        <v>0</v>
      </c>
      <c r="BA193" s="1265" t="str">
        <f t="shared" si="48"/>
        <v/>
      </c>
      <c r="BB193" s="1264" t="str">
        <f>IF(BA193="","",IF(데이터입력!$O$68="",ROUND(AZ193/12,0),ROUND(데이터입력!$O$68/데이터입력!$Y$8/$BC$63,0)))</f>
        <v/>
      </c>
    </row>
    <row r="194" spans="42:54">
      <c r="AP194" s="1182" t="str">
        <f>IF(예산실적비교표!AL194&lt;&gt;"",예산실적비교표!AL194,"")</f>
        <v/>
      </c>
      <c r="AQ194" s="1183" t="str">
        <f>IF(예산실적비교표!AM194&lt;&gt;"",예산실적비교표!AM194,"")</f>
        <v/>
      </c>
      <c r="AR194" s="1184">
        <f>IF(예산실적비교표!AN194&lt;&gt;"",예산실적비교표!AN194,0)</f>
        <v>0</v>
      </c>
      <c r="AS194" s="1185">
        <f>IF(예산실적비교표!AO194&lt;&gt;"",예산실적비교표!AO194,0)</f>
        <v>0</v>
      </c>
      <c r="AT194" s="1118">
        <f t="shared" si="45"/>
        <v>0</v>
      </c>
      <c r="AU194" s="1186">
        <f>IF(예산실적비교표!AQ194&lt;&gt;"",예산실적비교표!AQ194,0)</f>
        <v>0</v>
      </c>
      <c r="AV194" s="1120">
        <f t="shared" si="46"/>
        <v>0</v>
      </c>
      <c r="AW194" s="1121">
        <f>IF(AR194="",0,ROUND((AT194*$AT$7)*데이터입력!$AF$14+(AT194*$AU$7)*데이터입력!$AF$14+(AT194*$AU$7*$AV$7)*데이터입력!$AF$14+(AT194*$AW$7)*데이터입력!$AF$14+(AT194*$AX$7)*데이터입력!$AF$14,-1))</f>
        <v>0</v>
      </c>
      <c r="AX194" s="1122">
        <f t="shared" si="47"/>
        <v>0</v>
      </c>
      <c r="AY194" s="1123">
        <f>IFERROR(IF(AR194+AS194=0,0,ROUND(IF(데이터입력!$AF$14=100%,ROUND(AR194*$AR$1,-3),ROUND(AR194*$AR$1,-3)-ROUND(((AR194*$AR$1)*$AT$4)*(데이터입력!$AF$14-100%)+((AR194*$AR$1)*$AU$4)*(데이터입력!$AF$14-100%)+((AR194*$AR$1)*$AU$4*$AV$4)*(데이터입력!$AF$14-100%)+((AR194*$AR$1)*$AW$4)*(데이터입력!$AF$14-100%),-1)),0)),0)</f>
        <v>0</v>
      </c>
      <c r="AZ194" s="1124">
        <f>IFERROR(IF(AR194+AS194=0,0,IF(데이터입력!$AF$12=100%,(AT194),(AT194)+ROUND(AT194*(데이터입력!$AF$12-100%),-1))),0)</f>
        <v>0</v>
      </c>
      <c r="BA194" s="1265" t="str">
        <f t="shared" si="48"/>
        <v/>
      </c>
      <c r="BB194" s="1264" t="str">
        <f>IF(BA194="","",IF(데이터입력!$O$68="",ROUND(AZ194/12,0),ROUND(데이터입력!$O$68/데이터입력!$Y$8/$BC$63,0)))</f>
        <v/>
      </c>
    </row>
    <row r="195" spans="42:54">
      <c r="AP195" s="1182" t="str">
        <f>IF(예산실적비교표!AL195&lt;&gt;"",예산실적비교표!AL195,"")</f>
        <v/>
      </c>
      <c r="AQ195" s="1183" t="str">
        <f>IF(예산실적비교표!AM195&lt;&gt;"",예산실적비교표!AM195,"")</f>
        <v/>
      </c>
      <c r="AR195" s="1184">
        <f>IF(예산실적비교표!AN195&lt;&gt;"",예산실적비교표!AN195,0)</f>
        <v>0</v>
      </c>
      <c r="AS195" s="1185">
        <f>IF(예산실적비교표!AO195&lt;&gt;"",예산실적비교표!AO195,0)</f>
        <v>0</v>
      </c>
      <c r="AT195" s="1118">
        <f t="shared" si="45"/>
        <v>0</v>
      </c>
      <c r="AU195" s="1186">
        <f>IF(예산실적비교표!AQ195&lt;&gt;"",예산실적비교표!AQ195,0)</f>
        <v>0</v>
      </c>
      <c r="AV195" s="1120">
        <f t="shared" si="46"/>
        <v>0</v>
      </c>
      <c r="AW195" s="1121">
        <f>IF(AR195="",0,ROUND((AT195*$AT$7)*데이터입력!$AF$14+(AT195*$AU$7)*데이터입력!$AF$14+(AT195*$AU$7*$AV$7)*데이터입력!$AF$14+(AT195*$AW$7)*데이터입력!$AF$14+(AT195*$AX$7)*데이터입력!$AF$14,-1))</f>
        <v>0</v>
      </c>
      <c r="AX195" s="1122">
        <f t="shared" si="47"/>
        <v>0</v>
      </c>
      <c r="AY195" s="1123">
        <f>IFERROR(IF(AR195+AS195=0,0,ROUND(IF(데이터입력!$AF$14=100%,ROUND(AR195*$AR$1,-3),ROUND(AR195*$AR$1,-3)-ROUND(((AR195*$AR$1)*$AT$4)*(데이터입력!$AF$14-100%)+((AR195*$AR$1)*$AU$4)*(데이터입력!$AF$14-100%)+((AR195*$AR$1)*$AU$4*$AV$4)*(데이터입력!$AF$14-100%)+((AR195*$AR$1)*$AW$4)*(데이터입력!$AF$14-100%),-1)),0)),0)</f>
        <v>0</v>
      </c>
      <c r="AZ195" s="1124">
        <f>IFERROR(IF(AR195+AS195=0,0,IF(데이터입력!$AF$12=100%,(AT195),(AT195)+ROUND(AT195*(데이터입력!$AF$12-100%),-1))),0)</f>
        <v>0</v>
      </c>
      <c r="BA195" s="1265" t="str">
        <f t="shared" si="48"/>
        <v/>
      </c>
      <c r="BB195" s="1264" t="str">
        <f>IF(BA195="","",IF(데이터입력!$O$68="",ROUND(AZ195/12,0),ROUND(데이터입력!$O$68/데이터입력!$Y$8/$BC$63,0)))</f>
        <v/>
      </c>
    </row>
    <row r="196" spans="42:54">
      <c r="AP196" s="1182" t="str">
        <f>IF(예산실적비교표!AL196&lt;&gt;"",예산실적비교표!AL196,"")</f>
        <v/>
      </c>
      <c r="AQ196" s="1183" t="str">
        <f>IF(예산실적비교표!AM196&lt;&gt;"",예산실적비교표!AM196,"")</f>
        <v/>
      </c>
      <c r="AR196" s="1184">
        <f>IF(예산실적비교표!AN196&lt;&gt;"",예산실적비교표!AN196,0)</f>
        <v>0</v>
      </c>
      <c r="AS196" s="1185">
        <f>IF(예산실적비교표!AO196&lt;&gt;"",예산실적비교표!AO196,0)</f>
        <v>0</v>
      </c>
      <c r="AT196" s="1118">
        <f t="shared" si="45"/>
        <v>0</v>
      </c>
      <c r="AU196" s="1186">
        <f>IF(예산실적비교표!AQ196&lt;&gt;"",예산실적비교표!AQ196,0)</f>
        <v>0</v>
      </c>
      <c r="AV196" s="1120">
        <f t="shared" si="46"/>
        <v>0</v>
      </c>
      <c r="AW196" s="1121">
        <f>IF(AR196="",0,ROUND((AT196*$AT$7)*데이터입력!$AF$14+(AT196*$AU$7)*데이터입력!$AF$14+(AT196*$AU$7*$AV$7)*데이터입력!$AF$14+(AT196*$AW$7)*데이터입력!$AF$14+(AT196*$AX$7)*데이터입력!$AF$14,-1))</f>
        <v>0</v>
      </c>
      <c r="AX196" s="1122">
        <f t="shared" si="47"/>
        <v>0</v>
      </c>
      <c r="AY196" s="1123">
        <f>IFERROR(IF(AR196+AS196=0,0,ROUND(IF(데이터입력!$AF$14=100%,ROUND(AR196*$AR$1,-3),ROUND(AR196*$AR$1,-3)-ROUND(((AR196*$AR$1)*$AT$4)*(데이터입력!$AF$14-100%)+((AR196*$AR$1)*$AU$4)*(데이터입력!$AF$14-100%)+((AR196*$AR$1)*$AU$4*$AV$4)*(데이터입력!$AF$14-100%)+((AR196*$AR$1)*$AW$4)*(데이터입력!$AF$14-100%),-1)),0)),0)</f>
        <v>0</v>
      </c>
      <c r="AZ196" s="1124">
        <f>IFERROR(IF(AR196+AS196=0,0,IF(데이터입력!$AF$12=100%,(AT196),(AT196)+ROUND(AT196*(데이터입력!$AF$12-100%),-1))),0)</f>
        <v>0</v>
      </c>
      <c r="BA196" s="1265" t="str">
        <f t="shared" si="48"/>
        <v/>
      </c>
      <c r="BB196" s="1264" t="str">
        <f>IF(BA196="","",IF(데이터입력!$O$68="",ROUND(AZ196/12,0),ROUND(데이터입력!$O$68/데이터입력!$Y$8/$BC$63,0)))</f>
        <v/>
      </c>
    </row>
    <row r="197" spans="42:54">
      <c r="AP197" s="1182" t="str">
        <f>IF(예산실적비교표!AL197&lt;&gt;"",예산실적비교표!AL197,"")</f>
        <v/>
      </c>
      <c r="AQ197" s="1183" t="str">
        <f>IF(예산실적비교표!AM197&lt;&gt;"",예산실적비교표!AM197,"")</f>
        <v/>
      </c>
      <c r="AR197" s="1184">
        <f>IF(예산실적비교표!AN197&lt;&gt;"",예산실적비교표!AN197,0)</f>
        <v>0</v>
      </c>
      <c r="AS197" s="1185">
        <f>IF(예산실적비교표!AO197&lt;&gt;"",예산실적비교표!AO197,0)</f>
        <v>0</v>
      </c>
      <c r="AT197" s="1118">
        <f t="shared" si="45"/>
        <v>0</v>
      </c>
      <c r="AU197" s="1186">
        <f>IF(예산실적비교표!AQ197&lt;&gt;"",예산실적비교표!AQ197,0)</f>
        <v>0</v>
      </c>
      <c r="AV197" s="1120">
        <f t="shared" si="46"/>
        <v>0</v>
      </c>
      <c r="AW197" s="1121">
        <f>IF(AR197="",0,ROUND((AT197*$AT$7)*데이터입력!$AF$14+(AT197*$AU$7)*데이터입력!$AF$14+(AT197*$AU$7*$AV$7)*데이터입력!$AF$14+(AT197*$AW$7)*데이터입력!$AF$14+(AT197*$AX$7)*데이터입력!$AF$14,-1))</f>
        <v>0</v>
      </c>
      <c r="AX197" s="1122">
        <f t="shared" si="47"/>
        <v>0</v>
      </c>
      <c r="AY197" s="1123">
        <f>IFERROR(IF(AR197+AS197=0,0,ROUND(IF(데이터입력!$AF$14=100%,ROUND(AR197*$AR$1,-3),ROUND(AR197*$AR$1,-3)-ROUND(((AR197*$AR$1)*$AT$4)*(데이터입력!$AF$14-100%)+((AR197*$AR$1)*$AU$4)*(데이터입력!$AF$14-100%)+((AR197*$AR$1)*$AU$4*$AV$4)*(데이터입력!$AF$14-100%)+((AR197*$AR$1)*$AW$4)*(데이터입력!$AF$14-100%),-1)),0)),0)</f>
        <v>0</v>
      </c>
      <c r="AZ197" s="1124">
        <f>IFERROR(IF(AR197+AS197=0,0,IF(데이터입력!$AF$12=100%,(AT197),(AT197)+ROUND(AT197*(데이터입력!$AF$12-100%),-1))),0)</f>
        <v>0</v>
      </c>
      <c r="BA197" s="1265" t="str">
        <f t="shared" si="48"/>
        <v/>
      </c>
      <c r="BB197" s="1264" t="str">
        <f>IF(BA197="","",IF(데이터입력!$O$68="",ROUND(AZ197/12,0),ROUND(데이터입력!$O$68/데이터입력!$Y$8/$BC$63,0)))</f>
        <v/>
      </c>
    </row>
    <row r="198" spans="42:54">
      <c r="AP198" s="1182" t="str">
        <f>IF(예산실적비교표!AL198&lt;&gt;"",예산실적비교표!AL198,"")</f>
        <v/>
      </c>
      <c r="AQ198" s="1183" t="str">
        <f>IF(예산실적비교표!AM198&lt;&gt;"",예산실적비교표!AM198,"")</f>
        <v/>
      </c>
      <c r="AR198" s="1184">
        <f>IF(예산실적비교표!AN198&lt;&gt;"",예산실적비교표!AN198,0)</f>
        <v>0</v>
      </c>
      <c r="AS198" s="1185">
        <f>IF(예산실적비교표!AO198&lt;&gt;"",예산실적비교표!AO198,0)</f>
        <v>0</v>
      </c>
      <c r="AT198" s="1118">
        <f t="shared" si="45"/>
        <v>0</v>
      </c>
      <c r="AU198" s="1186">
        <f>IF(예산실적비교표!AQ198&lt;&gt;"",예산실적비교표!AQ198,0)</f>
        <v>0</v>
      </c>
      <c r="AV198" s="1120">
        <f t="shared" si="46"/>
        <v>0</v>
      </c>
      <c r="AW198" s="1121">
        <f>IF(AR198="",0,ROUND((AT198*$AT$7)*데이터입력!$AF$14+(AT198*$AU$7)*데이터입력!$AF$14+(AT198*$AU$7*$AV$7)*데이터입력!$AF$14+(AT198*$AW$7)*데이터입력!$AF$14+(AT198*$AX$7)*데이터입력!$AF$14,-1))</f>
        <v>0</v>
      </c>
      <c r="AX198" s="1122">
        <f t="shared" si="47"/>
        <v>0</v>
      </c>
      <c r="AY198" s="1123">
        <f>IFERROR(IF(AR198+AS198=0,0,ROUND(IF(데이터입력!$AF$14=100%,ROUND(AR198*$AR$1,-3),ROUND(AR198*$AR$1,-3)-ROUND(((AR198*$AR$1)*$AT$4)*(데이터입력!$AF$14-100%)+((AR198*$AR$1)*$AU$4)*(데이터입력!$AF$14-100%)+((AR198*$AR$1)*$AU$4*$AV$4)*(데이터입력!$AF$14-100%)+((AR198*$AR$1)*$AW$4)*(데이터입력!$AF$14-100%),-1)),0)),0)</f>
        <v>0</v>
      </c>
      <c r="AZ198" s="1124">
        <f>IFERROR(IF(AR198+AS198=0,0,IF(데이터입력!$AF$12=100%,(AT198),(AT198)+ROUND(AT198*(데이터입력!$AF$12-100%),-1))),0)</f>
        <v>0</v>
      </c>
      <c r="BA198" s="1265" t="str">
        <f t="shared" si="48"/>
        <v/>
      </c>
      <c r="BB198" s="1264" t="str">
        <f>IF(BA198="","",IF(데이터입력!$O$68="",ROUND(AZ198/12,0),ROUND(데이터입력!$O$68/데이터입력!$Y$8/$BC$63,0)))</f>
        <v/>
      </c>
    </row>
    <row r="199" spans="42:54">
      <c r="AP199" s="1182" t="str">
        <f>IF(예산실적비교표!AL199&lt;&gt;"",예산실적비교표!AL199,"")</f>
        <v/>
      </c>
      <c r="AQ199" s="1183" t="str">
        <f>IF(예산실적비교표!AM199&lt;&gt;"",예산실적비교표!AM199,"")</f>
        <v/>
      </c>
      <c r="AR199" s="1184">
        <f>IF(예산실적비교표!AN199&lt;&gt;"",예산실적비교표!AN199,0)</f>
        <v>0</v>
      </c>
      <c r="AS199" s="1185">
        <f>IF(예산실적비교표!AO199&lt;&gt;"",예산실적비교표!AO199,0)</f>
        <v>0</v>
      </c>
      <c r="AT199" s="1118">
        <f t="shared" si="45"/>
        <v>0</v>
      </c>
      <c r="AU199" s="1186">
        <f>IF(예산실적비교표!AQ199&lt;&gt;"",예산실적비교표!AQ199,0)</f>
        <v>0</v>
      </c>
      <c r="AV199" s="1120">
        <f t="shared" si="46"/>
        <v>0</v>
      </c>
      <c r="AW199" s="1121">
        <f>IF(AR199="",0,ROUND((AT199*$AT$7)*데이터입력!$AF$14+(AT199*$AU$7)*데이터입력!$AF$14+(AT199*$AU$7*$AV$7)*데이터입력!$AF$14+(AT199*$AW$7)*데이터입력!$AF$14+(AT199*$AX$7)*데이터입력!$AF$14,-1))</f>
        <v>0</v>
      </c>
      <c r="AX199" s="1122">
        <f t="shared" si="47"/>
        <v>0</v>
      </c>
      <c r="AY199" s="1123">
        <f>IFERROR(IF(AR199+AS199=0,0,ROUND(IF(데이터입력!$AF$14=100%,ROUND(AR199*$AR$1,-3),ROUND(AR199*$AR$1,-3)-ROUND(((AR199*$AR$1)*$AT$4)*(데이터입력!$AF$14-100%)+((AR199*$AR$1)*$AU$4)*(데이터입력!$AF$14-100%)+((AR199*$AR$1)*$AU$4*$AV$4)*(데이터입력!$AF$14-100%)+((AR199*$AR$1)*$AW$4)*(데이터입력!$AF$14-100%),-1)),0)),0)</f>
        <v>0</v>
      </c>
      <c r="AZ199" s="1124">
        <f>IFERROR(IF(AR199+AS199=0,0,IF(데이터입력!$AF$12=100%,(AT199),(AT199)+ROUND(AT199*(데이터입력!$AF$12-100%),-1))),0)</f>
        <v>0</v>
      </c>
      <c r="BA199" s="1265" t="str">
        <f t="shared" si="48"/>
        <v/>
      </c>
      <c r="BB199" s="1264" t="str">
        <f>IF(BA199="","",IF(데이터입력!$O$68="",ROUND(AZ199/12,0),ROUND(데이터입력!$O$68/데이터입력!$Y$8/$BC$63,0)))</f>
        <v/>
      </c>
    </row>
    <row r="200" spans="42:54">
      <c r="AP200" s="1182" t="str">
        <f>IF(예산실적비교표!AL200&lt;&gt;"",예산실적비교표!AL200,"")</f>
        <v/>
      </c>
      <c r="AQ200" s="1183" t="str">
        <f>IF(예산실적비교표!AM200&lt;&gt;"",예산실적비교표!AM200,"")</f>
        <v/>
      </c>
      <c r="AR200" s="1184">
        <f>IF(예산실적비교표!AN200&lt;&gt;"",예산실적비교표!AN200,0)</f>
        <v>0</v>
      </c>
      <c r="AS200" s="1185">
        <f>IF(예산실적비교표!AO200&lt;&gt;"",예산실적비교표!AO200,0)</f>
        <v>0</v>
      </c>
      <c r="AT200" s="1118">
        <f t="shared" si="45"/>
        <v>0</v>
      </c>
      <c r="AU200" s="1186">
        <f>IF(예산실적비교표!AQ200&lt;&gt;"",예산실적비교표!AQ200,0)</f>
        <v>0</v>
      </c>
      <c r="AV200" s="1120">
        <f t="shared" si="46"/>
        <v>0</v>
      </c>
      <c r="AW200" s="1121">
        <f>IF(AR200="",0,ROUND((AT200*$AT$7)*데이터입력!$AF$14+(AT200*$AU$7)*데이터입력!$AF$14+(AT200*$AU$7*$AV$7)*데이터입력!$AF$14+(AT200*$AW$7)*데이터입력!$AF$14+(AT200*$AX$7)*데이터입력!$AF$14,-1))</f>
        <v>0</v>
      </c>
      <c r="AX200" s="1122">
        <f t="shared" si="47"/>
        <v>0</v>
      </c>
      <c r="AY200" s="1123">
        <f>IFERROR(IF(AR200+AS200=0,0,ROUND(IF(데이터입력!$AF$14=100%,ROUND(AR200*$AR$1,-3),ROUND(AR200*$AR$1,-3)-ROUND(((AR200*$AR$1)*$AT$4)*(데이터입력!$AF$14-100%)+((AR200*$AR$1)*$AU$4)*(데이터입력!$AF$14-100%)+((AR200*$AR$1)*$AU$4*$AV$4)*(데이터입력!$AF$14-100%)+((AR200*$AR$1)*$AW$4)*(데이터입력!$AF$14-100%),-1)),0)),0)</f>
        <v>0</v>
      </c>
      <c r="AZ200" s="1124">
        <f>IFERROR(IF(AR200+AS200=0,0,IF(데이터입력!$AF$12=100%,(AT200),(AT200)+ROUND(AT200*(데이터입력!$AF$12-100%),-1))),0)</f>
        <v>0</v>
      </c>
      <c r="BA200" s="1265" t="str">
        <f t="shared" si="48"/>
        <v/>
      </c>
      <c r="BB200" s="1264" t="str">
        <f>IF(BA200="","",IF(데이터입력!$O$68="",ROUND(AZ200/12,0),ROUND(데이터입력!$O$68/데이터입력!$Y$8/$BC$63,0)))</f>
        <v/>
      </c>
    </row>
    <row r="201" spans="42:54">
      <c r="AP201" s="1182" t="str">
        <f>IF(예산실적비교표!AL201&lt;&gt;"",예산실적비교표!AL201,"")</f>
        <v/>
      </c>
      <c r="AQ201" s="1183" t="str">
        <f>IF(예산실적비교표!AM201&lt;&gt;"",예산실적비교표!AM201,"")</f>
        <v/>
      </c>
      <c r="AR201" s="1184">
        <f>IF(예산실적비교표!AN201&lt;&gt;"",예산실적비교표!AN201,0)</f>
        <v>0</v>
      </c>
      <c r="AS201" s="1185">
        <f>IF(예산실적비교표!AO201&lt;&gt;"",예산실적비교표!AO201,0)</f>
        <v>0</v>
      </c>
      <c r="AT201" s="1118">
        <f t="shared" si="45"/>
        <v>0</v>
      </c>
      <c r="AU201" s="1186">
        <f>IF(예산실적비교표!AQ201&lt;&gt;"",예산실적비교표!AQ201,0)</f>
        <v>0</v>
      </c>
      <c r="AV201" s="1120">
        <f t="shared" si="46"/>
        <v>0</v>
      </c>
      <c r="AW201" s="1121">
        <f>IF(AR201="",0,ROUND((AT201*$AT$7)*데이터입력!$AF$14+(AT201*$AU$7)*데이터입력!$AF$14+(AT201*$AU$7*$AV$7)*데이터입력!$AF$14+(AT201*$AW$7)*데이터입력!$AF$14+(AT201*$AX$7)*데이터입력!$AF$14,-1))</f>
        <v>0</v>
      </c>
      <c r="AX201" s="1122">
        <f t="shared" si="47"/>
        <v>0</v>
      </c>
      <c r="AY201" s="1123">
        <f>IFERROR(IF(AR201+AS201=0,0,ROUND(IF(데이터입력!$AF$14=100%,ROUND(AR201*$AR$1,-3),ROUND(AR201*$AR$1,-3)-ROUND(((AR201*$AR$1)*$AT$4)*(데이터입력!$AF$14-100%)+((AR201*$AR$1)*$AU$4)*(데이터입력!$AF$14-100%)+((AR201*$AR$1)*$AU$4*$AV$4)*(데이터입력!$AF$14-100%)+((AR201*$AR$1)*$AW$4)*(데이터입력!$AF$14-100%),-1)),0)),0)</f>
        <v>0</v>
      </c>
      <c r="AZ201" s="1124">
        <f>IFERROR(IF(AR201+AS201=0,0,IF(데이터입력!$AF$12=100%,(AT201),(AT201)+ROUND(AT201*(데이터입력!$AF$12-100%),-1))),0)</f>
        <v>0</v>
      </c>
      <c r="BA201" s="1265" t="str">
        <f t="shared" si="48"/>
        <v/>
      </c>
      <c r="BB201" s="1264" t="str">
        <f>IF(BA201="","",IF(데이터입력!$O$68="",ROUND(AZ201/12,0),ROUND(데이터입력!$O$68/데이터입력!$Y$8/$BC$63,0)))</f>
        <v/>
      </c>
    </row>
    <row r="202" spans="42:54">
      <c r="AP202" s="1182" t="str">
        <f>IF(예산실적비교표!AL202&lt;&gt;"",예산실적비교표!AL202,"")</f>
        <v/>
      </c>
      <c r="AQ202" s="1183" t="str">
        <f>IF(예산실적비교표!AM202&lt;&gt;"",예산실적비교표!AM202,"")</f>
        <v/>
      </c>
      <c r="AR202" s="1184">
        <f>IF(예산실적비교표!AN202&lt;&gt;"",예산실적비교표!AN202,0)</f>
        <v>0</v>
      </c>
      <c r="AS202" s="1185">
        <f>IF(예산실적비교표!AO202&lt;&gt;"",예산실적비교표!AO202,0)</f>
        <v>0</v>
      </c>
      <c r="AT202" s="1118">
        <f t="shared" si="45"/>
        <v>0</v>
      </c>
      <c r="AU202" s="1186">
        <f>IF(예산실적비교표!AQ202&lt;&gt;"",예산실적비교표!AQ202,0)</f>
        <v>0</v>
      </c>
      <c r="AV202" s="1120">
        <f t="shared" si="46"/>
        <v>0</v>
      </c>
      <c r="AW202" s="1121">
        <f>IF(AR202="",0,ROUND((AT202*$AT$7)*데이터입력!$AF$14+(AT202*$AU$7)*데이터입력!$AF$14+(AT202*$AU$7*$AV$7)*데이터입력!$AF$14+(AT202*$AW$7)*데이터입력!$AF$14+(AT202*$AX$7)*데이터입력!$AF$14,-1))</f>
        <v>0</v>
      </c>
      <c r="AX202" s="1122">
        <f t="shared" si="47"/>
        <v>0</v>
      </c>
      <c r="AY202" s="1123">
        <f>IFERROR(IF(AR202+AS202=0,0,ROUND(IF(데이터입력!$AF$14=100%,ROUND(AR202*$AR$1,-3),ROUND(AR202*$AR$1,-3)-ROUND(((AR202*$AR$1)*$AT$4)*(데이터입력!$AF$14-100%)+((AR202*$AR$1)*$AU$4)*(데이터입력!$AF$14-100%)+((AR202*$AR$1)*$AU$4*$AV$4)*(데이터입력!$AF$14-100%)+((AR202*$AR$1)*$AW$4)*(데이터입력!$AF$14-100%),-1)),0)),0)</f>
        <v>0</v>
      </c>
      <c r="AZ202" s="1124">
        <f>IFERROR(IF(AR202+AS202=0,0,IF(데이터입력!$AF$12=100%,(AT202),(AT202)+ROUND(AT202*(데이터입력!$AF$12-100%),-1))),0)</f>
        <v>0</v>
      </c>
      <c r="BA202" s="1265" t="str">
        <f t="shared" si="48"/>
        <v/>
      </c>
      <c r="BB202" s="1264" t="str">
        <f>IF(BA202="","",IF(데이터입력!$O$68="",ROUND(AZ202/12,0),ROUND(데이터입력!$O$68/데이터입력!$Y$8/$BC$63,0)))</f>
        <v/>
      </c>
    </row>
    <row r="203" spans="42:54">
      <c r="AP203" s="1182" t="str">
        <f>IF(예산실적비교표!AL203&lt;&gt;"",예산실적비교표!AL203,"")</f>
        <v/>
      </c>
      <c r="AQ203" s="1183" t="str">
        <f>IF(예산실적비교표!AM203&lt;&gt;"",예산실적비교표!AM203,"")</f>
        <v/>
      </c>
      <c r="AR203" s="1184">
        <f>IF(예산실적비교표!AN203&lt;&gt;"",예산실적비교표!AN203,0)</f>
        <v>0</v>
      </c>
      <c r="AS203" s="1185">
        <f>IF(예산실적비교표!AO203&lt;&gt;"",예산실적비교표!AO203,0)</f>
        <v>0</v>
      </c>
      <c r="AT203" s="1118">
        <f t="shared" si="45"/>
        <v>0</v>
      </c>
      <c r="AU203" s="1186">
        <f>IF(예산실적비교표!AQ203&lt;&gt;"",예산실적비교표!AQ203,0)</f>
        <v>0</v>
      </c>
      <c r="AV203" s="1120">
        <f t="shared" si="46"/>
        <v>0</v>
      </c>
      <c r="AW203" s="1121">
        <f>IF(AR203="",0,ROUND((AT203*$AT$7)*데이터입력!$AF$14+(AT203*$AU$7)*데이터입력!$AF$14+(AT203*$AU$7*$AV$7)*데이터입력!$AF$14+(AT203*$AW$7)*데이터입력!$AF$14+(AT203*$AX$7)*데이터입력!$AF$14,-1))</f>
        <v>0</v>
      </c>
      <c r="AX203" s="1122">
        <f t="shared" si="47"/>
        <v>0</v>
      </c>
      <c r="AY203" s="1123">
        <f>IFERROR(IF(AR203+AS203=0,0,ROUND(IF(데이터입력!$AF$14=100%,ROUND(AR203*$AR$1,-3),ROUND(AR203*$AR$1,-3)-ROUND(((AR203*$AR$1)*$AT$4)*(데이터입력!$AF$14-100%)+((AR203*$AR$1)*$AU$4)*(데이터입력!$AF$14-100%)+((AR203*$AR$1)*$AU$4*$AV$4)*(데이터입력!$AF$14-100%)+((AR203*$AR$1)*$AW$4)*(데이터입력!$AF$14-100%),-1)),0)),0)</f>
        <v>0</v>
      </c>
      <c r="AZ203" s="1124">
        <f>IFERROR(IF(AR203+AS203=0,0,IF(데이터입력!$AF$12=100%,(AT203),(AT203)+ROUND(AT203*(데이터입력!$AF$12-100%),-1))),0)</f>
        <v>0</v>
      </c>
      <c r="BA203" s="1265" t="str">
        <f t="shared" si="48"/>
        <v/>
      </c>
      <c r="BB203" s="1264" t="str">
        <f>IF(BA203="","",IF(데이터입력!$O$68="",ROUND(AZ203/12,0),ROUND(데이터입력!$O$68/데이터입력!$Y$8/$BC$63,0)))</f>
        <v/>
      </c>
    </row>
    <row r="204" spans="42:54">
      <c r="AP204" s="1182" t="str">
        <f>IF(예산실적비교표!AL204&lt;&gt;"",예산실적비교표!AL204,"")</f>
        <v/>
      </c>
      <c r="AQ204" s="1183" t="str">
        <f>IF(예산실적비교표!AM204&lt;&gt;"",예산실적비교표!AM204,"")</f>
        <v/>
      </c>
      <c r="AR204" s="1184">
        <f>IF(예산실적비교표!AN204&lt;&gt;"",예산실적비교표!AN204,0)</f>
        <v>0</v>
      </c>
      <c r="AS204" s="1185">
        <f>IF(예산실적비교표!AO204&lt;&gt;"",예산실적비교표!AO204,0)</f>
        <v>0</v>
      </c>
      <c r="AT204" s="1118">
        <f t="shared" si="45"/>
        <v>0</v>
      </c>
      <c r="AU204" s="1186">
        <f>IF(예산실적비교표!AQ204&lt;&gt;"",예산실적비교표!AQ204,0)</f>
        <v>0</v>
      </c>
      <c r="AV204" s="1120">
        <f t="shared" si="46"/>
        <v>0</v>
      </c>
      <c r="AW204" s="1121">
        <f>IF(AR204="",0,ROUND((AT204*$AT$7)*데이터입력!$AF$14+(AT204*$AU$7)*데이터입력!$AF$14+(AT204*$AU$7*$AV$7)*데이터입력!$AF$14+(AT204*$AW$7)*데이터입력!$AF$14+(AT204*$AX$7)*데이터입력!$AF$14,-1))</f>
        <v>0</v>
      </c>
      <c r="AX204" s="1122">
        <f t="shared" si="47"/>
        <v>0</v>
      </c>
      <c r="AY204" s="1123">
        <f>IFERROR(IF(AR204+AS204=0,0,ROUND(IF(데이터입력!$AF$14=100%,ROUND(AR204*$AR$1,-3),ROUND(AR204*$AR$1,-3)-ROUND(((AR204*$AR$1)*$AT$4)*(데이터입력!$AF$14-100%)+((AR204*$AR$1)*$AU$4)*(데이터입력!$AF$14-100%)+((AR204*$AR$1)*$AU$4*$AV$4)*(데이터입력!$AF$14-100%)+((AR204*$AR$1)*$AW$4)*(데이터입력!$AF$14-100%),-1)),0)),0)</f>
        <v>0</v>
      </c>
      <c r="AZ204" s="1124">
        <f>IFERROR(IF(AR204+AS204=0,0,IF(데이터입력!$AF$12=100%,(AT204),(AT204)+ROUND(AT204*(데이터입력!$AF$12-100%),-1))),0)</f>
        <v>0</v>
      </c>
      <c r="BA204" s="1265" t="str">
        <f t="shared" si="48"/>
        <v/>
      </c>
      <c r="BB204" s="1264" t="str">
        <f>IF(BA204="","",IF(데이터입력!$O$68="",ROUND(AZ204/12,0),ROUND(데이터입력!$O$68/데이터입력!$Y$8/$BC$63,0)))</f>
        <v/>
      </c>
    </row>
    <row r="205" spans="42:54">
      <c r="AP205" s="1182" t="str">
        <f>IF(예산실적비교표!AL205&lt;&gt;"",예산실적비교표!AL205,"")</f>
        <v/>
      </c>
      <c r="AQ205" s="1183" t="str">
        <f>IF(예산실적비교표!AM205&lt;&gt;"",예산실적비교표!AM205,"")</f>
        <v/>
      </c>
      <c r="AR205" s="1184">
        <f>IF(예산실적비교표!AN205&lt;&gt;"",예산실적비교표!AN205,0)</f>
        <v>0</v>
      </c>
      <c r="AS205" s="1185">
        <f>IF(예산실적비교표!AO205&lt;&gt;"",예산실적비교표!AO205,0)</f>
        <v>0</v>
      </c>
      <c r="AT205" s="1118">
        <f t="shared" si="45"/>
        <v>0</v>
      </c>
      <c r="AU205" s="1186">
        <f>IF(예산실적비교표!AQ205&lt;&gt;"",예산실적비교표!AQ205,0)</f>
        <v>0</v>
      </c>
      <c r="AV205" s="1120">
        <f t="shared" si="46"/>
        <v>0</v>
      </c>
      <c r="AW205" s="1121">
        <f>IF(AR205="",0,ROUND((AT205*$AT$7)*데이터입력!$AF$14+(AT205*$AU$7)*데이터입력!$AF$14+(AT205*$AU$7*$AV$7)*데이터입력!$AF$14+(AT205*$AW$7)*데이터입력!$AF$14+(AT205*$AX$7)*데이터입력!$AF$14,-1))</f>
        <v>0</v>
      </c>
      <c r="AX205" s="1122">
        <f t="shared" si="47"/>
        <v>0</v>
      </c>
      <c r="AY205" s="1123">
        <f>IFERROR(IF(AR205+AS205=0,0,ROUND(IF(데이터입력!$AF$14=100%,ROUND(AR205*$AR$1,-3),ROUND(AR205*$AR$1,-3)-ROUND(((AR205*$AR$1)*$AT$4)*(데이터입력!$AF$14-100%)+((AR205*$AR$1)*$AU$4)*(데이터입력!$AF$14-100%)+((AR205*$AR$1)*$AU$4*$AV$4)*(데이터입력!$AF$14-100%)+((AR205*$AR$1)*$AW$4)*(데이터입력!$AF$14-100%),-1)),0)),0)</f>
        <v>0</v>
      </c>
      <c r="AZ205" s="1124">
        <f>IFERROR(IF(AR205+AS205=0,0,IF(데이터입력!$AF$12=100%,(AT205),(AT205)+ROUND(AT205*(데이터입력!$AF$12-100%),-1))),0)</f>
        <v>0</v>
      </c>
      <c r="BA205" s="1265" t="str">
        <f t="shared" si="48"/>
        <v/>
      </c>
      <c r="BB205" s="1264" t="str">
        <f>IF(BA205="","",IF(데이터입력!$O$68="",ROUND(AZ205/12,0),ROUND(데이터입력!$O$68/데이터입력!$Y$8/$BC$63,0)))</f>
        <v/>
      </c>
    </row>
    <row r="206" spans="42:54">
      <c r="AP206" s="1182" t="str">
        <f>IF(예산실적비교표!AL206&lt;&gt;"",예산실적비교표!AL206,"")</f>
        <v/>
      </c>
      <c r="AQ206" s="1183" t="str">
        <f>IF(예산실적비교표!AM206&lt;&gt;"",예산실적비교표!AM206,"")</f>
        <v/>
      </c>
      <c r="AR206" s="1184">
        <f>IF(예산실적비교표!AN206&lt;&gt;"",예산실적비교표!AN206,0)</f>
        <v>0</v>
      </c>
      <c r="AS206" s="1185">
        <f>IF(예산실적비교표!AO206&lt;&gt;"",예산실적비교표!AO206,0)</f>
        <v>0</v>
      </c>
      <c r="AT206" s="1118">
        <f t="shared" si="45"/>
        <v>0</v>
      </c>
      <c r="AU206" s="1186">
        <f>IF(예산실적비교표!AQ206&lt;&gt;"",예산실적비교표!AQ206,0)</f>
        <v>0</v>
      </c>
      <c r="AV206" s="1120">
        <f t="shared" si="46"/>
        <v>0</v>
      </c>
      <c r="AW206" s="1121">
        <f>IF(AR206="",0,ROUND((AT206*$AT$7)*데이터입력!$AF$14+(AT206*$AU$7)*데이터입력!$AF$14+(AT206*$AU$7*$AV$7)*데이터입력!$AF$14+(AT206*$AW$7)*데이터입력!$AF$14+(AT206*$AX$7)*데이터입력!$AF$14,-1))</f>
        <v>0</v>
      </c>
      <c r="AX206" s="1122">
        <f t="shared" si="47"/>
        <v>0</v>
      </c>
      <c r="AY206" s="1123">
        <f>IFERROR(IF(AR206+AS206=0,0,ROUND(IF(데이터입력!$AF$14=100%,ROUND(AR206*$AR$1,-3),ROUND(AR206*$AR$1,-3)-ROUND(((AR206*$AR$1)*$AT$4)*(데이터입력!$AF$14-100%)+((AR206*$AR$1)*$AU$4)*(데이터입력!$AF$14-100%)+((AR206*$AR$1)*$AU$4*$AV$4)*(데이터입력!$AF$14-100%)+((AR206*$AR$1)*$AW$4)*(데이터입력!$AF$14-100%),-1)),0)),0)</f>
        <v>0</v>
      </c>
      <c r="AZ206" s="1124">
        <f>IFERROR(IF(AR206+AS206=0,0,IF(데이터입력!$AF$12=100%,(AT206),(AT206)+ROUND(AT206*(데이터입력!$AF$12-100%),-1))),0)</f>
        <v>0</v>
      </c>
      <c r="BA206" s="1265" t="str">
        <f t="shared" si="48"/>
        <v/>
      </c>
      <c r="BB206" s="1264" t="str">
        <f>IF(BA206="","",IF(데이터입력!$O$68="",ROUND(AZ206/12,0),ROUND(데이터입력!$O$68/데이터입력!$Y$8/$BC$63,0)))</f>
        <v/>
      </c>
    </row>
    <row r="207" spans="42:54">
      <c r="AP207" s="1182" t="str">
        <f>IF(예산실적비교표!AL207&lt;&gt;"",예산실적비교표!AL207,"")</f>
        <v/>
      </c>
      <c r="AQ207" s="1183" t="str">
        <f>IF(예산실적비교표!AM207&lt;&gt;"",예산실적비교표!AM207,"")</f>
        <v/>
      </c>
      <c r="AR207" s="1184">
        <f>IF(예산실적비교표!AN207&lt;&gt;"",예산실적비교표!AN207,0)</f>
        <v>0</v>
      </c>
      <c r="AS207" s="1185">
        <f>IF(예산실적비교표!AO207&lt;&gt;"",예산실적비교표!AO207,0)</f>
        <v>0</v>
      </c>
      <c r="AT207" s="1118">
        <f t="shared" si="45"/>
        <v>0</v>
      </c>
      <c r="AU207" s="1186">
        <f>IF(예산실적비교표!AQ207&lt;&gt;"",예산실적비교표!AQ207,0)</f>
        <v>0</v>
      </c>
      <c r="AV207" s="1120">
        <f t="shared" si="46"/>
        <v>0</v>
      </c>
      <c r="AW207" s="1121">
        <f>IF(AR207="",0,ROUND((AT207*$AT$7)*데이터입력!$AF$14+(AT207*$AU$7)*데이터입력!$AF$14+(AT207*$AU$7*$AV$7)*데이터입력!$AF$14+(AT207*$AW$7)*데이터입력!$AF$14+(AT207*$AX$7)*데이터입력!$AF$14,-1))</f>
        <v>0</v>
      </c>
      <c r="AX207" s="1122">
        <f t="shared" si="47"/>
        <v>0</v>
      </c>
      <c r="AY207" s="1123">
        <f>IFERROR(IF(AR207+AS207=0,0,ROUND(IF(데이터입력!$AF$14=100%,ROUND(AR207*$AR$1,-3),ROUND(AR207*$AR$1,-3)-ROUND(((AR207*$AR$1)*$AT$4)*(데이터입력!$AF$14-100%)+((AR207*$AR$1)*$AU$4)*(데이터입력!$AF$14-100%)+((AR207*$AR$1)*$AU$4*$AV$4)*(데이터입력!$AF$14-100%)+((AR207*$AR$1)*$AW$4)*(데이터입력!$AF$14-100%),-1)),0)),0)</f>
        <v>0</v>
      </c>
      <c r="AZ207" s="1124">
        <f>IFERROR(IF(AR207+AS207=0,0,IF(데이터입력!$AF$12=100%,(AT207),(AT207)+ROUND(AT207*(데이터입력!$AF$12-100%),-1))),0)</f>
        <v>0</v>
      </c>
      <c r="BA207" s="1265" t="str">
        <f t="shared" si="48"/>
        <v/>
      </c>
      <c r="BB207" s="1264" t="str">
        <f>IF(BA207="","",IF(데이터입력!$O$68="",ROUND(AZ207/12,0),ROUND(데이터입력!$O$68/데이터입력!$Y$8/$BC$63,0)))</f>
        <v/>
      </c>
    </row>
    <row r="208" spans="42:54">
      <c r="AP208" s="1182" t="str">
        <f>IF(예산실적비교표!AL208&lt;&gt;"",예산실적비교표!AL208,"")</f>
        <v/>
      </c>
      <c r="AQ208" s="1183" t="str">
        <f>IF(예산실적비교표!AM208&lt;&gt;"",예산실적비교표!AM208,"")</f>
        <v/>
      </c>
      <c r="AR208" s="1184">
        <f>IF(예산실적비교표!AN208&lt;&gt;"",예산실적비교표!AN208,0)</f>
        <v>0</v>
      </c>
      <c r="AS208" s="1185">
        <f>IF(예산실적비교표!AO208&lt;&gt;"",예산실적비교표!AO208,0)</f>
        <v>0</v>
      </c>
      <c r="AT208" s="1118">
        <f t="shared" si="45"/>
        <v>0</v>
      </c>
      <c r="AU208" s="1186">
        <f>IF(예산실적비교표!AQ208&lt;&gt;"",예산실적비교표!AQ208,0)</f>
        <v>0</v>
      </c>
      <c r="AV208" s="1120">
        <f t="shared" si="46"/>
        <v>0</v>
      </c>
      <c r="AW208" s="1121">
        <f>IF(AR208="",0,ROUND((AT208*$AT$7)*데이터입력!$AF$14+(AT208*$AU$7)*데이터입력!$AF$14+(AT208*$AU$7*$AV$7)*데이터입력!$AF$14+(AT208*$AW$7)*데이터입력!$AF$14+(AT208*$AX$7)*데이터입력!$AF$14,-1))</f>
        <v>0</v>
      </c>
      <c r="AX208" s="1122">
        <f t="shared" si="47"/>
        <v>0</v>
      </c>
      <c r="AY208" s="1123">
        <f>IFERROR(IF(AR208+AS208=0,0,ROUND(IF(데이터입력!$AF$14=100%,ROUND(AR208*$AR$1,-3),ROUND(AR208*$AR$1,-3)-ROUND(((AR208*$AR$1)*$AT$4)*(데이터입력!$AF$14-100%)+((AR208*$AR$1)*$AU$4)*(데이터입력!$AF$14-100%)+((AR208*$AR$1)*$AU$4*$AV$4)*(데이터입력!$AF$14-100%)+((AR208*$AR$1)*$AW$4)*(데이터입력!$AF$14-100%),-1)),0)),0)</f>
        <v>0</v>
      </c>
      <c r="AZ208" s="1124">
        <f>IFERROR(IF(AR208+AS208=0,0,IF(데이터입력!$AF$12=100%,(AT208),(AT208)+ROUND(AT208*(데이터입력!$AF$12-100%),-1))),0)</f>
        <v>0</v>
      </c>
      <c r="BA208" s="1265" t="str">
        <f t="shared" si="48"/>
        <v/>
      </c>
      <c r="BB208" s="1264" t="str">
        <f>IF(BA208="","",IF(데이터입력!$O$68="",ROUND(AZ208/12,0),ROUND(데이터입력!$O$68/데이터입력!$Y$8/$BC$63,0)))</f>
        <v/>
      </c>
    </row>
    <row r="209" spans="42:54">
      <c r="AP209" s="1182" t="str">
        <f>IF(예산실적비교표!AL209&lt;&gt;"",예산실적비교표!AL209,"")</f>
        <v/>
      </c>
      <c r="AQ209" s="1183" t="str">
        <f>IF(예산실적비교표!AM209&lt;&gt;"",예산실적비교표!AM209,"")</f>
        <v/>
      </c>
      <c r="AR209" s="1184">
        <f>IF(예산실적비교표!AN209&lt;&gt;"",예산실적비교표!AN209,0)</f>
        <v>0</v>
      </c>
      <c r="AS209" s="1185">
        <f>IF(예산실적비교표!AO209&lt;&gt;"",예산실적비교표!AO209,0)</f>
        <v>0</v>
      </c>
      <c r="AT209" s="1118">
        <f t="shared" si="45"/>
        <v>0</v>
      </c>
      <c r="AU209" s="1186">
        <f>IF(예산실적비교표!AQ209&lt;&gt;"",예산실적비교표!AQ209,0)</f>
        <v>0</v>
      </c>
      <c r="AV209" s="1120">
        <f t="shared" si="46"/>
        <v>0</v>
      </c>
      <c r="AW209" s="1121">
        <f>IF(AR209="",0,ROUND((AT209*$AT$7)*데이터입력!$AF$14+(AT209*$AU$7)*데이터입력!$AF$14+(AT209*$AU$7*$AV$7)*데이터입력!$AF$14+(AT209*$AW$7)*데이터입력!$AF$14+(AT209*$AX$7)*데이터입력!$AF$14,-1))</f>
        <v>0</v>
      </c>
      <c r="AX209" s="1122">
        <f t="shared" si="47"/>
        <v>0</v>
      </c>
      <c r="AY209" s="1123">
        <f>IFERROR(IF(AR209+AS209=0,0,ROUND(IF(데이터입력!$AF$14=100%,ROUND(AR209*$AR$1,-3),ROUND(AR209*$AR$1,-3)-ROUND(((AR209*$AR$1)*$AT$4)*(데이터입력!$AF$14-100%)+((AR209*$AR$1)*$AU$4)*(데이터입력!$AF$14-100%)+((AR209*$AR$1)*$AU$4*$AV$4)*(데이터입력!$AF$14-100%)+((AR209*$AR$1)*$AW$4)*(데이터입력!$AF$14-100%),-1)),0)),0)</f>
        <v>0</v>
      </c>
      <c r="AZ209" s="1124">
        <f>IFERROR(IF(AR209+AS209=0,0,IF(데이터입력!$AF$12=100%,(AT209),(AT209)+ROUND(AT209*(데이터입력!$AF$12-100%),-1))),0)</f>
        <v>0</v>
      </c>
      <c r="BA209" s="1265" t="str">
        <f t="shared" si="48"/>
        <v/>
      </c>
      <c r="BB209" s="1264" t="str">
        <f>IF(BA209="","",IF(데이터입력!$O$68="",ROUND(AZ209/12,0),ROUND(데이터입력!$O$68/데이터입력!$Y$8/$BC$63,0)))</f>
        <v/>
      </c>
    </row>
    <row r="210" spans="42:54">
      <c r="AP210" s="1182" t="str">
        <f>IF(예산실적비교표!AL210&lt;&gt;"",예산실적비교표!AL210,"")</f>
        <v/>
      </c>
      <c r="AQ210" s="1183" t="str">
        <f>IF(예산실적비교표!AM210&lt;&gt;"",예산실적비교표!AM210,"")</f>
        <v/>
      </c>
      <c r="AR210" s="1184">
        <f>IF(예산실적비교표!AN210&lt;&gt;"",예산실적비교표!AN210,0)</f>
        <v>0</v>
      </c>
      <c r="AS210" s="1185">
        <f>IF(예산실적비교표!AO210&lt;&gt;"",예산실적비교표!AO210,0)</f>
        <v>0</v>
      </c>
      <c r="AT210" s="1118">
        <f t="shared" si="45"/>
        <v>0</v>
      </c>
      <c r="AU210" s="1186">
        <f>IF(예산실적비교표!AQ210&lt;&gt;"",예산실적비교표!AQ210,0)</f>
        <v>0</v>
      </c>
      <c r="AV210" s="1120">
        <f t="shared" si="46"/>
        <v>0</v>
      </c>
      <c r="AW210" s="1121">
        <f>IF(AR210="",0,ROUND((AT210*$AT$7)*데이터입력!$AF$14+(AT210*$AU$7)*데이터입력!$AF$14+(AT210*$AU$7*$AV$7)*데이터입력!$AF$14+(AT210*$AW$7)*데이터입력!$AF$14+(AT210*$AX$7)*데이터입력!$AF$14,-1))</f>
        <v>0</v>
      </c>
      <c r="AX210" s="1122">
        <f t="shared" si="47"/>
        <v>0</v>
      </c>
      <c r="AY210" s="1123">
        <f>IFERROR(IF(AR210+AS210=0,0,ROUND(IF(데이터입력!$AF$14=100%,ROUND(AR210*$AR$1,-3),ROUND(AR210*$AR$1,-3)-ROUND(((AR210*$AR$1)*$AT$4)*(데이터입력!$AF$14-100%)+((AR210*$AR$1)*$AU$4)*(데이터입력!$AF$14-100%)+((AR210*$AR$1)*$AU$4*$AV$4)*(데이터입력!$AF$14-100%)+((AR210*$AR$1)*$AW$4)*(데이터입력!$AF$14-100%),-1)),0)),0)</f>
        <v>0</v>
      </c>
      <c r="AZ210" s="1124">
        <f>IFERROR(IF(AR210+AS210=0,0,IF(데이터입력!$AF$12=100%,(AT210),(AT210)+ROUND(AT210*(데이터입력!$AF$12-100%),-1))),0)</f>
        <v>0</v>
      </c>
      <c r="BA210" s="1265" t="str">
        <f t="shared" si="48"/>
        <v/>
      </c>
      <c r="BB210" s="1264" t="str">
        <f>IF(BA210="","",IF(데이터입력!$O$68="",ROUND(AZ210/12,0),ROUND(데이터입력!$O$68/데이터입력!$Y$8/$BC$63,0)))</f>
        <v/>
      </c>
    </row>
    <row r="211" spans="42:54">
      <c r="AP211" s="1182" t="str">
        <f>IF(예산실적비교표!AL211&lt;&gt;"",예산실적비교표!AL211,"")</f>
        <v/>
      </c>
      <c r="AQ211" s="1183" t="str">
        <f>IF(예산실적비교표!AM211&lt;&gt;"",예산실적비교표!AM211,"")</f>
        <v/>
      </c>
      <c r="AR211" s="1184">
        <f>IF(예산실적비교표!AN211&lt;&gt;"",예산실적비교표!AN211,0)</f>
        <v>0</v>
      </c>
      <c r="AS211" s="1185">
        <f>IF(예산실적비교표!AO211&lt;&gt;"",예산실적비교표!AO211,0)</f>
        <v>0</v>
      </c>
      <c r="AT211" s="1118">
        <f t="shared" si="45"/>
        <v>0</v>
      </c>
      <c r="AU211" s="1186">
        <f>IF(예산실적비교표!AQ211&lt;&gt;"",예산실적비교표!AQ211,0)</f>
        <v>0</v>
      </c>
      <c r="AV211" s="1120">
        <f t="shared" si="46"/>
        <v>0</v>
      </c>
      <c r="AW211" s="1121">
        <f>IF(AR211="",0,ROUND((AT211*$AT$7)*데이터입력!$AF$14+(AT211*$AU$7)*데이터입력!$AF$14+(AT211*$AU$7*$AV$7)*데이터입력!$AF$14+(AT211*$AW$7)*데이터입력!$AF$14+(AT211*$AX$7)*데이터입력!$AF$14,-1))</f>
        <v>0</v>
      </c>
      <c r="AX211" s="1122">
        <f t="shared" si="47"/>
        <v>0</v>
      </c>
      <c r="AY211" s="1123">
        <f>IFERROR(IF(AR211+AS211=0,0,ROUND(IF(데이터입력!$AF$14=100%,ROUND(AR211*$AR$1,-3),ROUND(AR211*$AR$1,-3)-ROUND(((AR211*$AR$1)*$AT$4)*(데이터입력!$AF$14-100%)+((AR211*$AR$1)*$AU$4)*(데이터입력!$AF$14-100%)+((AR211*$AR$1)*$AU$4*$AV$4)*(데이터입력!$AF$14-100%)+((AR211*$AR$1)*$AW$4)*(데이터입력!$AF$14-100%),-1)),0)),0)</f>
        <v>0</v>
      </c>
      <c r="AZ211" s="1124">
        <f>IFERROR(IF(AR211+AS211=0,0,IF(데이터입력!$AF$12=100%,(AT211),(AT211)+ROUND(AT211*(데이터입력!$AF$12-100%),-1))),0)</f>
        <v>0</v>
      </c>
      <c r="BA211" s="1265" t="str">
        <f t="shared" si="48"/>
        <v/>
      </c>
      <c r="BB211" s="1264" t="str">
        <f>IF(BA211="","",IF(데이터입력!$O$68="",ROUND(AZ211/12,0),ROUND(데이터입력!$O$68/데이터입력!$Y$8/$BC$63,0)))</f>
        <v/>
      </c>
    </row>
    <row r="212" spans="42:54">
      <c r="AP212" s="1182" t="str">
        <f>IF(예산실적비교표!AL212&lt;&gt;"",예산실적비교표!AL212,"")</f>
        <v/>
      </c>
      <c r="AQ212" s="1183" t="str">
        <f>IF(예산실적비교표!AM212&lt;&gt;"",예산실적비교표!AM212,"")</f>
        <v/>
      </c>
      <c r="AR212" s="1184">
        <f>IF(예산실적비교표!AN212&lt;&gt;"",예산실적비교표!AN212,0)</f>
        <v>0</v>
      </c>
      <c r="AS212" s="1185">
        <f>IF(예산실적비교표!AO212&lt;&gt;"",예산실적비교표!AO212,0)</f>
        <v>0</v>
      </c>
      <c r="AT212" s="1118">
        <f t="shared" si="45"/>
        <v>0</v>
      </c>
      <c r="AU212" s="1186">
        <f>IF(예산실적비교표!AQ212&lt;&gt;"",예산실적비교표!AQ212,0)</f>
        <v>0</v>
      </c>
      <c r="AV212" s="1120">
        <f t="shared" si="46"/>
        <v>0</v>
      </c>
      <c r="AW212" s="1121">
        <f>IF(AR212="",0,ROUND((AT212*$AT$7)*데이터입력!$AF$14+(AT212*$AU$7)*데이터입력!$AF$14+(AT212*$AU$7*$AV$7)*데이터입력!$AF$14+(AT212*$AW$7)*데이터입력!$AF$14+(AT212*$AX$7)*데이터입력!$AF$14,-1))</f>
        <v>0</v>
      </c>
      <c r="AX212" s="1122">
        <f t="shared" si="47"/>
        <v>0</v>
      </c>
      <c r="AY212" s="1123">
        <f>IFERROR(IF(AR212+AS212=0,0,ROUND(IF(데이터입력!$AF$14=100%,ROUND(AR212*$AR$1,-3),ROUND(AR212*$AR$1,-3)-ROUND(((AR212*$AR$1)*$AT$4)*(데이터입력!$AF$14-100%)+((AR212*$AR$1)*$AU$4)*(데이터입력!$AF$14-100%)+((AR212*$AR$1)*$AU$4*$AV$4)*(데이터입력!$AF$14-100%)+((AR212*$AR$1)*$AW$4)*(데이터입력!$AF$14-100%),-1)),0)),0)</f>
        <v>0</v>
      </c>
      <c r="AZ212" s="1124">
        <f>IFERROR(IF(AR212+AS212=0,0,IF(데이터입력!$AF$12=100%,(AT212),(AT212)+ROUND(AT212*(데이터입력!$AF$12-100%),-1))),0)</f>
        <v>0</v>
      </c>
      <c r="BA212" s="1265" t="str">
        <f t="shared" si="48"/>
        <v/>
      </c>
      <c r="BB212" s="1264" t="str">
        <f>IF(BA212="","",IF(데이터입력!$O$68="",ROUND(AZ212/12,0),ROUND(데이터입력!$O$68/데이터입력!$Y$8/$BC$63,0)))</f>
        <v/>
      </c>
    </row>
    <row r="213" spans="42:54">
      <c r="AP213" s="1182" t="str">
        <f>IF(예산실적비교표!AL213&lt;&gt;"",예산실적비교표!AL213,"")</f>
        <v/>
      </c>
      <c r="AQ213" s="1183" t="str">
        <f>IF(예산실적비교표!AM213&lt;&gt;"",예산실적비교표!AM213,"")</f>
        <v/>
      </c>
      <c r="AR213" s="1184">
        <f>IF(예산실적비교표!AN213&lt;&gt;"",예산실적비교표!AN213,0)</f>
        <v>0</v>
      </c>
      <c r="AS213" s="1185">
        <f>IF(예산실적비교표!AO213&lt;&gt;"",예산실적비교표!AO213,0)</f>
        <v>0</v>
      </c>
      <c r="AT213" s="1118">
        <f t="shared" si="45"/>
        <v>0</v>
      </c>
      <c r="AU213" s="1186">
        <f>IF(예산실적비교표!AQ213&lt;&gt;"",예산실적비교표!AQ213,0)</f>
        <v>0</v>
      </c>
      <c r="AV213" s="1120">
        <f t="shared" si="46"/>
        <v>0</v>
      </c>
      <c r="AW213" s="1121">
        <f>IF(AR213="",0,ROUND((AT213*$AT$7)*데이터입력!$AF$14+(AT213*$AU$7)*데이터입력!$AF$14+(AT213*$AU$7*$AV$7)*데이터입력!$AF$14+(AT213*$AW$7)*데이터입력!$AF$14+(AT213*$AX$7)*데이터입력!$AF$14,-1))</f>
        <v>0</v>
      </c>
      <c r="AX213" s="1122">
        <f t="shared" si="47"/>
        <v>0</v>
      </c>
      <c r="AY213" s="1123">
        <f>IFERROR(IF(AR213+AS213=0,0,ROUND(IF(데이터입력!$AF$14=100%,ROUND(AR213*$AR$1,-3),ROUND(AR213*$AR$1,-3)-ROUND(((AR213*$AR$1)*$AT$4)*(데이터입력!$AF$14-100%)+((AR213*$AR$1)*$AU$4)*(데이터입력!$AF$14-100%)+((AR213*$AR$1)*$AU$4*$AV$4)*(데이터입력!$AF$14-100%)+((AR213*$AR$1)*$AW$4)*(데이터입력!$AF$14-100%),-1)),0)),0)</f>
        <v>0</v>
      </c>
      <c r="AZ213" s="1124">
        <f>IFERROR(IF(AR213+AS213=0,0,IF(데이터입력!$AF$12=100%,(AT213),(AT213)+ROUND(AT213*(데이터입력!$AF$12-100%),-1))),0)</f>
        <v>0</v>
      </c>
      <c r="BA213" s="1265" t="str">
        <f t="shared" si="48"/>
        <v/>
      </c>
      <c r="BB213" s="1264" t="str">
        <f>IF(BA213="","",IF(데이터입력!$O$68="",ROUND(AZ213/12,0),ROUND(데이터입력!$O$68/데이터입력!$Y$8/$BC$63,0)))</f>
        <v/>
      </c>
    </row>
    <row r="214" spans="42:54">
      <c r="AP214" s="1182" t="str">
        <f>IF(예산실적비교표!AL214&lt;&gt;"",예산실적비교표!AL214,"")</f>
        <v/>
      </c>
      <c r="AQ214" s="1183" t="str">
        <f>IF(예산실적비교표!AM214&lt;&gt;"",예산실적비교표!AM214,"")</f>
        <v/>
      </c>
      <c r="AR214" s="1184">
        <f>IF(예산실적비교표!AN214&lt;&gt;"",예산실적비교표!AN214,0)</f>
        <v>0</v>
      </c>
      <c r="AS214" s="1185">
        <f>IF(예산실적비교표!AO214&lt;&gt;"",예산실적비교표!AO214,0)</f>
        <v>0</v>
      </c>
      <c r="AT214" s="1118">
        <f t="shared" si="45"/>
        <v>0</v>
      </c>
      <c r="AU214" s="1186">
        <f>IF(예산실적비교표!AQ214&lt;&gt;"",예산실적비교표!AQ214,0)</f>
        <v>0</v>
      </c>
      <c r="AV214" s="1120">
        <f t="shared" si="46"/>
        <v>0</v>
      </c>
      <c r="AW214" s="1121">
        <f>IF(AR214="",0,ROUND((AT214*$AT$7)*데이터입력!$AF$14+(AT214*$AU$7)*데이터입력!$AF$14+(AT214*$AU$7*$AV$7)*데이터입력!$AF$14+(AT214*$AW$7)*데이터입력!$AF$14+(AT214*$AX$7)*데이터입력!$AF$14,-1))</f>
        <v>0</v>
      </c>
      <c r="AX214" s="1122">
        <f t="shared" si="47"/>
        <v>0</v>
      </c>
      <c r="AY214" s="1123">
        <f>IFERROR(IF(AR214+AS214=0,0,ROUND(IF(데이터입력!$AF$14=100%,ROUND(AR214*$AR$1,-3),ROUND(AR214*$AR$1,-3)-ROUND(((AR214*$AR$1)*$AT$4)*(데이터입력!$AF$14-100%)+((AR214*$AR$1)*$AU$4)*(데이터입력!$AF$14-100%)+((AR214*$AR$1)*$AU$4*$AV$4)*(데이터입력!$AF$14-100%)+((AR214*$AR$1)*$AW$4)*(데이터입력!$AF$14-100%),-1)),0)),0)</f>
        <v>0</v>
      </c>
      <c r="AZ214" s="1124">
        <f>IFERROR(IF(AR214+AS214=0,0,IF(데이터입력!$AF$12=100%,(AT214),(AT214)+ROUND(AT214*(데이터입력!$AF$12-100%),-1))),0)</f>
        <v>0</v>
      </c>
      <c r="BA214" s="1265" t="str">
        <f t="shared" si="48"/>
        <v/>
      </c>
      <c r="BB214" s="1264" t="str">
        <f>IF(BA214="","",IF(데이터입력!$O$68="",ROUND(AZ214/12,0),ROUND(데이터입력!$O$68/데이터입력!$Y$8/$BC$63,0)))</f>
        <v/>
      </c>
    </row>
    <row r="215" spans="42:54">
      <c r="AP215" s="1182" t="str">
        <f>IF(예산실적비교표!AL215&lt;&gt;"",예산실적비교표!AL215,"")</f>
        <v/>
      </c>
      <c r="AQ215" s="1183" t="str">
        <f>IF(예산실적비교표!AM215&lt;&gt;"",예산실적비교표!AM215,"")</f>
        <v/>
      </c>
      <c r="AR215" s="1184">
        <f>IF(예산실적비교표!AN215&lt;&gt;"",예산실적비교표!AN215,0)</f>
        <v>0</v>
      </c>
      <c r="AS215" s="1185">
        <f>IF(예산실적비교표!AO215&lt;&gt;"",예산실적비교표!AO215,0)</f>
        <v>0</v>
      </c>
      <c r="AT215" s="1118">
        <f t="shared" si="45"/>
        <v>0</v>
      </c>
      <c r="AU215" s="1186">
        <f>IF(예산실적비교표!AQ215&lt;&gt;"",예산실적비교표!AQ215,0)</f>
        <v>0</v>
      </c>
      <c r="AV215" s="1120">
        <f t="shared" si="46"/>
        <v>0</v>
      </c>
      <c r="AW215" s="1121">
        <f>IF(AR215="",0,ROUND((AT215*$AT$7)*데이터입력!$AF$14+(AT215*$AU$7)*데이터입력!$AF$14+(AT215*$AU$7*$AV$7)*데이터입력!$AF$14+(AT215*$AW$7)*데이터입력!$AF$14+(AT215*$AX$7)*데이터입력!$AF$14,-1))</f>
        <v>0</v>
      </c>
      <c r="AX215" s="1122">
        <f t="shared" si="47"/>
        <v>0</v>
      </c>
      <c r="AY215" s="1123">
        <f>IFERROR(IF(AR215+AS215=0,0,ROUND(IF(데이터입력!$AF$14=100%,ROUND(AR215*$AR$1,-3),ROUND(AR215*$AR$1,-3)-ROUND(((AR215*$AR$1)*$AT$4)*(데이터입력!$AF$14-100%)+((AR215*$AR$1)*$AU$4)*(데이터입력!$AF$14-100%)+((AR215*$AR$1)*$AU$4*$AV$4)*(데이터입력!$AF$14-100%)+((AR215*$AR$1)*$AW$4)*(데이터입력!$AF$14-100%),-1)),0)),0)</f>
        <v>0</v>
      </c>
      <c r="AZ215" s="1124">
        <f>IFERROR(IF(AR215+AS215=0,0,IF(데이터입력!$AF$12=100%,(AT215),(AT215)+ROUND(AT215*(데이터입력!$AF$12-100%),-1))),0)</f>
        <v>0</v>
      </c>
      <c r="BA215" s="1265" t="str">
        <f t="shared" si="48"/>
        <v/>
      </c>
      <c r="BB215" s="1264" t="str">
        <f>IF(BA215="","",IF(데이터입력!$O$68="",ROUND(AZ215/12,0),ROUND(데이터입력!$O$68/데이터입력!$Y$8/$BC$63,0)))</f>
        <v/>
      </c>
    </row>
    <row r="216" spans="42:54">
      <c r="AP216" s="1182" t="str">
        <f>IF(예산실적비교표!AL216&lt;&gt;"",예산실적비교표!AL216,"")</f>
        <v/>
      </c>
      <c r="AQ216" s="1183" t="str">
        <f>IF(예산실적비교표!AM216&lt;&gt;"",예산실적비교표!AM216,"")</f>
        <v/>
      </c>
      <c r="AR216" s="1184">
        <f>IF(예산실적비교표!AN216&lt;&gt;"",예산실적비교표!AN216,0)</f>
        <v>0</v>
      </c>
      <c r="AS216" s="1185">
        <f>IF(예산실적비교표!AO216&lt;&gt;"",예산실적비교표!AO216,0)</f>
        <v>0</v>
      </c>
      <c r="AT216" s="1118">
        <f t="shared" si="45"/>
        <v>0</v>
      </c>
      <c r="AU216" s="1186">
        <f>IF(예산실적비교표!AQ216&lt;&gt;"",예산실적비교표!AQ216,0)</f>
        <v>0</v>
      </c>
      <c r="AV216" s="1120">
        <f t="shared" si="46"/>
        <v>0</v>
      </c>
      <c r="AW216" s="1121">
        <f>IF(AR216="",0,ROUND((AT216*$AT$7)*데이터입력!$AF$14+(AT216*$AU$7)*데이터입력!$AF$14+(AT216*$AU$7*$AV$7)*데이터입력!$AF$14+(AT216*$AW$7)*데이터입력!$AF$14+(AT216*$AX$7)*데이터입력!$AF$14,-1))</f>
        <v>0</v>
      </c>
      <c r="AX216" s="1122">
        <f t="shared" si="47"/>
        <v>0</v>
      </c>
      <c r="AY216" s="1123">
        <f>IFERROR(IF(AR216+AS216=0,0,ROUND(IF(데이터입력!$AF$14=100%,ROUND(AR216*$AR$1,-3),ROUND(AR216*$AR$1,-3)-ROUND(((AR216*$AR$1)*$AT$4)*(데이터입력!$AF$14-100%)+((AR216*$AR$1)*$AU$4)*(데이터입력!$AF$14-100%)+((AR216*$AR$1)*$AU$4*$AV$4)*(데이터입력!$AF$14-100%)+((AR216*$AR$1)*$AW$4)*(데이터입력!$AF$14-100%),-1)),0)),0)</f>
        <v>0</v>
      </c>
      <c r="AZ216" s="1124">
        <f>IFERROR(IF(AR216+AS216=0,0,IF(데이터입력!$AF$12=100%,(AT216),(AT216)+ROUND(AT216*(데이터입력!$AF$12-100%),-1))),0)</f>
        <v>0</v>
      </c>
      <c r="BA216" s="1265" t="str">
        <f t="shared" si="48"/>
        <v/>
      </c>
      <c r="BB216" s="1264" t="str">
        <f>IF(BA216="","",IF(데이터입력!$O$68="",ROUND(AZ216/12,0),ROUND(데이터입력!$O$68/데이터입력!$Y$8/$BC$63,0)))</f>
        <v/>
      </c>
    </row>
    <row r="217" spans="42:54">
      <c r="AP217" s="1182" t="str">
        <f>IF(예산실적비교표!AL217&lt;&gt;"",예산실적비교표!AL217,"")</f>
        <v/>
      </c>
      <c r="AQ217" s="1183" t="str">
        <f>IF(예산실적비교표!AM217&lt;&gt;"",예산실적비교표!AM217,"")</f>
        <v/>
      </c>
      <c r="AR217" s="1184">
        <f>IF(예산실적비교표!AN217&lt;&gt;"",예산실적비교표!AN217,0)</f>
        <v>0</v>
      </c>
      <c r="AS217" s="1185">
        <f>IF(예산실적비교표!AO217&lt;&gt;"",예산실적비교표!AO217,0)</f>
        <v>0</v>
      </c>
      <c r="AT217" s="1118">
        <f t="shared" si="45"/>
        <v>0</v>
      </c>
      <c r="AU217" s="1186">
        <f>IF(예산실적비교표!AQ217&lt;&gt;"",예산실적비교표!AQ217,0)</f>
        <v>0</v>
      </c>
      <c r="AV217" s="1120">
        <f t="shared" si="46"/>
        <v>0</v>
      </c>
      <c r="AW217" s="1121">
        <f>IF(AR217="",0,ROUND((AT217*$AT$7)*데이터입력!$AF$14+(AT217*$AU$7)*데이터입력!$AF$14+(AT217*$AU$7*$AV$7)*데이터입력!$AF$14+(AT217*$AW$7)*데이터입력!$AF$14+(AT217*$AX$7)*데이터입력!$AF$14,-1))</f>
        <v>0</v>
      </c>
      <c r="AX217" s="1122">
        <f t="shared" si="47"/>
        <v>0</v>
      </c>
      <c r="AY217" s="1123">
        <f>IFERROR(IF(AR217+AS217=0,0,ROUND(IF(데이터입력!$AF$14=100%,ROUND(AR217*$AR$1,-3),ROUND(AR217*$AR$1,-3)-ROUND(((AR217*$AR$1)*$AT$4)*(데이터입력!$AF$14-100%)+((AR217*$AR$1)*$AU$4)*(데이터입력!$AF$14-100%)+((AR217*$AR$1)*$AU$4*$AV$4)*(데이터입력!$AF$14-100%)+((AR217*$AR$1)*$AW$4)*(데이터입력!$AF$14-100%),-1)),0)),0)</f>
        <v>0</v>
      </c>
      <c r="AZ217" s="1124">
        <f>IFERROR(IF(AR217+AS217=0,0,IF(데이터입력!$AF$12=100%,(AT217),(AT217)+ROUND(AT217*(데이터입력!$AF$12-100%),-1))),0)</f>
        <v>0</v>
      </c>
      <c r="BA217" s="1265" t="str">
        <f t="shared" si="48"/>
        <v/>
      </c>
      <c r="BB217" s="1264" t="str">
        <f>IF(BA217="","",IF(데이터입력!$O$68="",ROUND(AZ217/12,0),ROUND(데이터입력!$O$68/데이터입력!$Y$8/$BC$63,0)))</f>
        <v/>
      </c>
    </row>
    <row r="218" spans="42:54">
      <c r="AP218" s="1182" t="str">
        <f>IF(예산실적비교표!AL218&lt;&gt;"",예산실적비교표!AL218,"")</f>
        <v/>
      </c>
      <c r="AQ218" s="1183" t="str">
        <f>IF(예산실적비교표!AM218&lt;&gt;"",예산실적비교표!AM218,"")</f>
        <v/>
      </c>
      <c r="AR218" s="1184">
        <f>IF(예산실적비교표!AN218&lt;&gt;"",예산실적비교표!AN218,0)</f>
        <v>0</v>
      </c>
      <c r="AS218" s="1185">
        <f>IF(예산실적비교표!AO218&lt;&gt;"",예산실적비교표!AO218,0)</f>
        <v>0</v>
      </c>
      <c r="AT218" s="1118">
        <f t="shared" si="45"/>
        <v>0</v>
      </c>
      <c r="AU218" s="1186">
        <f>IF(예산실적비교표!AQ218&lt;&gt;"",예산실적비교표!AQ218,0)</f>
        <v>0</v>
      </c>
      <c r="AV218" s="1120">
        <f t="shared" si="46"/>
        <v>0</v>
      </c>
      <c r="AW218" s="1121">
        <f>IF(AR218="",0,ROUND((AT218*$AT$7)*데이터입력!$AF$14+(AT218*$AU$7)*데이터입력!$AF$14+(AT218*$AU$7*$AV$7)*데이터입력!$AF$14+(AT218*$AW$7)*데이터입력!$AF$14+(AT218*$AX$7)*데이터입력!$AF$14,-1))</f>
        <v>0</v>
      </c>
      <c r="AX218" s="1122">
        <f t="shared" si="47"/>
        <v>0</v>
      </c>
      <c r="AY218" s="1123">
        <f>IFERROR(IF(AR218+AS218=0,0,ROUND(IF(데이터입력!$AF$14=100%,ROUND(AR218*$AR$1,-3),ROUND(AR218*$AR$1,-3)-ROUND(((AR218*$AR$1)*$AT$4)*(데이터입력!$AF$14-100%)+((AR218*$AR$1)*$AU$4)*(데이터입력!$AF$14-100%)+((AR218*$AR$1)*$AU$4*$AV$4)*(데이터입력!$AF$14-100%)+((AR218*$AR$1)*$AW$4)*(데이터입력!$AF$14-100%),-1)),0)),0)</f>
        <v>0</v>
      </c>
      <c r="AZ218" s="1124">
        <f>IFERROR(IF(AR218+AS218=0,0,IF(데이터입력!$AF$12=100%,(AT218),(AT218)+ROUND(AT218*(데이터입력!$AF$12-100%),-1))),0)</f>
        <v>0</v>
      </c>
      <c r="BA218" s="1265" t="str">
        <f t="shared" si="48"/>
        <v/>
      </c>
      <c r="BB218" s="1264" t="str">
        <f>IF(BA218="","",IF(데이터입력!$O$68="",ROUND(AZ218/12,0),ROUND(데이터입력!$O$68/데이터입력!$Y$8/$BC$63,0)))</f>
        <v/>
      </c>
    </row>
    <row r="219" spans="42:54">
      <c r="AP219" s="1182" t="str">
        <f>IF(예산실적비교표!AL219&lt;&gt;"",예산실적비교표!AL219,"")</f>
        <v/>
      </c>
      <c r="AQ219" s="1183" t="str">
        <f>IF(예산실적비교표!AM219&lt;&gt;"",예산실적비교표!AM219,"")</f>
        <v/>
      </c>
      <c r="AR219" s="1184">
        <f>IF(예산실적비교표!AN219&lt;&gt;"",예산실적비교표!AN219,0)</f>
        <v>0</v>
      </c>
      <c r="AS219" s="1185">
        <f>IF(예산실적비교표!AO219&lt;&gt;"",예산실적비교표!AO219,0)</f>
        <v>0</v>
      </c>
      <c r="AT219" s="1118">
        <f t="shared" si="45"/>
        <v>0</v>
      </c>
      <c r="AU219" s="1186">
        <f>IF(예산실적비교표!AQ219&lt;&gt;"",예산실적비교표!AQ219,0)</f>
        <v>0</v>
      </c>
      <c r="AV219" s="1120">
        <f t="shared" si="46"/>
        <v>0</v>
      </c>
      <c r="AW219" s="1121">
        <f>IF(AR219="",0,ROUND((AT219*$AT$7)*데이터입력!$AF$14+(AT219*$AU$7)*데이터입력!$AF$14+(AT219*$AU$7*$AV$7)*데이터입력!$AF$14+(AT219*$AW$7)*데이터입력!$AF$14+(AT219*$AX$7)*데이터입력!$AF$14,-1))</f>
        <v>0</v>
      </c>
      <c r="AX219" s="1122">
        <f t="shared" si="47"/>
        <v>0</v>
      </c>
      <c r="AY219" s="1123">
        <f>IFERROR(IF(AR219+AS219=0,0,ROUND(IF(데이터입력!$AF$14=100%,ROUND(AR219*$AR$1,-3),ROUND(AR219*$AR$1,-3)-ROUND(((AR219*$AR$1)*$AT$4)*(데이터입력!$AF$14-100%)+((AR219*$AR$1)*$AU$4)*(데이터입력!$AF$14-100%)+((AR219*$AR$1)*$AU$4*$AV$4)*(데이터입력!$AF$14-100%)+((AR219*$AR$1)*$AW$4)*(데이터입력!$AF$14-100%),-1)),0)),0)</f>
        <v>0</v>
      </c>
      <c r="AZ219" s="1124">
        <f>IFERROR(IF(AR219+AS219=0,0,IF(데이터입력!$AF$12=100%,(AT219),(AT219)+ROUND(AT219*(데이터입력!$AF$12-100%),-1))),0)</f>
        <v>0</v>
      </c>
      <c r="BA219" s="1265" t="str">
        <f t="shared" si="48"/>
        <v/>
      </c>
      <c r="BB219" s="1264" t="str">
        <f>IF(BA219="","",IF(데이터입력!$O$68="",ROUND(AZ219/12,0),ROUND(데이터입력!$O$68/데이터입력!$Y$8/$BC$63,0)))</f>
        <v/>
      </c>
    </row>
    <row r="220" spans="42:54">
      <c r="AP220" s="1182" t="str">
        <f>IF(예산실적비교표!AL220&lt;&gt;"",예산실적비교표!AL220,"")</f>
        <v/>
      </c>
      <c r="AQ220" s="1183" t="str">
        <f>IF(예산실적비교표!AM220&lt;&gt;"",예산실적비교표!AM220,"")</f>
        <v/>
      </c>
      <c r="AR220" s="1184">
        <f>IF(예산실적비교표!AN220&lt;&gt;"",예산실적비교표!AN220,0)</f>
        <v>0</v>
      </c>
      <c r="AS220" s="1185">
        <f>IF(예산실적비교표!AO220&lt;&gt;"",예산실적비교표!AO220,0)</f>
        <v>0</v>
      </c>
      <c r="AT220" s="1118">
        <f t="shared" si="45"/>
        <v>0</v>
      </c>
      <c r="AU220" s="1186">
        <f>IF(예산실적비교표!AQ220&lt;&gt;"",예산실적비교표!AQ220,0)</f>
        <v>0</v>
      </c>
      <c r="AV220" s="1120">
        <f t="shared" si="46"/>
        <v>0</v>
      </c>
      <c r="AW220" s="1121">
        <f>IF(AR220="",0,ROUND((AT220*$AT$7)*데이터입력!$AF$14+(AT220*$AU$7)*데이터입력!$AF$14+(AT220*$AU$7*$AV$7)*데이터입력!$AF$14+(AT220*$AW$7)*데이터입력!$AF$14+(AT220*$AX$7)*데이터입력!$AF$14,-1))</f>
        <v>0</v>
      </c>
      <c r="AX220" s="1122">
        <f t="shared" si="47"/>
        <v>0</v>
      </c>
      <c r="AY220" s="1123">
        <f>IFERROR(IF(AR220+AS220=0,0,ROUND(IF(데이터입력!$AF$14=100%,ROUND(AR220*$AR$1,-3),ROUND(AR220*$AR$1,-3)-ROUND(((AR220*$AR$1)*$AT$4)*(데이터입력!$AF$14-100%)+((AR220*$AR$1)*$AU$4)*(데이터입력!$AF$14-100%)+((AR220*$AR$1)*$AU$4*$AV$4)*(데이터입력!$AF$14-100%)+((AR220*$AR$1)*$AW$4)*(데이터입력!$AF$14-100%),-1)),0)),0)</f>
        <v>0</v>
      </c>
      <c r="AZ220" s="1124">
        <f>IFERROR(IF(AR220+AS220=0,0,IF(데이터입력!$AF$12=100%,(AT220),(AT220)+ROUND(AT220*(데이터입력!$AF$12-100%),-1))),0)</f>
        <v>0</v>
      </c>
      <c r="BA220" s="1265" t="str">
        <f t="shared" si="48"/>
        <v/>
      </c>
      <c r="BB220" s="1264" t="str">
        <f>IF(BA220="","",IF(데이터입력!$O$68="",ROUND(AZ220/12,0),ROUND(데이터입력!$O$68/데이터입력!$Y$8/$BC$63,0)))</f>
        <v/>
      </c>
    </row>
    <row r="221" spans="42:54">
      <c r="AP221" s="1182" t="str">
        <f>IF(예산실적비교표!AL221&lt;&gt;"",예산실적비교표!AL221,"")</f>
        <v/>
      </c>
      <c r="AQ221" s="1183" t="str">
        <f>IF(예산실적비교표!AM221&lt;&gt;"",예산실적비교표!AM221,"")</f>
        <v/>
      </c>
      <c r="AR221" s="1184">
        <f>IF(예산실적비교표!AN221&lt;&gt;"",예산실적비교표!AN221,0)</f>
        <v>0</v>
      </c>
      <c r="AS221" s="1185">
        <f>IF(예산실적비교표!AO221&lt;&gt;"",예산실적비교표!AO221,0)</f>
        <v>0</v>
      </c>
      <c r="AT221" s="1118">
        <f t="shared" si="45"/>
        <v>0</v>
      </c>
      <c r="AU221" s="1186">
        <f>IF(예산실적비교표!AQ221&lt;&gt;"",예산실적비교표!AQ221,0)</f>
        <v>0</v>
      </c>
      <c r="AV221" s="1120">
        <f t="shared" si="46"/>
        <v>0</v>
      </c>
      <c r="AW221" s="1121">
        <f>IF(AR221="",0,ROUND((AT221*$AT$7)*데이터입력!$AF$14+(AT221*$AU$7)*데이터입력!$AF$14+(AT221*$AU$7*$AV$7)*데이터입력!$AF$14+(AT221*$AW$7)*데이터입력!$AF$14+(AT221*$AX$7)*데이터입력!$AF$14,-1))</f>
        <v>0</v>
      </c>
      <c r="AX221" s="1122">
        <f t="shared" si="47"/>
        <v>0</v>
      </c>
      <c r="AY221" s="1123">
        <f>IFERROR(IF(AR221+AS221=0,0,ROUND(IF(데이터입력!$AF$14=100%,ROUND(AR221*$AR$1,-3),ROUND(AR221*$AR$1,-3)-ROUND(((AR221*$AR$1)*$AT$4)*(데이터입력!$AF$14-100%)+((AR221*$AR$1)*$AU$4)*(데이터입력!$AF$14-100%)+((AR221*$AR$1)*$AU$4*$AV$4)*(데이터입력!$AF$14-100%)+((AR221*$AR$1)*$AW$4)*(데이터입력!$AF$14-100%),-1)),0)),0)</f>
        <v>0</v>
      </c>
      <c r="AZ221" s="1124">
        <f>IFERROR(IF(AR221+AS221=0,0,IF(데이터입력!$AF$12=100%,(AT221),(AT221)+ROUND(AT221*(데이터입력!$AF$12-100%),-1))),0)</f>
        <v>0</v>
      </c>
      <c r="BA221" s="1265" t="str">
        <f t="shared" si="48"/>
        <v/>
      </c>
      <c r="BB221" s="1264" t="str">
        <f>IF(BA221="","",IF(데이터입력!$O$68="",ROUND(AZ221/12,0),ROUND(데이터입력!$O$68/데이터입력!$Y$8/$BC$63,0)))</f>
        <v/>
      </c>
    </row>
    <row r="222" spans="42:54">
      <c r="AP222" s="1182" t="str">
        <f>IF(예산실적비교표!AL222&lt;&gt;"",예산실적비교표!AL222,"")</f>
        <v/>
      </c>
      <c r="AQ222" s="1183" t="str">
        <f>IF(예산실적비교표!AM222&lt;&gt;"",예산실적비교표!AM222,"")</f>
        <v/>
      </c>
      <c r="AR222" s="1184">
        <f>IF(예산실적비교표!AN222&lt;&gt;"",예산실적비교표!AN222,0)</f>
        <v>0</v>
      </c>
      <c r="AS222" s="1185">
        <f>IF(예산실적비교표!AO222&lt;&gt;"",예산실적비교표!AO222,0)</f>
        <v>0</v>
      </c>
      <c r="AT222" s="1118">
        <f t="shared" si="45"/>
        <v>0</v>
      </c>
      <c r="AU222" s="1186">
        <f>IF(예산실적비교표!AQ222&lt;&gt;"",예산실적비교표!AQ222,0)</f>
        <v>0</v>
      </c>
      <c r="AV222" s="1120">
        <f t="shared" si="46"/>
        <v>0</v>
      </c>
      <c r="AW222" s="1121">
        <f>IF(AR222="",0,ROUND((AT222*$AT$7)*데이터입력!$AF$14+(AT222*$AU$7)*데이터입력!$AF$14+(AT222*$AU$7*$AV$7)*데이터입력!$AF$14+(AT222*$AW$7)*데이터입력!$AF$14+(AT222*$AX$7)*데이터입력!$AF$14,-1))</f>
        <v>0</v>
      </c>
      <c r="AX222" s="1122">
        <f t="shared" si="47"/>
        <v>0</v>
      </c>
      <c r="AY222" s="1123">
        <f>IFERROR(IF(AR222+AS222=0,0,ROUND(IF(데이터입력!$AF$14=100%,ROUND(AR222*$AR$1,-3),ROUND(AR222*$AR$1,-3)-ROUND(((AR222*$AR$1)*$AT$4)*(데이터입력!$AF$14-100%)+((AR222*$AR$1)*$AU$4)*(데이터입력!$AF$14-100%)+((AR222*$AR$1)*$AU$4*$AV$4)*(데이터입력!$AF$14-100%)+((AR222*$AR$1)*$AW$4)*(데이터입력!$AF$14-100%),-1)),0)),0)</f>
        <v>0</v>
      </c>
      <c r="AZ222" s="1124">
        <f>IFERROR(IF(AR222+AS222=0,0,IF(데이터입력!$AF$12=100%,(AT222),(AT222)+ROUND(AT222*(데이터입력!$AF$12-100%),-1))),0)</f>
        <v>0</v>
      </c>
      <c r="BA222" s="1265" t="str">
        <f t="shared" si="48"/>
        <v/>
      </c>
      <c r="BB222" s="1264" t="str">
        <f>IF(BA222="","",IF(데이터입력!$O$68="",ROUND(AZ222/12,0),ROUND(데이터입력!$O$68/데이터입력!$Y$8/$BC$63,0)))</f>
        <v/>
      </c>
    </row>
    <row r="223" spans="42:54">
      <c r="AP223" s="1182" t="str">
        <f>IF(예산실적비교표!AL223&lt;&gt;"",예산실적비교표!AL223,"")</f>
        <v/>
      </c>
      <c r="AQ223" s="1183" t="str">
        <f>IF(예산실적비교표!AM223&lt;&gt;"",예산실적비교표!AM223,"")</f>
        <v/>
      </c>
      <c r="AR223" s="1184">
        <f>IF(예산실적비교표!AN223&lt;&gt;"",예산실적비교표!AN223,0)</f>
        <v>0</v>
      </c>
      <c r="AS223" s="1185">
        <f>IF(예산실적비교표!AO223&lt;&gt;"",예산실적비교표!AO223,0)</f>
        <v>0</v>
      </c>
      <c r="AT223" s="1118">
        <f t="shared" si="45"/>
        <v>0</v>
      </c>
      <c r="AU223" s="1186">
        <f>IF(예산실적비교표!AQ223&lt;&gt;"",예산실적비교표!AQ223,0)</f>
        <v>0</v>
      </c>
      <c r="AV223" s="1120">
        <f t="shared" si="46"/>
        <v>0</v>
      </c>
      <c r="AW223" s="1121">
        <f>IF(AR223="",0,ROUND((AT223*$AT$7)*데이터입력!$AF$14+(AT223*$AU$7)*데이터입력!$AF$14+(AT223*$AU$7*$AV$7)*데이터입력!$AF$14+(AT223*$AW$7)*데이터입력!$AF$14+(AT223*$AX$7)*데이터입력!$AF$14,-1))</f>
        <v>0</v>
      </c>
      <c r="AX223" s="1122">
        <f t="shared" si="47"/>
        <v>0</v>
      </c>
      <c r="AY223" s="1123">
        <f>IFERROR(IF(AR223+AS223=0,0,ROUND(IF(데이터입력!$AF$14=100%,ROUND(AR223*$AR$1,-3),ROUND(AR223*$AR$1,-3)-ROUND(((AR223*$AR$1)*$AT$4)*(데이터입력!$AF$14-100%)+((AR223*$AR$1)*$AU$4)*(데이터입력!$AF$14-100%)+((AR223*$AR$1)*$AU$4*$AV$4)*(데이터입력!$AF$14-100%)+((AR223*$AR$1)*$AW$4)*(데이터입력!$AF$14-100%),-1)),0)),0)</f>
        <v>0</v>
      </c>
      <c r="AZ223" s="1124">
        <f>IFERROR(IF(AR223+AS223=0,0,IF(데이터입력!$AF$12=100%,(AT223),(AT223)+ROUND(AT223*(데이터입력!$AF$12-100%),-1))),0)</f>
        <v>0</v>
      </c>
      <c r="BA223" s="1265" t="str">
        <f t="shared" si="48"/>
        <v/>
      </c>
      <c r="BB223" s="1264" t="str">
        <f>IF(BA223="","",IF(데이터입력!$O$68="",ROUND(AZ223/12,0),ROUND(데이터입력!$O$68/데이터입력!$Y$8/$BC$63,0)))</f>
        <v/>
      </c>
    </row>
    <row r="224" spans="42:54">
      <c r="AP224" s="1182" t="str">
        <f>IF(예산실적비교표!AL224&lt;&gt;"",예산실적비교표!AL224,"")</f>
        <v/>
      </c>
      <c r="AQ224" s="1183" t="str">
        <f>IF(예산실적비교표!AM224&lt;&gt;"",예산실적비교표!AM224,"")</f>
        <v/>
      </c>
      <c r="AR224" s="1184">
        <f>IF(예산실적비교표!AN224&lt;&gt;"",예산실적비교표!AN224,0)</f>
        <v>0</v>
      </c>
      <c r="AS224" s="1185">
        <f>IF(예산실적비교표!AO224&lt;&gt;"",예산실적비교표!AO224,0)</f>
        <v>0</v>
      </c>
      <c r="AT224" s="1118">
        <f t="shared" si="45"/>
        <v>0</v>
      </c>
      <c r="AU224" s="1186">
        <f>IF(예산실적비교표!AQ224&lt;&gt;"",예산실적비교표!AQ224,0)</f>
        <v>0</v>
      </c>
      <c r="AV224" s="1120">
        <f t="shared" si="46"/>
        <v>0</v>
      </c>
      <c r="AW224" s="1121">
        <f>IF(AR224="",0,ROUND((AT224*$AT$7)*데이터입력!$AF$14+(AT224*$AU$7)*데이터입력!$AF$14+(AT224*$AU$7*$AV$7)*데이터입력!$AF$14+(AT224*$AW$7)*데이터입력!$AF$14+(AT224*$AX$7)*데이터입력!$AF$14,-1))</f>
        <v>0</v>
      </c>
      <c r="AX224" s="1122">
        <f t="shared" si="47"/>
        <v>0</v>
      </c>
      <c r="AY224" s="1123">
        <f>IFERROR(IF(AR224+AS224=0,0,ROUND(IF(데이터입력!$AF$14=100%,ROUND(AR224*$AR$1,-3),ROUND(AR224*$AR$1,-3)-ROUND(((AR224*$AR$1)*$AT$4)*(데이터입력!$AF$14-100%)+((AR224*$AR$1)*$AU$4)*(데이터입력!$AF$14-100%)+((AR224*$AR$1)*$AU$4*$AV$4)*(데이터입력!$AF$14-100%)+((AR224*$AR$1)*$AW$4)*(데이터입력!$AF$14-100%),-1)),0)),0)</f>
        <v>0</v>
      </c>
      <c r="AZ224" s="1124">
        <f>IFERROR(IF(AR224+AS224=0,0,IF(데이터입력!$AF$12=100%,(AT224),(AT224)+ROUND(AT224*(데이터입력!$AF$12-100%),-1))),0)</f>
        <v>0</v>
      </c>
      <c r="BA224" s="1265" t="str">
        <f t="shared" si="48"/>
        <v/>
      </c>
      <c r="BB224" s="1264" t="str">
        <f>IF(BA224="","",IF(데이터입력!$O$68="",ROUND(AZ224/12,0),ROUND(데이터입력!$O$68/데이터입력!$Y$8/$BC$63,0)))</f>
        <v/>
      </c>
    </row>
    <row r="225" spans="42:54">
      <c r="AP225" s="1182" t="str">
        <f>IF(예산실적비교표!AL225&lt;&gt;"",예산실적비교표!AL225,"")</f>
        <v/>
      </c>
      <c r="AQ225" s="1183" t="str">
        <f>IF(예산실적비교표!AM225&lt;&gt;"",예산실적비교표!AM225,"")</f>
        <v/>
      </c>
      <c r="AR225" s="1184">
        <f>IF(예산실적비교표!AN225&lt;&gt;"",예산실적비교표!AN225,0)</f>
        <v>0</v>
      </c>
      <c r="AS225" s="1185">
        <f>IF(예산실적비교표!AO225&lt;&gt;"",예산실적비교표!AO225,0)</f>
        <v>0</v>
      </c>
      <c r="AT225" s="1118">
        <f t="shared" si="45"/>
        <v>0</v>
      </c>
      <c r="AU225" s="1186">
        <f>IF(예산실적비교표!AQ225&lt;&gt;"",예산실적비교표!AQ225,0)</f>
        <v>0</v>
      </c>
      <c r="AV225" s="1120">
        <f t="shared" si="46"/>
        <v>0</v>
      </c>
      <c r="AW225" s="1121">
        <f>IF(AR225="",0,ROUND((AT225*$AT$7)*데이터입력!$AF$14+(AT225*$AU$7)*데이터입력!$AF$14+(AT225*$AU$7*$AV$7)*데이터입력!$AF$14+(AT225*$AW$7)*데이터입력!$AF$14+(AT225*$AX$7)*데이터입력!$AF$14,-1))</f>
        <v>0</v>
      </c>
      <c r="AX225" s="1122">
        <f t="shared" si="47"/>
        <v>0</v>
      </c>
      <c r="AY225" s="1123">
        <f>IFERROR(IF(AR225+AS225=0,0,ROUND(IF(데이터입력!$AF$14=100%,ROUND(AR225*$AR$1,-3),ROUND(AR225*$AR$1,-3)-ROUND(((AR225*$AR$1)*$AT$4)*(데이터입력!$AF$14-100%)+((AR225*$AR$1)*$AU$4)*(데이터입력!$AF$14-100%)+((AR225*$AR$1)*$AU$4*$AV$4)*(데이터입력!$AF$14-100%)+((AR225*$AR$1)*$AW$4)*(데이터입력!$AF$14-100%),-1)),0)),0)</f>
        <v>0</v>
      </c>
      <c r="AZ225" s="1124">
        <f>IFERROR(IF(AR225+AS225=0,0,IF(데이터입력!$AF$12=100%,(AT225),(AT225)+ROUND(AT225*(데이터입력!$AF$12-100%),-1))),0)</f>
        <v>0</v>
      </c>
      <c r="BA225" s="1265" t="str">
        <f t="shared" si="48"/>
        <v/>
      </c>
      <c r="BB225" s="1264" t="str">
        <f>IF(BA225="","",IF(데이터입력!$O$68="",ROUND(AZ225/12,0),ROUND(데이터입력!$O$68/데이터입력!$Y$8/$BC$63,0)))</f>
        <v/>
      </c>
    </row>
    <row r="226" spans="42:54">
      <c r="AP226" s="1182" t="str">
        <f>IF(예산실적비교표!AL226&lt;&gt;"",예산실적비교표!AL226,"")</f>
        <v/>
      </c>
      <c r="AQ226" s="1183" t="str">
        <f>IF(예산실적비교표!AM226&lt;&gt;"",예산실적비교표!AM226,"")</f>
        <v/>
      </c>
      <c r="AR226" s="1184">
        <f>IF(예산실적비교표!AN226&lt;&gt;"",예산실적비교표!AN226,0)</f>
        <v>0</v>
      </c>
      <c r="AS226" s="1185">
        <f>IF(예산실적비교표!AO226&lt;&gt;"",예산실적비교표!AO226,0)</f>
        <v>0</v>
      </c>
      <c r="AT226" s="1118">
        <f t="shared" si="45"/>
        <v>0</v>
      </c>
      <c r="AU226" s="1186">
        <f>IF(예산실적비교표!AQ226&lt;&gt;"",예산실적비교표!AQ226,0)</f>
        <v>0</v>
      </c>
      <c r="AV226" s="1120">
        <f t="shared" si="46"/>
        <v>0</v>
      </c>
      <c r="AW226" s="1121">
        <f>IF(AR226="",0,ROUND((AT226*$AT$7)*데이터입력!$AF$14+(AT226*$AU$7)*데이터입력!$AF$14+(AT226*$AU$7*$AV$7)*데이터입력!$AF$14+(AT226*$AW$7)*데이터입력!$AF$14+(AT226*$AX$7)*데이터입력!$AF$14,-1))</f>
        <v>0</v>
      </c>
      <c r="AX226" s="1122">
        <f t="shared" si="47"/>
        <v>0</v>
      </c>
      <c r="AY226" s="1123">
        <f>IFERROR(IF(AR226+AS226=0,0,ROUND(IF(데이터입력!$AF$14=100%,ROUND(AR226*$AR$1,-3),ROUND(AR226*$AR$1,-3)-ROUND(((AR226*$AR$1)*$AT$4)*(데이터입력!$AF$14-100%)+((AR226*$AR$1)*$AU$4)*(데이터입력!$AF$14-100%)+((AR226*$AR$1)*$AU$4*$AV$4)*(데이터입력!$AF$14-100%)+((AR226*$AR$1)*$AW$4)*(데이터입력!$AF$14-100%),-1)),0)),0)</f>
        <v>0</v>
      </c>
      <c r="AZ226" s="1124">
        <f>IFERROR(IF(AR226+AS226=0,0,IF(데이터입력!$AF$12=100%,(AT226),(AT226)+ROUND(AT226*(데이터입력!$AF$12-100%),-1))),0)</f>
        <v>0</v>
      </c>
      <c r="BA226" s="1265" t="str">
        <f t="shared" si="48"/>
        <v/>
      </c>
      <c r="BB226" s="1264" t="str">
        <f>IF(BA226="","",IF(데이터입력!$O$68="",ROUND(AZ226/12,0),ROUND(데이터입력!$O$68/데이터입력!$Y$8/$BC$63,0)))</f>
        <v/>
      </c>
    </row>
    <row r="227" spans="42:54">
      <c r="AP227" s="1182" t="str">
        <f>IF(예산실적비교표!AL227&lt;&gt;"",예산실적비교표!AL227,"")</f>
        <v/>
      </c>
      <c r="AQ227" s="1183" t="str">
        <f>IF(예산실적비교표!AM227&lt;&gt;"",예산실적비교표!AM227,"")</f>
        <v/>
      </c>
      <c r="AR227" s="1184">
        <f>IF(예산실적비교표!AN227&lt;&gt;"",예산실적비교표!AN227,0)</f>
        <v>0</v>
      </c>
      <c r="AS227" s="1185">
        <f>IF(예산실적비교표!AO227&lt;&gt;"",예산실적비교표!AO227,0)</f>
        <v>0</v>
      </c>
      <c r="AT227" s="1118">
        <f t="shared" si="45"/>
        <v>0</v>
      </c>
      <c r="AU227" s="1186">
        <f>IF(예산실적비교표!AQ227&lt;&gt;"",예산실적비교표!AQ227,0)</f>
        <v>0</v>
      </c>
      <c r="AV227" s="1120">
        <f t="shared" si="46"/>
        <v>0</v>
      </c>
      <c r="AW227" s="1121">
        <f>IF(AR227="",0,ROUND((AT227*$AT$7)*데이터입력!$AF$14+(AT227*$AU$7)*데이터입력!$AF$14+(AT227*$AU$7*$AV$7)*데이터입력!$AF$14+(AT227*$AW$7)*데이터입력!$AF$14+(AT227*$AX$7)*데이터입력!$AF$14,-1))</f>
        <v>0</v>
      </c>
      <c r="AX227" s="1122">
        <f t="shared" si="47"/>
        <v>0</v>
      </c>
      <c r="AY227" s="1123">
        <f>IFERROR(IF(AR227+AS227=0,0,ROUND(IF(데이터입력!$AF$14=100%,ROUND(AR227*$AR$1,-3),ROUND(AR227*$AR$1,-3)-ROUND(((AR227*$AR$1)*$AT$4)*(데이터입력!$AF$14-100%)+((AR227*$AR$1)*$AU$4)*(데이터입력!$AF$14-100%)+((AR227*$AR$1)*$AU$4*$AV$4)*(데이터입력!$AF$14-100%)+((AR227*$AR$1)*$AW$4)*(데이터입력!$AF$14-100%),-1)),0)),0)</f>
        <v>0</v>
      </c>
      <c r="AZ227" s="1124">
        <f>IFERROR(IF(AR227+AS227=0,0,IF(데이터입력!$AF$12=100%,(AT227),(AT227)+ROUND(AT227*(데이터입력!$AF$12-100%),-1))),0)</f>
        <v>0</v>
      </c>
      <c r="BA227" s="1265" t="str">
        <f t="shared" si="48"/>
        <v/>
      </c>
      <c r="BB227" s="1264" t="str">
        <f>IF(BA227="","",IF(데이터입력!$O$68="",ROUND(AZ227/12,0),ROUND(데이터입력!$O$68/데이터입력!$Y$8/$BC$63,0)))</f>
        <v/>
      </c>
    </row>
    <row r="228" spans="42:54">
      <c r="AP228" s="1182" t="str">
        <f>IF(예산실적비교표!AL228&lt;&gt;"",예산실적비교표!AL228,"")</f>
        <v/>
      </c>
      <c r="AQ228" s="1183" t="str">
        <f>IF(예산실적비교표!AM228&lt;&gt;"",예산실적비교표!AM228,"")</f>
        <v/>
      </c>
      <c r="AR228" s="1184">
        <f>IF(예산실적비교표!AN228&lt;&gt;"",예산실적비교표!AN228,0)</f>
        <v>0</v>
      </c>
      <c r="AS228" s="1185">
        <f>IF(예산실적비교표!AO228&lt;&gt;"",예산실적비교표!AO228,0)</f>
        <v>0</v>
      </c>
      <c r="AT228" s="1118">
        <f t="shared" si="45"/>
        <v>0</v>
      </c>
      <c r="AU228" s="1186">
        <f>IF(예산실적비교표!AQ228&lt;&gt;"",예산실적비교표!AQ228,0)</f>
        <v>0</v>
      </c>
      <c r="AV228" s="1120">
        <f t="shared" si="46"/>
        <v>0</v>
      </c>
      <c r="AW228" s="1121">
        <f>IF(AR228="",0,ROUND((AT228*$AT$7)*데이터입력!$AF$14+(AT228*$AU$7)*데이터입력!$AF$14+(AT228*$AU$7*$AV$7)*데이터입력!$AF$14+(AT228*$AW$7)*데이터입력!$AF$14+(AT228*$AX$7)*데이터입력!$AF$14,-1))</f>
        <v>0</v>
      </c>
      <c r="AX228" s="1122">
        <f t="shared" si="47"/>
        <v>0</v>
      </c>
      <c r="AY228" s="1123">
        <f>IFERROR(IF(AR228+AS228=0,0,ROUND(IF(데이터입력!$AF$14=100%,ROUND(AR228*$AR$1,-3),ROUND(AR228*$AR$1,-3)-ROUND(((AR228*$AR$1)*$AT$4)*(데이터입력!$AF$14-100%)+((AR228*$AR$1)*$AU$4)*(데이터입력!$AF$14-100%)+((AR228*$AR$1)*$AU$4*$AV$4)*(데이터입력!$AF$14-100%)+((AR228*$AR$1)*$AW$4)*(데이터입력!$AF$14-100%),-1)),0)),0)</f>
        <v>0</v>
      </c>
      <c r="AZ228" s="1124">
        <f>IFERROR(IF(AR228+AS228=0,0,IF(데이터입력!$AF$12=100%,(AT228),(AT228)+ROUND(AT228*(데이터입력!$AF$12-100%),-1))),0)</f>
        <v>0</v>
      </c>
      <c r="BA228" s="1265" t="str">
        <f t="shared" si="48"/>
        <v/>
      </c>
      <c r="BB228" s="1264" t="str">
        <f>IF(BA228="","",IF(데이터입력!$O$68="",ROUND(AZ228/12,0),ROUND(데이터입력!$O$68/데이터입력!$Y$8/$BC$63,0)))</f>
        <v/>
      </c>
    </row>
    <row r="229" spans="42:54">
      <c r="AP229" s="1182" t="str">
        <f>IF(예산실적비교표!AL229&lt;&gt;"",예산실적비교표!AL229,"")</f>
        <v/>
      </c>
      <c r="AQ229" s="1183" t="str">
        <f>IF(예산실적비교표!AM229&lt;&gt;"",예산실적비교표!AM229,"")</f>
        <v/>
      </c>
      <c r="AR229" s="1184">
        <f>IF(예산실적비교표!AN229&lt;&gt;"",예산실적비교표!AN229,0)</f>
        <v>0</v>
      </c>
      <c r="AS229" s="1185">
        <f>IF(예산실적비교표!AO229&lt;&gt;"",예산실적비교표!AO229,0)</f>
        <v>0</v>
      </c>
      <c r="AT229" s="1118">
        <f t="shared" si="45"/>
        <v>0</v>
      </c>
      <c r="AU229" s="1186">
        <f>IF(예산실적비교표!AQ229&lt;&gt;"",예산실적비교표!AQ229,0)</f>
        <v>0</v>
      </c>
      <c r="AV229" s="1120">
        <f t="shared" si="46"/>
        <v>0</v>
      </c>
      <c r="AW229" s="1121">
        <f>IF(AR229="",0,ROUND((AT229*$AT$7)*데이터입력!$AF$14+(AT229*$AU$7)*데이터입력!$AF$14+(AT229*$AU$7*$AV$7)*데이터입력!$AF$14+(AT229*$AW$7)*데이터입력!$AF$14+(AT229*$AX$7)*데이터입력!$AF$14,-1))</f>
        <v>0</v>
      </c>
      <c r="AX229" s="1122">
        <f t="shared" si="47"/>
        <v>0</v>
      </c>
      <c r="AY229" s="1123">
        <f>IFERROR(IF(AR229+AS229=0,0,ROUND(IF(데이터입력!$AF$14=100%,ROUND(AR229*$AR$1,-3),ROUND(AR229*$AR$1,-3)-ROUND(((AR229*$AR$1)*$AT$4)*(데이터입력!$AF$14-100%)+((AR229*$AR$1)*$AU$4)*(데이터입력!$AF$14-100%)+((AR229*$AR$1)*$AU$4*$AV$4)*(데이터입력!$AF$14-100%)+((AR229*$AR$1)*$AW$4)*(데이터입력!$AF$14-100%),-1)),0)),0)</f>
        <v>0</v>
      </c>
      <c r="AZ229" s="1124">
        <f>IFERROR(IF(AR229+AS229=0,0,IF(데이터입력!$AF$12=100%,(AT229),(AT229)+ROUND(AT229*(데이터입력!$AF$12-100%),-1))),0)</f>
        <v>0</v>
      </c>
      <c r="BA229" s="1265" t="str">
        <f t="shared" si="48"/>
        <v/>
      </c>
      <c r="BB229" s="1264" t="str">
        <f>IF(BA229="","",IF(데이터입력!$O$68="",ROUND(AZ229/12,0),ROUND(데이터입력!$O$68/데이터입력!$Y$8/$BC$63,0)))</f>
        <v/>
      </c>
    </row>
    <row r="230" spans="42:54">
      <c r="AP230" s="1182" t="str">
        <f>IF(예산실적비교표!AL230&lt;&gt;"",예산실적비교표!AL230,"")</f>
        <v/>
      </c>
      <c r="AQ230" s="1183" t="str">
        <f>IF(예산실적비교표!AM230&lt;&gt;"",예산실적비교표!AM230,"")</f>
        <v/>
      </c>
      <c r="AR230" s="1184">
        <f>IF(예산실적비교표!AN230&lt;&gt;"",예산실적비교표!AN230,0)</f>
        <v>0</v>
      </c>
      <c r="AS230" s="1185">
        <f>IF(예산실적비교표!AO230&lt;&gt;"",예산실적비교표!AO230,0)</f>
        <v>0</v>
      </c>
      <c r="AT230" s="1118">
        <f t="shared" si="45"/>
        <v>0</v>
      </c>
      <c r="AU230" s="1186">
        <f>IF(예산실적비교표!AQ230&lt;&gt;"",예산실적비교표!AQ230,0)</f>
        <v>0</v>
      </c>
      <c r="AV230" s="1120">
        <f t="shared" si="46"/>
        <v>0</v>
      </c>
      <c r="AW230" s="1121">
        <f>IF(AR230="",0,ROUND((AT230*$AT$7)*데이터입력!$AF$14+(AT230*$AU$7)*데이터입력!$AF$14+(AT230*$AU$7*$AV$7)*데이터입력!$AF$14+(AT230*$AW$7)*데이터입력!$AF$14+(AT230*$AX$7)*데이터입력!$AF$14,-1))</f>
        <v>0</v>
      </c>
      <c r="AX230" s="1122">
        <f t="shared" si="47"/>
        <v>0</v>
      </c>
      <c r="AY230" s="1123">
        <f>IFERROR(IF(AR230+AS230=0,0,ROUND(IF(데이터입력!$AF$14=100%,ROUND(AR230*$AR$1,-3),ROUND(AR230*$AR$1,-3)-ROUND(((AR230*$AR$1)*$AT$4)*(데이터입력!$AF$14-100%)+((AR230*$AR$1)*$AU$4)*(데이터입력!$AF$14-100%)+((AR230*$AR$1)*$AU$4*$AV$4)*(데이터입력!$AF$14-100%)+((AR230*$AR$1)*$AW$4)*(데이터입력!$AF$14-100%),-1)),0)),0)</f>
        <v>0</v>
      </c>
      <c r="AZ230" s="1124">
        <f>IFERROR(IF(AR230+AS230=0,0,IF(데이터입력!$AF$12=100%,(AT230),(AT230)+ROUND(AT230*(데이터입력!$AF$12-100%),-1))),0)</f>
        <v>0</v>
      </c>
      <c r="BA230" s="1265" t="str">
        <f t="shared" si="48"/>
        <v/>
      </c>
      <c r="BB230" s="1264" t="str">
        <f>IF(BA230="","",IF(데이터입력!$O$68="",ROUND(AZ230/12,0),ROUND(데이터입력!$O$68/데이터입력!$Y$8/$BC$63,0)))</f>
        <v/>
      </c>
    </row>
    <row r="231" spans="42:54">
      <c r="AP231" s="1182" t="str">
        <f>IF(예산실적비교표!AL231&lt;&gt;"",예산실적비교표!AL231,"")</f>
        <v/>
      </c>
      <c r="AQ231" s="1183" t="str">
        <f>IF(예산실적비교표!AM231&lt;&gt;"",예산실적비교표!AM231,"")</f>
        <v/>
      </c>
      <c r="AR231" s="1184">
        <f>IF(예산실적비교표!AN231&lt;&gt;"",예산실적비교표!AN231,0)</f>
        <v>0</v>
      </c>
      <c r="AS231" s="1185">
        <f>IF(예산실적비교표!AO231&lt;&gt;"",예산실적비교표!AO231,0)</f>
        <v>0</v>
      </c>
      <c r="AT231" s="1118">
        <f t="shared" si="45"/>
        <v>0</v>
      </c>
      <c r="AU231" s="1186">
        <f>IF(예산실적비교표!AQ231&lt;&gt;"",예산실적비교표!AQ231,0)</f>
        <v>0</v>
      </c>
      <c r="AV231" s="1120">
        <f t="shared" si="46"/>
        <v>0</v>
      </c>
      <c r="AW231" s="1121">
        <f>IF(AR231="",0,ROUND((AT231*$AT$7)*데이터입력!$AF$14+(AT231*$AU$7)*데이터입력!$AF$14+(AT231*$AU$7*$AV$7)*데이터입력!$AF$14+(AT231*$AW$7)*데이터입력!$AF$14+(AT231*$AX$7)*데이터입력!$AF$14,-1))</f>
        <v>0</v>
      </c>
      <c r="AX231" s="1122">
        <f t="shared" si="47"/>
        <v>0</v>
      </c>
      <c r="AY231" s="1123">
        <f>IFERROR(IF(AR231+AS231=0,0,ROUND(IF(데이터입력!$AF$14=100%,ROUND(AR231*$AR$1,-3),ROUND(AR231*$AR$1,-3)-ROUND(((AR231*$AR$1)*$AT$4)*(데이터입력!$AF$14-100%)+((AR231*$AR$1)*$AU$4)*(데이터입력!$AF$14-100%)+((AR231*$AR$1)*$AU$4*$AV$4)*(데이터입력!$AF$14-100%)+((AR231*$AR$1)*$AW$4)*(데이터입력!$AF$14-100%),-1)),0)),0)</f>
        <v>0</v>
      </c>
      <c r="AZ231" s="1124">
        <f>IFERROR(IF(AR231+AS231=0,0,IF(데이터입력!$AF$12=100%,(AT231),(AT231)+ROUND(AT231*(데이터입력!$AF$12-100%),-1))),0)</f>
        <v>0</v>
      </c>
      <c r="BA231" s="1265" t="str">
        <f t="shared" si="48"/>
        <v/>
      </c>
      <c r="BB231" s="1264" t="str">
        <f>IF(BA231="","",IF(데이터입력!$O$68="",ROUND(AZ231/12,0),ROUND(데이터입력!$O$68/데이터입력!$Y$8/$BC$63,0)))</f>
        <v/>
      </c>
    </row>
    <row r="232" spans="42:54">
      <c r="AP232" s="1182" t="str">
        <f>IF(예산실적비교표!AL232&lt;&gt;"",예산실적비교표!AL232,"")</f>
        <v/>
      </c>
      <c r="AQ232" s="1183" t="str">
        <f>IF(예산실적비교표!AM232&lt;&gt;"",예산실적비교표!AM232,"")</f>
        <v/>
      </c>
      <c r="AR232" s="1184">
        <f>IF(예산실적비교표!AN232&lt;&gt;"",예산실적비교표!AN232,0)</f>
        <v>0</v>
      </c>
      <c r="AS232" s="1185">
        <f>IF(예산실적비교표!AO232&lt;&gt;"",예산실적비교표!AO232,0)</f>
        <v>0</v>
      </c>
      <c r="AT232" s="1118">
        <f t="shared" si="45"/>
        <v>0</v>
      </c>
      <c r="AU232" s="1186">
        <f>IF(예산실적비교표!AQ232&lt;&gt;"",예산실적비교표!AQ232,0)</f>
        <v>0</v>
      </c>
      <c r="AV232" s="1120">
        <f t="shared" si="46"/>
        <v>0</v>
      </c>
      <c r="AW232" s="1121">
        <f>IF(AR232="",0,ROUND((AT232*$AT$7)*데이터입력!$AF$14+(AT232*$AU$7)*데이터입력!$AF$14+(AT232*$AU$7*$AV$7)*데이터입력!$AF$14+(AT232*$AW$7)*데이터입력!$AF$14+(AT232*$AX$7)*데이터입력!$AF$14,-1))</f>
        <v>0</v>
      </c>
      <c r="AX232" s="1122">
        <f t="shared" si="47"/>
        <v>0</v>
      </c>
      <c r="AY232" s="1123">
        <f>IFERROR(IF(AR232+AS232=0,0,ROUND(IF(데이터입력!$AF$14=100%,ROUND(AR232*$AR$1,-3),ROUND(AR232*$AR$1,-3)-ROUND(((AR232*$AR$1)*$AT$4)*(데이터입력!$AF$14-100%)+((AR232*$AR$1)*$AU$4)*(데이터입력!$AF$14-100%)+((AR232*$AR$1)*$AU$4*$AV$4)*(데이터입력!$AF$14-100%)+((AR232*$AR$1)*$AW$4)*(데이터입력!$AF$14-100%),-1)),0)),0)</f>
        <v>0</v>
      </c>
      <c r="AZ232" s="1124">
        <f>IFERROR(IF(AR232+AS232=0,0,IF(데이터입력!$AF$12=100%,(AT232),(AT232)+ROUND(AT232*(데이터입력!$AF$12-100%),-1))),0)</f>
        <v>0</v>
      </c>
      <c r="BA232" s="1265" t="str">
        <f t="shared" si="48"/>
        <v/>
      </c>
      <c r="BB232" s="1264" t="str">
        <f>IF(BA232="","",IF(데이터입력!$O$68="",ROUND(AZ232/12,0),ROUND(데이터입력!$O$68/데이터입력!$Y$8/$BC$63,0)))</f>
        <v/>
      </c>
    </row>
    <row r="233" spans="42:54">
      <c r="AP233" s="1182" t="str">
        <f>IF(예산실적비교표!AL233&lt;&gt;"",예산실적비교표!AL233,"")</f>
        <v/>
      </c>
      <c r="AQ233" s="1183" t="str">
        <f>IF(예산실적비교표!AM233&lt;&gt;"",예산실적비교표!AM233,"")</f>
        <v/>
      </c>
      <c r="AR233" s="1184">
        <f>IF(예산실적비교표!AN233&lt;&gt;"",예산실적비교표!AN233,0)</f>
        <v>0</v>
      </c>
      <c r="AS233" s="1185">
        <f>IF(예산실적비교표!AO233&lt;&gt;"",예산실적비교표!AO233,0)</f>
        <v>0</v>
      </c>
      <c r="AT233" s="1118">
        <f t="shared" si="45"/>
        <v>0</v>
      </c>
      <c r="AU233" s="1186">
        <f>IF(예산실적비교표!AQ233&lt;&gt;"",예산실적비교표!AQ233,0)</f>
        <v>0</v>
      </c>
      <c r="AV233" s="1120">
        <f t="shared" si="46"/>
        <v>0</v>
      </c>
      <c r="AW233" s="1121">
        <f>IF(AR233="",0,ROUND((AT233*$AT$7)*데이터입력!$AF$14+(AT233*$AU$7)*데이터입력!$AF$14+(AT233*$AU$7*$AV$7)*데이터입력!$AF$14+(AT233*$AW$7)*데이터입력!$AF$14+(AT233*$AX$7)*데이터입력!$AF$14,-1))</f>
        <v>0</v>
      </c>
      <c r="AX233" s="1122">
        <f t="shared" si="47"/>
        <v>0</v>
      </c>
      <c r="AY233" s="1123">
        <f>IFERROR(IF(AR233+AS233=0,0,ROUND(IF(데이터입력!$AF$14=100%,ROUND(AR233*$AR$1,-3),ROUND(AR233*$AR$1,-3)-ROUND(((AR233*$AR$1)*$AT$4)*(데이터입력!$AF$14-100%)+((AR233*$AR$1)*$AU$4)*(데이터입력!$AF$14-100%)+((AR233*$AR$1)*$AU$4*$AV$4)*(데이터입력!$AF$14-100%)+((AR233*$AR$1)*$AW$4)*(데이터입력!$AF$14-100%),-1)),0)),0)</f>
        <v>0</v>
      </c>
      <c r="AZ233" s="1124">
        <f>IFERROR(IF(AR233+AS233=0,0,IF(데이터입력!$AF$12=100%,(AT233),(AT233)+ROUND(AT233*(데이터입력!$AF$12-100%),-1))),0)</f>
        <v>0</v>
      </c>
      <c r="BA233" s="1265" t="str">
        <f t="shared" si="48"/>
        <v/>
      </c>
      <c r="BB233" s="1264" t="str">
        <f>IF(BA233="","",IF(데이터입력!$O$68="",ROUND(AZ233/12,0),ROUND(데이터입력!$O$68/데이터입력!$Y$8/$BC$63,0)))</f>
        <v/>
      </c>
    </row>
    <row r="234" spans="42:54">
      <c r="AP234" s="1182" t="str">
        <f>IF(예산실적비교표!AL234&lt;&gt;"",예산실적비교표!AL234,"")</f>
        <v/>
      </c>
      <c r="AQ234" s="1183" t="str">
        <f>IF(예산실적비교표!AM234&lt;&gt;"",예산실적비교표!AM234,"")</f>
        <v/>
      </c>
      <c r="AR234" s="1184">
        <f>IF(예산실적비교표!AN234&lt;&gt;"",예산실적비교표!AN234,0)</f>
        <v>0</v>
      </c>
      <c r="AS234" s="1185">
        <f>IF(예산실적비교표!AO234&lt;&gt;"",예산실적비교표!AO234,0)</f>
        <v>0</v>
      </c>
      <c r="AT234" s="1118">
        <f t="shared" si="45"/>
        <v>0</v>
      </c>
      <c r="AU234" s="1186">
        <f>IF(예산실적비교표!AQ234&lt;&gt;"",예산실적비교표!AQ234,0)</f>
        <v>0</v>
      </c>
      <c r="AV234" s="1120">
        <f t="shared" si="46"/>
        <v>0</v>
      </c>
      <c r="AW234" s="1121">
        <f>IF(AR234="",0,ROUND((AT234*$AT$7)*데이터입력!$AF$14+(AT234*$AU$7)*데이터입력!$AF$14+(AT234*$AU$7*$AV$7)*데이터입력!$AF$14+(AT234*$AW$7)*데이터입력!$AF$14+(AT234*$AX$7)*데이터입력!$AF$14,-1))</f>
        <v>0</v>
      </c>
      <c r="AX234" s="1122">
        <f t="shared" si="47"/>
        <v>0</v>
      </c>
      <c r="AY234" s="1123">
        <f>IFERROR(IF(AR234+AS234=0,0,ROUND(IF(데이터입력!$AF$14=100%,ROUND(AR234*$AR$1,-3),ROUND(AR234*$AR$1,-3)-ROUND(((AR234*$AR$1)*$AT$4)*(데이터입력!$AF$14-100%)+((AR234*$AR$1)*$AU$4)*(데이터입력!$AF$14-100%)+((AR234*$AR$1)*$AU$4*$AV$4)*(데이터입력!$AF$14-100%)+((AR234*$AR$1)*$AW$4)*(데이터입력!$AF$14-100%),-1)),0)),0)</f>
        <v>0</v>
      </c>
      <c r="AZ234" s="1124">
        <f>IFERROR(IF(AR234+AS234=0,0,IF(데이터입력!$AF$12=100%,(AT234),(AT234)+ROUND(AT234*(데이터입력!$AF$12-100%),-1))),0)</f>
        <v>0</v>
      </c>
      <c r="BA234" s="1265" t="str">
        <f t="shared" si="48"/>
        <v/>
      </c>
      <c r="BB234" s="1264" t="str">
        <f>IF(BA234="","",IF(데이터입력!$O$68="",ROUND(AZ234/12,0),ROUND(데이터입력!$O$68/데이터입력!$Y$8/$BC$63,0)))</f>
        <v/>
      </c>
    </row>
    <row r="235" spans="42:54">
      <c r="AP235" s="1182" t="str">
        <f>IF(예산실적비교표!AL235&lt;&gt;"",예산실적비교표!AL235,"")</f>
        <v/>
      </c>
      <c r="AQ235" s="1183" t="str">
        <f>IF(예산실적비교표!AM235&lt;&gt;"",예산실적비교표!AM235,"")</f>
        <v/>
      </c>
      <c r="AR235" s="1184">
        <f>IF(예산실적비교표!AN235&lt;&gt;"",예산실적비교표!AN235,0)</f>
        <v>0</v>
      </c>
      <c r="AS235" s="1185">
        <f>IF(예산실적비교표!AO235&lt;&gt;"",예산실적비교표!AO235,0)</f>
        <v>0</v>
      </c>
      <c r="AT235" s="1118">
        <f t="shared" si="45"/>
        <v>0</v>
      </c>
      <c r="AU235" s="1186">
        <f>IF(예산실적비교표!AQ235&lt;&gt;"",예산실적비교표!AQ235,0)</f>
        <v>0</v>
      </c>
      <c r="AV235" s="1120">
        <f t="shared" si="46"/>
        <v>0</v>
      </c>
      <c r="AW235" s="1121">
        <f>IF(AR235="",0,ROUND((AT235*$AT$7)*데이터입력!$AF$14+(AT235*$AU$7)*데이터입력!$AF$14+(AT235*$AU$7*$AV$7)*데이터입력!$AF$14+(AT235*$AW$7)*데이터입력!$AF$14+(AT235*$AX$7)*데이터입력!$AF$14,-1))</f>
        <v>0</v>
      </c>
      <c r="AX235" s="1122">
        <f t="shared" si="47"/>
        <v>0</v>
      </c>
      <c r="AY235" s="1123">
        <f>IFERROR(IF(AR235+AS235=0,0,ROUND(IF(데이터입력!$AF$14=100%,ROUND(AR235*$AR$1,-3),ROUND(AR235*$AR$1,-3)-ROUND(((AR235*$AR$1)*$AT$4)*(데이터입력!$AF$14-100%)+((AR235*$AR$1)*$AU$4)*(데이터입력!$AF$14-100%)+((AR235*$AR$1)*$AU$4*$AV$4)*(데이터입력!$AF$14-100%)+((AR235*$AR$1)*$AW$4)*(데이터입력!$AF$14-100%),-1)),0)),0)</f>
        <v>0</v>
      </c>
      <c r="AZ235" s="1124">
        <f>IFERROR(IF(AR235+AS235=0,0,IF(데이터입력!$AF$12=100%,(AT235),(AT235)+ROUND(AT235*(데이터입력!$AF$12-100%),-1))),0)</f>
        <v>0</v>
      </c>
      <c r="BA235" s="1265" t="str">
        <f t="shared" si="48"/>
        <v/>
      </c>
      <c r="BB235" s="1264" t="str">
        <f>IF(BA235="","",IF(데이터입력!$O$68="",ROUND(AZ235/12,0),ROUND(데이터입력!$O$68/데이터입력!$Y$8/$BC$63,0)))</f>
        <v/>
      </c>
    </row>
    <row r="236" spans="42:54">
      <c r="AP236" s="1182" t="str">
        <f>IF(예산실적비교표!AL236&lt;&gt;"",예산실적비교표!AL236,"")</f>
        <v/>
      </c>
      <c r="AQ236" s="1183" t="str">
        <f>IF(예산실적비교표!AM236&lt;&gt;"",예산실적비교표!AM236,"")</f>
        <v/>
      </c>
      <c r="AR236" s="1184">
        <f>IF(예산실적비교표!AN236&lt;&gt;"",예산실적비교표!AN236,0)</f>
        <v>0</v>
      </c>
      <c r="AS236" s="1185">
        <f>IF(예산실적비교표!AO236&lt;&gt;"",예산실적비교표!AO236,0)</f>
        <v>0</v>
      </c>
      <c r="AT236" s="1118">
        <f t="shared" si="45"/>
        <v>0</v>
      </c>
      <c r="AU236" s="1186">
        <f>IF(예산실적비교표!AQ236&lt;&gt;"",예산실적비교표!AQ236,0)</f>
        <v>0</v>
      </c>
      <c r="AV236" s="1120">
        <f t="shared" si="46"/>
        <v>0</v>
      </c>
      <c r="AW236" s="1121">
        <f>IF(AR236="",0,ROUND((AT236*$AT$7)*데이터입력!$AF$14+(AT236*$AU$7)*데이터입력!$AF$14+(AT236*$AU$7*$AV$7)*데이터입력!$AF$14+(AT236*$AW$7)*데이터입력!$AF$14+(AT236*$AX$7)*데이터입력!$AF$14,-1))</f>
        <v>0</v>
      </c>
      <c r="AX236" s="1122">
        <f t="shared" si="47"/>
        <v>0</v>
      </c>
      <c r="AY236" s="1123">
        <f>IFERROR(IF(AR236+AS236=0,0,ROUND(IF(데이터입력!$AF$14=100%,ROUND(AR236*$AR$1,-3),ROUND(AR236*$AR$1,-3)-ROUND(((AR236*$AR$1)*$AT$4)*(데이터입력!$AF$14-100%)+((AR236*$AR$1)*$AU$4)*(데이터입력!$AF$14-100%)+((AR236*$AR$1)*$AU$4*$AV$4)*(데이터입력!$AF$14-100%)+((AR236*$AR$1)*$AW$4)*(데이터입력!$AF$14-100%),-1)),0)),0)</f>
        <v>0</v>
      </c>
      <c r="AZ236" s="1124">
        <f>IFERROR(IF(AR236+AS236=0,0,IF(데이터입력!$AF$12=100%,(AT236),(AT236)+ROUND(AT236*(데이터입력!$AF$12-100%),-1))),0)</f>
        <v>0</v>
      </c>
      <c r="BA236" s="1265" t="str">
        <f t="shared" si="48"/>
        <v/>
      </c>
      <c r="BB236" s="1264" t="str">
        <f>IF(BA236="","",IF(데이터입력!$O$68="",ROUND(AZ236/12,0),ROUND(데이터입력!$O$68/데이터입력!$Y$8/$BC$63,0)))</f>
        <v/>
      </c>
    </row>
    <row r="237" spans="42:54">
      <c r="AP237" s="1182" t="str">
        <f>IF(예산실적비교표!AL237&lt;&gt;"",예산실적비교표!AL237,"")</f>
        <v/>
      </c>
      <c r="AQ237" s="1183" t="str">
        <f>IF(예산실적비교표!AM237&lt;&gt;"",예산실적비교표!AM237,"")</f>
        <v/>
      </c>
      <c r="AR237" s="1184">
        <f>IF(예산실적비교표!AN237&lt;&gt;"",예산실적비교표!AN237,0)</f>
        <v>0</v>
      </c>
      <c r="AS237" s="1185">
        <f>IF(예산실적비교표!AO237&lt;&gt;"",예산실적비교표!AO237,0)</f>
        <v>0</v>
      </c>
      <c r="AT237" s="1118">
        <f t="shared" si="45"/>
        <v>0</v>
      </c>
      <c r="AU237" s="1186">
        <f>IF(예산실적비교표!AQ237&lt;&gt;"",예산실적비교표!AQ237,0)</f>
        <v>0</v>
      </c>
      <c r="AV237" s="1120">
        <f t="shared" si="46"/>
        <v>0</v>
      </c>
      <c r="AW237" s="1121">
        <f>IF(AR237="",0,ROUND((AT237*$AT$7)*데이터입력!$AF$14+(AT237*$AU$7)*데이터입력!$AF$14+(AT237*$AU$7*$AV$7)*데이터입력!$AF$14+(AT237*$AW$7)*데이터입력!$AF$14+(AT237*$AX$7)*데이터입력!$AF$14,-1))</f>
        <v>0</v>
      </c>
      <c r="AX237" s="1122">
        <f t="shared" si="47"/>
        <v>0</v>
      </c>
      <c r="AY237" s="1123">
        <f>IFERROR(IF(AR237+AS237=0,0,ROUND(IF(데이터입력!$AF$14=100%,ROUND(AR237*$AR$1,-3),ROUND(AR237*$AR$1,-3)-ROUND(((AR237*$AR$1)*$AT$4)*(데이터입력!$AF$14-100%)+((AR237*$AR$1)*$AU$4)*(데이터입력!$AF$14-100%)+((AR237*$AR$1)*$AU$4*$AV$4)*(데이터입력!$AF$14-100%)+((AR237*$AR$1)*$AW$4)*(데이터입력!$AF$14-100%),-1)),0)),0)</f>
        <v>0</v>
      </c>
      <c r="AZ237" s="1124">
        <f>IFERROR(IF(AR237+AS237=0,0,IF(데이터입력!$AF$12=100%,(AT237),(AT237)+ROUND(AT237*(데이터입력!$AF$12-100%),-1))),0)</f>
        <v>0</v>
      </c>
      <c r="BA237" s="1265" t="str">
        <f t="shared" si="48"/>
        <v/>
      </c>
      <c r="BB237" s="1264" t="str">
        <f>IF(BA237="","",IF(데이터입력!$O$68="",ROUND(AZ237/12,0),ROUND(데이터입력!$O$68/데이터입력!$Y$8/$BC$63,0)))</f>
        <v/>
      </c>
    </row>
    <row r="238" spans="42:54">
      <c r="AP238" s="1182" t="str">
        <f>IF(예산실적비교표!AL238&lt;&gt;"",예산실적비교표!AL238,"")</f>
        <v/>
      </c>
      <c r="AQ238" s="1183" t="str">
        <f>IF(예산실적비교표!AM238&lt;&gt;"",예산실적비교표!AM238,"")</f>
        <v/>
      </c>
      <c r="AR238" s="1184">
        <f>IF(예산실적비교표!AN238&lt;&gt;"",예산실적비교표!AN238,0)</f>
        <v>0</v>
      </c>
      <c r="AS238" s="1185">
        <f>IF(예산실적비교표!AO238&lt;&gt;"",예산실적비교표!AO238,0)</f>
        <v>0</v>
      </c>
      <c r="AT238" s="1118">
        <f t="shared" si="45"/>
        <v>0</v>
      </c>
      <c r="AU238" s="1186">
        <f>IF(예산실적비교표!AQ238&lt;&gt;"",예산실적비교표!AQ238,0)</f>
        <v>0</v>
      </c>
      <c r="AV238" s="1120">
        <f t="shared" si="46"/>
        <v>0</v>
      </c>
      <c r="AW238" s="1121">
        <f>IF(AR238="",0,ROUND((AT238*$AT$7)*데이터입력!$AF$14+(AT238*$AU$7)*데이터입력!$AF$14+(AT238*$AU$7*$AV$7)*데이터입력!$AF$14+(AT238*$AW$7)*데이터입력!$AF$14+(AT238*$AX$7)*데이터입력!$AF$14,-1))</f>
        <v>0</v>
      </c>
      <c r="AX238" s="1122">
        <f t="shared" si="47"/>
        <v>0</v>
      </c>
      <c r="AY238" s="1123">
        <f>IFERROR(IF(AR238+AS238=0,0,ROUND(IF(데이터입력!$AF$14=100%,ROUND(AR238*$AR$1,-3),ROUND(AR238*$AR$1,-3)-ROUND(((AR238*$AR$1)*$AT$4)*(데이터입력!$AF$14-100%)+((AR238*$AR$1)*$AU$4)*(데이터입력!$AF$14-100%)+((AR238*$AR$1)*$AU$4*$AV$4)*(데이터입력!$AF$14-100%)+((AR238*$AR$1)*$AW$4)*(데이터입력!$AF$14-100%),-1)),0)),0)</f>
        <v>0</v>
      </c>
      <c r="AZ238" s="1124">
        <f>IFERROR(IF(AR238+AS238=0,0,IF(데이터입력!$AF$12=100%,(AT238),(AT238)+ROUND(AT238*(데이터입력!$AF$12-100%),-1))),0)</f>
        <v>0</v>
      </c>
      <c r="BA238" s="1265" t="str">
        <f t="shared" si="48"/>
        <v/>
      </c>
      <c r="BB238" s="1264" t="str">
        <f>IF(BA238="","",IF(데이터입력!$O$68="",ROUND(AZ238/12,0),ROUND(데이터입력!$O$68/데이터입력!$Y$8/$BC$63,0)))</f>
        <v/>
      </c>
    </row>
    <row r="239" spans="42:54">
      <c r="AP239" s="1182" t="str">
        <f>IF(예산실적비교표!AL239&lt;&gt;"",예산실적비교표!AL239,"")</f>
        <v/>
      </c>
      <c r="AQ239" s="1183" t="str">
        <f>IF(예산실적비교표!AM239&lt;&gt;"",예산실적비교표!AM239,"")</f>
        <v/>
      </c>
      <c r="AR239" s="1184">
        <f>IF(예산실적비교표!AN239&lt;&gt;"",예산실적비교표!AN239,0)</f>
        <v>0</v>
      </c>
      <c r="AS239" s="1185">
        <f>IF(예산실적비교표!AO239&lt;&gt;"",예산실적비교표!AO239,0)</f>
        <v>0</v>
      </c>
      <c r="AT239" s="1118">
        <f t="shared" si="45"/>
        <v>0</v>
      </c>
      <c r="AU239" s="1186">
        <f>IF(예산실적비교표!AQ239&lt;&gt;"",예산실적비교표!AQ239,0)</f>
        <v>0</v>
      </c>
      <c r="AV239" s="1120">
        <f t="shared" si="46"/>
        <v>0</v>
      </c>
      <c r="AW239" s="1121">
        <f>IF(AR239="",0,ROUND((AT239*$AT$7)*데이터입력!$AF$14+(AT239*$AU$7)*데이터입력!$AF$14+(AT239*$AU$7*$AV$7)*데이터입력!$AF$14+(AT239*$AW$7)*데이터입력!$AF$14+(AT239*$AX$7)*데이터입력!$AF$14,-1))</f>
        <v>0</v>
      </c>
      <c r="AX239" s="1122">
        <f t="shared" si="47"/>
        <v>0</v>
      </c>
      <c r="AY239" s="1123">
        <f>IFERROR(IF(AR239+AS239=0,0,ROUND(IF(데이터입력!$AF$14=100%,ROUND(AR239*$AR$1,-3),ROUND(AR239*$AR$1,-3)-ROUND(((AR239*$AR$1)*$AT$4)*(데이터입력!$AF$14-100%)+((AR239*$AR$1)*$AU$4)*(데이터입력!$AF$14-100%)+((AR239*$AR$1)*$AU$4*$AV$4)*(데이터입력!$AF$14-100%)+((AR239*$AR$1)*$AW$4)*(데이터입력!$AF$14-100%),-1)),0)),0)</f>
        <v>0</v>
      </c>
      <c r="AZ239" s="1124">
        <f>IFERROR(IF(AR239+AS239=0,0,IF(데이터입력!$AF$12=100%,(AT239),(AT239)+ROUND(AT239*(데이터입력!$AF$12-100%),-1))),0)</f>
        <v>0</v>
      </c>
      <c r="BA239" s="1265" t="str">
        <f t="shared" si="48"/>
        <v/>
      </c>
      <c r="BB239" s="1264" t="str">
        <f>IF(BA239="","",IF(데이터입력!$O$68="",ROUND(AZ239/12,0),ROUND(데이터입력!$O$68/데이터입력!$Y$8/$BC$63,0)))</f>
        <v/>
      </c>
    </row>
    <row r="240" spans="42:54">
      <c r="AP240" s="1182" t="str">
        <f>IF(예산실적비교표!AL240&lt;&gt;"",예산실적비교표!AL240,"")</f>
        <v/>
      </c>
      <c r="AQ240" s="1183" t="str">
        <f>IF(예산실적비교표!AM240&lt;&gt;"",예산실적비교표!AM240,"")</f>
        <v/>
      </c>
      <c r="AR240" s="1184">
        <f>IF(예산실적비교표!AN240&lt;&gt;"",예산실적비교표!AN240,0)</f>
        <v>0</v>
      </c>
      <c r="AS240" s="1185">
        <f>IF(예산실적비교표!AO240&lt;&gt;"",예산실적비교표!AO240,0)</f>
        <v>0</v>
      </c>
      <c r="AT240" s="1118">
        <f t="shared" si="45"/>
        <v>0</v>
      </c>
      <c r="AU240" s="1186">
        <f>IF(예산실적비교표!AQ240&lt;&gt;"",예산실적비교표!AQ240,0)</f>
        <v>0</v>
      </c>
      <c r="AV240" s="1120">
        <f t="shared" si="46"/>
        <v>0</v>
      </c>
      <c r="AW240" s="1121">
        <f>IF(AR240="",0,ROUND((AT240*$AT$7)*데이터입력!$AF$14+(AT240*$AU$7)*데이터입력!$AF$14+(AT240*$AU$7*$AV$7)*데이터입력!$AF$14+(AT240*$AW$7)*데이터입력!$AF$14+(AT240*$AX$7)*데이터입력!$AF$14,-1))</f>
        <v>0</v>
      </c>
      <c r="AX240" s="1122">
        <f t="shared" si="47"/>
        <v>0</v>
      </c>
      <c r="AY240" s="1123">
        <f>IFERROR(IF(AR240+AS240=0,0,ROUND(IF(데이터입력!$AF$14=100%,ROUND(AR240*$AR$1,-3),ROUND(AR240*$AR$1,-3)-ROUND(((AR240*$AR$1)*$AT$4)*(데이터입력!$AF$14-100%)+((AR240*$AR$1)*$AU$4)*(데이터입력!$AF$14-100%)+((AR240*$AR$1)*$AU$4*$AV$4)*(데이터입력!$AF$14-100%)+((AR240*$AR$1)*$AW$4)*(데이터입력!$AF$14-100%),-1)),0)),0)</f>
        <v>0</v>
      </c>
      <c r="AZ240" s="1124">
        <f>IFERROR(IF(AR240+AS240=0,0,IF(데이터입력!$AF$12=100%,(AT240),(AT240)+ROUND(AT240*(데이터입력!$AF$12-100%),-1))),0)</f>
        <v>0</v>
      </c>
      <c r="BA240" s="1265" t="str">
        <f t="shared" si="48"/>
        <v/>
      </c>
      <c r="BB240" s="1264" t="str">
        <f>IF(BA240="","",IF(데이터입력!$O$68="",ROUND(AZ240/12,0),ROUND(데이터입력!$O$68/데이터입력!$Y$8/$BC$63,0)))</f>
        <v/>
      </c>
    </row>
    <row r="241" spans="42:54">
      <c r="AP241" s="1182" t="str">
        <f>IF(예산실적비교표!AL241&lt;&gt;"",예산실적비교표!AL241,"")</f>
        <v/>
      </c>
      <c r="AQ241" s="1183" t="str">
        <f>IF(예산실적비교표!AM241&lt;&gt;"",예산실적비교표!AM241,"")</f>
        <v/>
      </c>
      <c r="AR241" s="1184">
        <f>IF(예산실적비교표!AN241&lt;&gt;"",예산실적비교표!AN241,0)</f>
        <v>0</v>
      </c>
      <c r="AS241" s="1185">
        <f>IF(예산실적비교표!AO241&lt;&gt;"",예산실적비교표!AO241,0)</f>
        <v>0</v>
      </c>
      <c r="AT241" s="1118">
        <f t="shared" si="45"/>
        <v>0</v>
      </c>
      <c r="AU241" s="1186">
        <f>IF(예산실적비교표!AQ241&lt;&gt;"",예산실적비교표!AQ241,0)</f>
        <v>0</v>
      </c>
      <c r="AV241" s="1120">
        <f t="shared" si="46"/>
        <v>0</v>
      </c>
      <c r="AW241" s="1121">
        <f>IF(AR241="",0,ROUND((AT241*$AT$7)*데이터입력!$AF$14+(AT241*$AU$7)*데이터입력!$AF$14+(AT241*$AU$7*$AV$7)*데이터입력!$AF$14+(AT241*$AW$7)*데이터입력!$AF$14+(AT241*$AX$7)*데이터입력!$AF$14,-1))</f>
        <v>0</v>
      </c>
      <c r="AX241" s="1122">
        <f t="shared" si="47"/>
        <v>0</v>
      </c>
      <c r="AY241" s="1123">
        <f>IFERROR(IF(AR241+AS241=0,0,ROUND(IF(데이터입력!$AF$14=100%,ROUND(AR241*$AR$1,-3),ROUND(AR241*$AR$1,-3)-ROUND(((AR241*$AR$1)*$AT$4)*(데이터입력!$AF$14-100%)+((AR241*$AR$1)*$AU$4)*(데이터입력!$AF$14-100%)+((AR241*$AR$1)*$AU$4*$AV$4)*(데이터입력!$AF$14-100%)+((AR241*$AR$1)*$AW$4)*(데이터입력!$AF$14-100%),-1)),0)),0)</f>
        <v>0</v>
      </c>
      <c r="AZ241" s="1124">
        <f>IFERROR(IF(AR241+AS241=0,0,IF(데이터입력!$AF$12=100%,(AT241),(AT241)+ROUND(AT241*(데이터입력!$AF$12-100%),-1))),0)</f>
        <v>0</v>
      </c>
      <c r="BA241" s="1265" t="str">
        <f t="shared" si="48"/>
        <v/>
      </c>
      <c r="BB241" s="1264" t="str">
        <f>IF(BA241="","",IF(데이터입력!$O$68="",ROUND(AZ241/12,0),ROUND(데이터입력!$O$68/데이터입력!$Y$8/$BC$63,0)))</f>
        <v/>
      </c>
    </row>
    <row r="242" spans="42:54">
      <c r="AP242" s="1182" t="str">
        <f>IF(예산실적비교표!AL242&lt;&gt;"",예산실적비교표!AL242,"")</f>
        <v/>
      </c>
      <c r="AQ242" s="1183" t="str">
        <f>IF(예산실적비교표!AM242&lt;&gt;"",예산실적비교표!AM242,"")</f>
        <v/>
      </c>
      <c r="AR242" s="1184">
        <f>IF(예산실적비교표!AN242&lt;&gt;"",예산실적비교표!AN242,0)</f>
        <v>0</v>
      </c>
      <c r="AS242" s="1185">
        <f>IF(예산실적비교표!AO242&lt;&gt;"",예산실적비교표!AO242,0)</f>
        <v>0</v>
      </c>
      <c r="AT242" s="1118">
        <f t="shared" si="45"/>
        <v>0</v>
      </c>
      <c r="AU242" s="1186">
        <f>IF(예산실적비교표!AQ242&lt;&gt;"",예산실적비교표!AQ242,0)</f>
        <v>0</v>
      </c>
      <c r="AV242" s="1120">
        <f t="shared" si="46"/>
        <v>0</v>
      </c>
      <c r="AW242" s="1121">
        <f>IF(AR242="",0,ROUND((AT242*$AT$7)*데이터입력!$AF$14+(AT242*$AU$7)*데이터입력!$AF$14+(AT242*$AU$7*$AV$7)*데이터입력!$AF$14+(AT242*$AW$7)*데이터입력!$AF$14+(AT242*$AX$7)*데이터입력!$AF$14,-1))</f>
        <v>0</v>
      </c>
      <c r="AX242" s="1122">
        <f t="shared" si="47"/>
        <v>0</v>
      </c>
      <c r="AY242" s="1123">
        <f>IFERROR(IF(AR242+AS242=0,0,ROUND(IF(데이터입력!$AF$14=100%,ROUND(AR242*$AR$1,-3),ROUND(AR242*$AR$1,-3)-ROUND(((AR242*$AR$1)*$AT$4)*(데이터입력!$AF$14-100%)+((AR242*$AR$1)*$AU$4)*(데이터입력!$AF$14-100%)+((AR242*$AR$1)*$AU$4*$AV$4)*(데이터입력!$AF$14-100%)+((AR242*$AR$1)*$AW$4)*(데이터입력!$AF$14-100%),-1)),0)),0)</f>
        <v>0</v>
      </c>
      <c r="AZ242" s="1124">
        <f>IFERROR(IF(AR242+AS242=0,0,IF(데이터입력!$AF$12=100%,(AT242),(AT242)+ROUND(AT242*(데이터입력!$AF$12-100%),-1))),0)</f>
        <v>0</v>
      </c>
      <c r="BA242" s="1265" t="str">
        <f t="shared" si="48"/>
        <v/>
      </c>
      <c r="BB242" s="1264" t="str">
        <f>IF(BA242="","",IF(데이터입력!$O$68="",ROUND(AZ242/12,0),ROUND(데이터입력!$O$68/데이터입력!$Y$8/$BC$63,0)))</f>
        <v/>
      </c>
    </row>
    <row r="243" spans="42:54">
      <c r="AP243" s="1182" t="str">
        <f>IF(예산실적비교표!AL243&lt;&gt;"",예산실적비교표!AL243,"")</f>
        <v/>
      </c>
      <c r="AQ243" s="1183" t="str">
        <f>IF(예산실적비교표!AM243&lt;&gt;"",예산실적비교표!AM243,"")</f>
        <v/>
      </c>
      <c r="AR243" s="1184">
        <f>IF(예산실적비교표!AN243&lt;&gt;"",예산실적비교표!AN243,0)</f>
        <v>0</v>
      </c>
      <c r="AS243" s="1185">
        <f>IF(예산실적비교표!AO243&lt;&gt;"",예산실적비교표!AO243,0)</f>
        <v>0</v>
      </c>
      <c r="AT243" s="1118">
        <f t="shared" si="45"/>
        <v>0</v>
      </c>
      <c r="AU243" s="1186">
        <f>IF(예산실적비교표!AQ243&lt;&gt;"",예산실적비교표!AQ243,0)</f>
        <v>0</v>
      </c>
      <c r="AV243" s="1120">
        <f t="shared" si="46"/>
        <v>0</v>
      </c>
      <c r="AW243" s="1121">
        <f>IF(AR243="",0,ROUND((AT243*$AT$7)*데이터입력!$AF$14+(AT243*$AU$7)*데이터입력!$AF$14+(AT243*$AU$7*$AV$7)*데이터입력!$AF$14+(AT243*$AW$7)*데이터입력!$AF$14+(AT243*$AX$7)*데이터입력!$AF$14,-1))</f>
        <v>0</v>
      </c>
      <c r="AX243" s="1122">
        <f t="shared" si="47"/>
        <v>0</v>
      </c>
      <c r="AY243" s="1123">
        <f>IFERROR(IF(AR243+AS243=0,0,ROUND(IF(데이터입력!$AF$14=100%,ROUND(AR243*$AR$1,-3),ROUND(AR243*$AR$1,-3)-ROUND(((AR243*$AR$1)*$AT$4)*(데이터입력!$AF$14-100%)+((AR243*$AR$1)*$AU$4)*(데이터입력!$AF$14-100%)+((AR243*$AR$1)*$AU$4*$AV$4)*(데이터입력!$AF$14-100%)+((AR243*$AR$1)*$AW$4)*(데이터입력!$AF$14-100%),-1)),0)),0)</f>
        <v>0</v>
      </c>
      <c r="AZ243" s="1124">
        <f>IFERROR(IF(AR243+AS243=0,0,IF(데이터입력!$AF$12=100%,(AT243),(AT243)+ROUND(AT243*(데이터입력!$AF$12-100%),-1))),0)</f>
        <v>0</v>
      </c>
      <c r="BA243" s="1265" t="str">
        <f t="shared" si="48"/>
        <v/>
      </c>
      <c r="BB243" s="1264" t="str">
        <f>IF(BA243="","",IF(데이터입력!$O$68="",ROUND(AZ243/12,0),ROUND(데이터입력!$O$68/데이터입력!$Y$8/$BC$63,0)))</f>
        <v/>
      </c>
    </row>
    <row r="244" spans="42:54">
      <c r="AP244" s="1182" t="str">
        <f>IF(예산실적비교표!AL244&lt;&gt;"",예산실적비교표!AL244,"")</f>
        <v/>
      </c>
      <c r="AQ244" s="1183" t="str">
        <f>IF(예산실적비교표!AM244&lt;&gt;"",예산실적비교표!AM244,"")</f>
        <v/>
      </c>
      <c r="AR244" s="1184">
        <f>IF(예산실적비교표!AN244&lt;&gt;"",예산실적비교표!AN244,0)</f>
        <v>0</v>
      </c>
      <c r="AS244" s="1185">
        <f>IF(예산실적비교표!AO244&lt;&gt;"",예산실적비교표!AO244,0)</f>
        <v>0</v>
      </c>
      <c r="AT244" s="1118">
        <f t="shared" si="45"/>
        <v>0</v>
      </c>
      <c r="AU244" s="1186">
        <f>IF(예산실적비교표!AQ244&lt;&gt;"",예산실적비교표!AQ244,0)</f>
        <v>0</v>
      </c>
      <c r="AV244" s="1120">
        <f t="shared" si="46"/>
        <v>0</v>
      </c>
      <c r="AW244" s="1121">
        <f>IF(AR244="",0,ROUND((AT244*$AT$7)*데이터입력!$AF$14+(AT244*$AU$7)*데이터입력!$AF$14+(AT244*$AU$7*$AV$7)*데이터입력!$AF$14+(AT244*$AW$7)*데이터입력!$AF$14+(AT244*$AX$7)*데이터입력!$AF$14,-1))</f>
        <v>0</v>
      </c>
      <c r="AX244" s="1122">
        <f t="shared" si="47"/>
        <v>0</v>
      </c>
      <c r="AY244" s="1123">
        <f>IFERROR(IF(AR244+AS244=0,0,ROUND(IF(데이터입력!$AF$14=100%,ROUND(AR244*$AR$1,-3),ROUND(AR244*$AR$1,-3)-ROUND(((AR244*$AR$1)*$AT$4)*(데이터입력!$AF$14-100%)+((AR244*$AR$1)*$AU$4)*(데이터입력!$AF$14-100%)+((AR244*$AR$1)*$AU$4*$AV$4)*(데이터입력!$AF$14-100%)+((AR244*$AR$1)*$AW$4)*(데이터입력!$AF$14-100%),-1)),0)),0)</f>
        <v>0</v>
      </c>
      <c r="AZ244" s="1124">
        <f>IFERROR(IF(AR244+AS244=0,0,IF(데이터입력!$AF$12=100%,(AT244),(AT244)+ROUND(AT244*(데이터입력!$AF$12-100%),-1))),0)</f>
        <v>0</v>
      </c>
      <c r="BA244" s="1265" t="str">
        <f t="shared" si="48"/>
        <v/>
      </c>
      <c r="BB244" s="1264" t="str">
        <f>IF(BA244="","",IF(데이터입력!$O$68="",ROUND(AZ244/12,0),ROUND(데이터입력!$O$68/데이터입력!$Y$8/$BC$63,0)))</f>
        <v/>
      </c>
    </row>
    <row r="245" spans="42:54">
      <c r="AP245" s="1182" t="str">
        <f>IF(예산실적비교표!AL245&lt;&gt;"",예산실적비교표!AL245,"")</f>
        <v/>
      </c>
      <c r="AQ245" s="1183" t="str">
        <f>IF(예산실적비교표!AM245&lt;&gt;"",예산실적비교표!AM245,"")</f>
        <v/>
      </c>
      <c r="AR245" s="1184">
        <f>IF(예산실적비교표!AN245&lt;&gt;"",예산실적비교표!AN245,0)</f>
        <v>0</v>
      </c>
      <c r="AS245" s="1185">
        <f>IF(예산실적비교표!AO245&lt;&gt;"",예산실적비교표!AO245,0)</f>
        <v>0</v>
      </c>
      <c r="AT245" s="1118">
        <f t="shared" si="45"/>
        <v>0</v>
      </c>
      <c r="AU245" s="1186">
        <f>IF(예산실적비교표!AQ245&lt;&gt;"",예산실적비교표!AQ245,0)</f>
        <v>0</v>
      </c>
      <c r="AV245" s="1120">
        <f t="shared" si="46"/>
        <v>0</v>
      </c>
      <c r="AW245" s="1121">
        <f>IF(AR245="",0,ROUND((AT245*$AT$7)*데이터입력!$AF$14+(AT245*$AU$7)*데이터입력!$AF$14+(AT245*$AU$7*$AV$7)*데이터입력!$AF$14+(AT245*$AW$7)*데이터입력!$AF$14+(AT245*$AX$7)*데이터입력!$AF$14,-1))</f>
        <v>0</v>
      </c>
      <c r="AX245" s="1122">
        <f t="shared" si="47"/>
        <v>0</v>
      </c>
      <c r="AY245" s="1123">
        <f>IFERROR(IF(AR245+AS245=0,0,ROUND(IF(데이터입력!$AF$14=100%,ROUND(AR245*$AR$1,-3),ROUND(AR245*$AR$1,-3)-ROUND(((AR245*$AR$1)*$AT$4)*(데이터입력!$AF$14-100%)+((AR245*$AR$1)*$AU$4)*(데이터입력!$AF$14-100%)+((AR245*$AR$1)*$AU$4*$AV$4)*(데이터입력!$AF$14-100%)+((AR245*$AR$1)*$AW$4)*(데이터입력!$AF$14-100%),-1)),0)),0)</f>
        <v>0</v>
      </c>
      <c r="AZ245" s="1124">
        <f>IFERROR(IF(AR245+AS245=0,0,IF(데이터입력!$AF$12=100%,(AT245),(AT245)+ROUND(AT245*(데이터입력!$AF$12-100%),-1))),0)</f>
        <v>0</v>
      </c>
      <c r="BA245" s="1265" t="str">
        <f t="shared" si="48"/>
        <v/>
      </c>
      <c r="BB245" s="1264" t="str">
        <f>IF(BA245="","",IF(데이터입력!$O$68="",ROUND(AZ245/12,0),ROUND(데이터입력!$O$68/데이터입력!$Y$8/$BC$63,0)))</f>
        <v/>
      </c>
    </row>
    <row r="246" spans="42:54">
      <c r="AP246" s="1182" t="str">
        <f>IF(예산실적비교표!AL246&lt;&gt;"",예산실적비교표!AL246,"")</f>
        <v/>
      </c>
      <c r="AQ246" s="1183" t="str">
        <f>IF(예산실적비교표!AM246&lt;&gt;"",예산실적비교표!AM246,"")</f>
        <v/>
      </c>
      <c r="AR246" s="1184">
        <f>IF(예산실적비교표!AN246&lt;&gt;"",예산실적비교표!AN246,0)</f>
        <v>0</v>
      </c>
      <c r="AS246" s="1185">
        <f>IF(예산실적비교표!AO246&lt;&gt;"",예산실적비교표!AO246,0)</f>
        <v>0</v>
      </c>
      <c r="AT246" s="1118">
        <f t="shared" si="45"/>
        <v>0</v>
      </c>
      <c r="AU246" s="1186">
        <f>IF(예산실적비교표!AQ246&lt;&gt;"",예산실적비교표!AQ246,0)</f>
        <v>0</v>
      </c>
      <c r="AV246" s="1120">
        <f t="shared" si="46"/>
        <v>0</v>
      </c>
      <c r="AW246" s="1121">
        <f>IF(AR246="",0,ROUND((AT246*$AT$7)*데이터입력!$AF$14+(AT246*$AU$7)*데이터입력!$AF$14+(AT246*$AU$7*$AV$7)*데이터입력!$AF$14+(AT246*$AW$7)*데이터입력!$AF$14+(AT246*$AX$7)*데이터입력!$AF$14,-1))</f>
        <v>0</v>
      </c>
      <c r="AX246" s="1122">
        <f t="shared" si="47"/>
        <v>0</v>
      </c>
      <c r="AY246" s="1123">
        <f>IFERROR(IF(AR246+AS246=0,0,ROUND(IF(데이터입력!$AF$14=100%,ROUND(AR246*$AR$1,-3),ROUND(AR246*$AR$1,-3)-ROUND(((AR246*$AR$1)*$AT$4)*(데이터입력!$AF$14-100%)+((AR246*$AR$1)*$AU$4)*(데이터입력!$AF$14-100%)+((AR246*$AR$1)*$AU$4*$AV$4)*(데이터입력!$AF$14-100%)+((AR246*$AR$1)*$AW$4)*(데이터입력!$AF$14-100%),-1)),0)),0)</f>
        <v>0</v>
      </c>
      <c r="AZ246" s="1124">
        <f>IFERROR(IF(AR246+AS246=0,0,IF(데이터입력!$AF$12=100%,(AT246),(AT246)+ROUND(AT246*(데이터입력!$AF$12-100%),-1))),0)</f>
        <v>0</v>
      </c>
      <c r="BA246" s="1265" t="str">
        <f t="shared" si="48"/>
        <v/>
      </c>
      <c r="BB246" s="1264" t="str">
        <f>IF(BA246="","",IF(데이터입력!$O$68="",ROUND(AZ246/12,0),ROUND(데이터입력!$O$68/데이터입력!$Y$8/$BC$63,0)))</f>
        <v/>
      </c>
    </row>
    <row r="247" spans="42:54">
      <c r="AP247" s="1182" t="str">
        <f>IF(예산실적비교표!AL247&lt;&gt;"",예산실적비교표!AL247,"")</f>
        <v/>
      </c>
      <c r="AQ247" s="1183" t="str">
        <f>IF(예산실적비교표!AM247&lt;&gt;"",예산실적비교표!AM247,"")</f>
        <v/>
      </c>
      <c r="AR247" s="1184">
        <f>IF(예산실적비교표!AN247&lt;&gt;"",예산실적비교표!AN247,0)</f>
        <v>0</v>
      </c>
      <c r="AS247" s="1185">
        <f>IF(예산실적비교표!AO247&lt;&gt;"",예산실적비교표!AO247,0)</f>
        <v>0</v>
      </c>
      <c r="AT247" s="1118">
        <f t="shared" si="45"/>
        <v>0</v>
      </c>
      <c r="AU247" s="1186">
        <f>IF(예산실적비교표!AQ247&lt;&gt;"",예산실적비교표!AQ247,0)</f>
        <v>0</v>
      </c>
      <c r="AV247" s="1120">
        <f t="shared" si="46"/>
        <v>0</v>
      </c>
      <c r="AW247" s="1121">
        <f>IF(AR247="",0,ROUND((AT247*$AT$7)*데이터입력!$AF$14+(AT247*$AU$7)*데이터입력!$AF$14+(AT247*$AU$7*$AV$7)*데이터입력!$AF$14+(AT247*$AW$7)*데이터입력!$AF$14+(AT247*$AX$7)*데이터입력!$AF$14,-1))</f>
        <v>0</v>
      </c>
      <c r="AX247" s="1122">
        <f t="shared" si="47"/>
        <v>0</v>
      </c>
      <c r="AY247" s="1123">
        <f>IFERROR(IF(AR247+AS247=0,0,ROUND(IF(데이터입력!$AF$14=100%,ROUND(AR247*$AR$1,-3),ROUND(AR247*$AR$1,-3)-ROUND(((AR247*$AR$1)*$AT$4)*(데이터입력!$AF$14-100%)+((AR247*$AR$1)*$AU$4)*(데이터입력!$AF$14-100%)+((AR247*$AR$1)*$AU$4*$AV$4)*(데이터입력!$AF$14-100%)+((AR247*$AR$1)*$AW$4)*(데이터입력!$AF$14-100%),-1)),0)),0)</f>
        <v>0</v>
      </c>
      <c r="AZ247" s="1124">
        <f>IFERROR(IF(AR247+AS247=0,0,IF(데이터입력!$AF$12=100%,(AT247),(AT247)+ROUND(AT247*(데이터입력!$AF$12-100%),-1))),0)</f>
        <v>0</v>
      </c>
      <c r="BA247" s="1265" t="str">
        <f t="shared" si="48"/>
        <v/>
      </c>
      <c r="BB247" s="1264" t="str">
        <f>IF(BA247="","",IF(데이터입력!$O$68="",ROUND(AZ247/12,0),ROUND(데이터입력!$O$68/데이터입력!$Y$8/$BC$63,0)))</f>
        <v/>
      </c>
    </row>
    <row r="248" spans="42:54">
      <c r="AP248" s="1182" t="str">
        <f>IF(예산실적비교표!AL248&lt;&gt;"",예산실적비교표!AL248,"")</f>
        <v/>
      </c>
      <c r="AQ248" s="1183" t="str">
        <f>IF(예산실적비교표!AM248&lt;&gt;"",예산실적비교표!AM248,"")</f>
        <v/>
      </c>
      <c r="AR248" s="1184">
        <f>IF(예산실적비교표!AN248&lt;&gt;"",예산실적비교표!AN248,0)</f>
        <v>0</v>
      </c>
      <c r="AS248" s="1185">
        <f>IF(예산실적비교표!AO248&lt;&gt;"",예산실적비교표!AO248,0)</f>
        <v>0</v>
      </c>
      <c r="AT248" s="1118">
        <f t="shared" si="45"/>
        <v>0</v>
      </c>
      <c r="AU248" s="1186">
        <f>IF(예산실적비교표!AQ248&lt;&gt;"",예산실적비교표!AQ248,0)</f>
        <v>0</v>
      </c>
      <c r="AV248" s="1120">
        <f t="shared" si="46"/>
        <v>0</v>
      </c>
      <c r="AW248" s="1121">
        <f>IF(AR248="",0,ROUND((AT248*$AT$7)*데이터입력!$AF$14+(AT248*$AU$7)*데이터입력!$AF$14+(AT248*$AU$7*$AV$7)*데이터입력!$AF$14+(AT248*$AW$7)*데이터입력!$AF$14+(AT248*$AX$7)*데이터입력!$AF$14,-1))</f>
        <v>0</v>
      </c>
      <c r="AX248" s="1122">
        <f t="shared" si="47"/>
        <v>0</v>
      </c>
      <c r="AY248" s="1123">
        <f>IFERROR(IF(AR248+AS248=0,0,ROUND(IF(데이터입력!$AF$14=100%,ROUND(AR248*$AR$1,-3),ROUND(AR248*$AR$1,-3)-ROUND(((AR248*$AR$1)*$AT$4)*(데이터입력!$AF$14-100%)+((AR248*$AR$1)*$AU$4)*(데이터입력!$AF$14-100%)+((AR248*$AR$1)*$AU$4*$AV$4)*(데이터입력!$AF$14-100%)+((AR248*$AR$1)*$AW$4)*(데이터입력!$AF$14-100%),-1)),0)),0)</f>
        <v>0</v>
      </c>
      <c r="AZ248" s="1124">
        <f>IFERROR(IF(AR248+AS248=0,0,IF(데이터입력!$AF$12=100%,(AT248),(AT248)+ROUND(AT248*(데이터입력!$AF$12-100%),-1))),0)</f>
        <v>0</v>
      </c>
      <c r="BA248" s="1265" t="str">
        <f t="shared" si="48"/>
        <v/>
      </c>
      <c r="BB248" s="1264" t="str">
        <f>IF(BA248="","",IF(데이터입력!$O$68="",ROUND(AZ248/12,0),ROUND(데이터입력!$O$68/데이터입력!$Y$8/$BC$63,0)))</f>
        <v/>
      </c>
    </row>
    <row r="249" spans="42:54">
      <c r="AP249" s="1182" t="str">
        <f>IF(예산실적비교표!AL249&lt;&gt;"",예산실적비교표!AL249,"")</f>
        <v/>
      </c>
      <c r="AQ249" s="1183" t="str">
        <f>IF(예산실적비교표!AM249&lt;&gt;"",예산실적비교표!AM249,"")</f>
        <v/>
      </c>
      <c r="AR249" s="1184">
        <f>IF(예산실적비교표!AN249&lt;&gt;"",예산실적비교표!AN249,0)</f>
        <v>0</v>
      </c>
      <c r="AS249" s="1185">
        <f>IF(예산실적비교표!AO249&lt;&gt;"",예산실적비교표!AO249,0)</f>
        <v>0</v>
      </c>
      <c r="AT249" s="1118">
        <f t="shared" si="45"/>
        <v>0</v>
      </c>
      <c r="AU249" s="1186">
        <f>IF(예산실적비교표!AQ249&lt;&gt;"",예산실적비교표!AQ249,0)</f>
        <v>0</v>
      </c>
      <c r="AV249" s="1120">
        <f t="shared" si="46"/>
        <v>0</v>
      </c>
      <c r="AW249" s="1121">
        <f>IF(AR249="",0,ROUND((AT249*$AT$7)*데이터입력!$AF$14+(AT249*$AU$7)*데이터입력!$AF$14+(AT249*$AU$7*$AV$7)*데이터입력!$AF$14+(AT249*$AW$7)*데이터입력!$AF$14+(AT249*$AX$7)*데이터입력!$AF$14,-1))</f>
        <v>0</v>
      </c>
      <c r="AX249" s="1122">
        <f t="shared" si="47"/>
        <v>0</v>
      </c>
      <c r="AY249" s="1123">
        <f>IFERROR(IF(AR249+AS249=0,0,ROUND(IF(데이터입력!$AF$14=100%,ROUND(AR249*$AR$1,-3),ROUND(AR249*$AR$1,-3)-ROUND(((AR249*$AR$1)*$AT$4)*(데이터입력!$AF$14-100%)+((AR249*$AR$1)*$AU$4)*(데이터입력!$AF$14-100%)+((AR249*$AR$1)*$AU$4*$AV$4)*(데이터입력!$AF$14-100%)+((AR249*$AR$1)*$AW$4)*(데이터입력!$AF$14-100%),-1)),0)),0)</f>
        <v>0</v>
      </c>
      <c r="AZ249" s="1124">
        <f>IFERROR(IF(AR249+AS249=0,0,IF(데이터입력!$AF$12=100%,(AT249),(AT249)+ROUND(AT249*(데이터입력!$AF$12-100%),-1))),0)</f>
        <v>0</v>
      </c>
      <c r="BA249" s="1265" t="str">
        <f t="shared" si="48"/>
        <v/>
      </c>
      <c r="BB249" s="1264" t="str">
        <f>IF(BA249="","",IF(데이터입력!$O$68="",ROUND(AZ249/12,0),ROUND(데이터입력!$O$68/데이터입력!$Y$8/$BC$63,0)))</f>
        <v/>
      </c>
    </row>
    <row r="250" spans="42:54">
      <c r="AP250" s="1182" t="str">
        <f>IF(예산실적비교표!AL250&lt;&gt;"",예산실적비교표!AL250,"")</f>
        <v/>
      </c>
      <c r="AQ250" s="1183" t="str">
        <f>IF(예산실적비교표!AM250&lt;&gt;"",예산실적비교표!AM250,"")</f>
        <v/>
      </c>
      <c r="AR250" s="1184">
        <f>IF(예산실적비교표!AN250&lt;&gt;"",예산실적비교표!AN250,0)</f>
        <v>0</v>
      </c>
      <c r="AS250" s="1185">
        <f>IF(예산실적비교표!AO250&lt;&gt;"",예산실적비교표!AO250,0)</f>
        <v>0</v>
      </c>
      <c r="AT250" s="1118">
        <f t="shared" si="45"/>
        <v>0</v>
      </c>
      <c r="AU250" s="1186">
        <f>IF(예산실적비교표!AQ250&lt;&gt;"",예산실적비교표!AQ250,0)</f>
        <v>0</v>
      </c>
      <c r="AV250" s="1120">
        <f t="shared" si="46"/>
        <v>0</v>
      </c>
      <c r="AW250" s="1121">
        <f>IF(AR250="",0,ROUND((AT250*$AT$7)*데이터입력!$AF$14+(AT250*$AU$7)*데이터입력!$AF$14+(AT250*$AU$7*$AV$7)*데이터입력!$AF$14+(AT250*$AW$7)*데이터입력!$AF$14+(AT250*$AX$7)*데이터입력!$AF$14,-1))</f>
        <v>0</v>
      </c>
      <c r="AX250" s="1122">
        <f t="shared" si="47"/>
        <v>0</v>
      </c>
      <c r="AY250" s="1123">
        <f>IFERROR(IF(AR250+AS250=0,0,ROUND(IF(데이터입력!$AF$14=100%,ROUND(AR250*$AR$1,-3),ROUND(AR250*$AR$1,-3)-ROUND(((AR250*$AR$1)*$AT$4)*(데이터입력!$AF$14-100%)+((AR250*$AR$1)*$AU$4)*(데이터입력!$AF$14-100%)+((AR250*$AR$1)*$AU$4*$AV$4)*(데이터입력!$AF$14-100%)+((AR250*$AR$1)*$AW$4)*(데이터입력!$AF$14-100%),-1)),0)),0)</f>
        <v>0</v>
      </c>
      <c r="AZ250" s="1124">
        <f>IFERROR(IF(AR250+AS250=0,0,IF(데이터입력!$AF$12=100%,(AT250),(AT250)+ROUND(AT250*(데이터입력!$AF$12-100%),-1))),0)</f>
        <v>0</v>
      </c>
      <c r="BA250" s="1265" t="str">
        <f t="shared" si="48"/>
        <v/>
      </c>
      <c r="BB250" s="1264" t="str">
        <f>IF(BA250="","",IF(데이터입력!$O$68="",ROUND(AZ250/12,0),ROUND(데이터입력!$O$68/데이터입력!$Y$8/$BC$63,0)))</f>
        <v/>
      </c>
    </row>
    <row r="251" spans="42:54">
      <c r="AP251" s="1182" t="str">
        <f>IF(예산실적비교표!AL251&lt;&gt;"",예산실적비교표!AL251,"")</f>
        <v/>
      </c>
      <c r="AQ251" s="1183" t="str">
        <f>IF(예산실적비교표!AM251&lt;&gt;"",예산실적비교표!AM251,"")</f>
        <v/>
      </c>
      <c r="AR251" s="1184">
        <f>IF(예산실적비교표!AN251&lt;&gt;"",예산실적비교표!AN251,0)</f>
        <v>0</v>
      </c>
      <c r="AS251" s="1185">
        <f>IF(예산실적비교표!AO251&lt;&gt;"",예산실적비교표!AO251,0)</f>
        <v>0</v>
      </c>
      <c r="AT251" s="1118">
        <f t="shared" si="45"/>
        <v>0</v>
      </c>
      <c r="AU251" s="1186">
        <f>IF(예산실적비교표!AQ251&lt;&gt;"",예산실적비교표!AQ251,0)</f>
        <v>0</v>
      </c>
      <c r="AV251" s="1120">
        <f t="shared" si="46"/>
        <v>0</v>
      </c>
      <c r="AW251" s="1121">
        <f>IF(AR251="",0,ROUND((AT251*$AT$7)*데이터입력!$AF$14+(AT251*$AU$7)*데이터입력!$AF$14+(AT251*$AU$7*$AV$7)*데이터입력!$AF$14+(AT251*$AW$7)*데이터입력!$AF$14+(AT251*$AX$7)*데이터입력!$AF$14,-1))</f>
        <v>0</v>
      </c>
      <c r="AX251" s="1122">
        <f t="shared" si="47"/>
        <v>0</v>
      </c>
      <c r="AY251" s="1123">
        <f>IFERROR(IF(AR251+AS251=0,0,ROUND(IF(데이터입력!$AF$14=100%,ROUND(AR251*$AR$1,-3),ROUND(AR251*$AR$1,-3)-ROUND(((AR251*$AR$1)*$AT$4)*(데이터입력!$AF$14-100%)+((AR251*$AR$1)*$AU$4)*(데이터입력!$AF$14-100%)+((AR251*$AR$1)*$AU$4*$AV$4)*(데이터입력!$AF$14-100%)+((AR251*$AR$1)*$AW$4)*(데이터입력!$AF$14-100%),-1)),0)),0)</f>
        <v>0</v>
      </c>
      <c r="AZ251" s="1124">
        <f>IFERROR(IF(AR251+AS251=0,0,IF(데이터입력!$AF$12=100%,(AT251),(AT251)+ROUND(AT251*(데이터입력!$AF$12-100%),-1))),0)</f>
        <v>0</v>
      </c>
      <c r="BA251" s="1265" t="str">
        <f t="shared" si="48"/>
        <v/>
      </c>
      <c r="BB251" s="1264" t="str">
        <f>IF(BA251="","",IF(데이터입력!$O$68="",ROUND(AZ251/12,0),ROUND(데이터입력!$O$68/데이터입력!$Y$8/$BC$63,0)))</f>
        <v/>
      </c>
    </row>
    <row r="252" spans="42:54">
      <c r="AP252" s="1182" t="str">
        <f>IF(예산실적비교표!AL252&lt;&gt;"",예산실적비교표!AL252,"")</f>
        <v/>
      </c>
      <c r="AQ252" s="1183" t="str">
        <f>IF(예산실적비교표!AM252&lt;&gt;"",예산실적비교표!AM252,"")</f>
        <v/>
      </c>
      <c r="AR252" s="1184">
        <f>IF(예산실적비교표!AN252&lt;&gt;"",예산실적비교표!AN252,0)</f>
        <v>0</v>
      </c>
      <c r="AS252" s="1185">
        <f>IF(예산실적비교표!AO252&lt;&gt;"",예산실적비교표!AO252,0)</f>
        <v>0</v>
      </c>
      <c r="AT252" s="1118">
        <f t="shared" si="45"/>
        <v>0</v>
      </c>
      <c r="AU252" s="1186">
        <f>IF(예산실적비교표!AQ252&lt;&gt;"",예산실적비교표!AQ252,0)</f>
        <v>0</v>
      </c>
      <c r="AV252" s="1120">
        <f t="shared" si="46"/>
        <v>0</v>
      </c>
      <c r="AW252" s="1121">
        <f>IF(AR252="",0,ROUND((AT252*$AT$7)*데이터입력!$AF$14+(AT252*$AU$7)*데이터입력!$AF$14+(AT252*$AU$7*$AV$7)*데이터입력!$AF$14+(AT252*$AW$7)*데이터입력!$AF$14+(AT252*$AX$7)*데이터입력!$AF$14,-1))</f>
        <v>0</v>
      </c>
      <c r="AX252" s="1122">
        <f t="shared" si="47"/>
        <v>0</v>
      </c>
      <c r="AY252" s="1123">
        <f>IFERROR(IF(AR252+AS252=0,0,ROUND(IF(데이터입력!$AF$14=100%,ROUND(AR252*$AR$1,-3),ROUND(AR252*$AR$1,-3)-ROUND(((AR252*$AR$1)*$AT$4)*(데이터입력!$AF$14-100%)+((AR252*$AR$1)*$AU$4)*(데이터입력!$AF$14-100%)+((AR252*$AR$1)*$AU$4*$AV$4)*(데이터입력!$AF$14-100%)+((AR252*$AR$1)*$AW$4)*(데이터입력!$AF$14-100%),-1)),0)),0)</f>
        <v>0</v>
      </c>
      <c r="AZ252" s="1124">
        <f>IFERROR(IF(AR252+AS252=0,0,IF(데이터입력!$AF$12=100%,(AT252),(AT252)+ROUND(AT252*(데이터입력!$AF$12-100%),-1))),0)</f>
        <v>0</v>
      </c>
      <c r="BA252" s="1265" t="str">
        <f t="shared" si="48"/>
        <v/>
      </c>
      <c r="BB252" s="1264" t="str">
        <f>IF(BA252="","",IF(데이터입력!$O$68="",ROUND(AZ252/12,0),ROUND(데이터입력!$O$68/데이터입력!$Y$8/$BC$63,0)))</f>
        <v/>
      </c>
    </row>
    <row r="253" spans="42:54">
      <c r="AP253" s="1182" t="str">
        <f>IF(예산실적비교표!AL253&lt;&gt;"",예산실적비교표!AL253,"")</f>
        <v/>
      </c>
      <c r="AQ253" s="1183" t="str">
        <f>IF(예산실적비교표!AM253&lt;&gt;"",예산실적비교표!AM253,"")</f>
        <v/>
      </c>
      <c r="AR253" s="1184">
        <f>IF(예산실적비교표!AN253&lt;&gt;"",예산실적비교표!AN253,0)</f>
        <v>0</v>
      </c>
      <c r="AS253" s="1185">
        <f>IF(예산실적비교표!AO253&lt;&gt;"",예산실적비교표!AO253,0)</f>
        <v>0</v>
      </c>
      <c r="AT253" s="1118">
        <f t="shared" si="45"/>
        <v>0</v>
      </c>
      <c r="AU253" s="1186">
        <f>IF(예산실적비교표!AQ253&lt;&gt;"",예산실적비교표!AQ253,0)</f>
        <v>0</v>
      </c>
      <c r="AV253" s="1120">
        <f t="shared" si="46"/>
        <v>0</v>
      </c>
      <c r="AW253" s="1121">
        <f>IF(AR253="",0,ROUND((AT253*$AT$7)*데이터입력!$AF$14+(AT253*$AU$7)*데이터입력!$AF$14+(AT253*$AU$7*$AV$7)*데이터입력!$AF$14+(AT253*$AW$7)*데이터입력!$AF$14+(AT253*$AX$7)*데이터입력!$AF$14,-1))</f>
        <v>0</v>
      </c>
      <c r="AX253" s="1122">
        <f t="shared" si="47"/>
        <v>0</v>
      </c>
      <c r="AY253" s="1123">
        <f>IFERROR(IF(AR253+AS253=0,0,ROUND(IF(데이터입력!$AF$14=100%,ROUND(AR253*$AR$1,-3),ROUND(AR253*$AR$1,-3)-ROUND(((AR253*$AR$1)*$AT$4)*(데이터입력!$AF$14-100%)+((AR253*$AR$1)*$AU$4)*(데이터입력!$AF$14-100%)+((AR253*$AR$1)*$AU$4*$AV$4)*(데이터입력!$AF$14-100%)+((AR253*$AR$1)*$AW$4)*(데이터입력!$AF$14-100%),-1)),0)),0)</f>
        <v>0</v>
      </c>
      <c r="AZ253" s="1124">
        <f>IFERROR(IF(AR253+AS253=0,0,IF(데이터입력!$AF$12=100%,(AT253),(AT253)+ROUND(AT253*(데이터입력!$AF$12-100%),-1))),0)</f>
        <v>0</v>
      </c>
      <c r="BA253" s="1265" t="str">
        <f t="shared" si="48"/>
        <v/>
      </c>
      <c r="BB253" s="1264" t="str">
        <f>IF(BA253="","",IF(데이터입력!$O$68="",ROUND(AZ253/12,0),ROUND(데이터입력!$O$68/데이터입력!$Y$8/$BC$63,0)))</f>
        <v/>
      </c>
    </row>
    <row r="254" spans="42:54">
      <c r="AP254" s="1182" t="str">
        <f>IF(예산실적비교표!AL254&lt;&gt;"",예산실적비교표!AL254,"")</f>
        <v/>
      </c>
      <c r="AQ254" s="1183" t="str">
        <f>IF(예산실적비교표!AM254&lt;&gt;"",예산실적비교표!AM254,"")</f>
        <v/>
      </c>
      <c r="AR254" s="1184">
        <f>IF(예산실적비교표!AN254&lt;&gt;"",예산실적비교표!AN254,0)</f>
        <v>0</v>
      </c>
      <c r="AS254" s="1185">
        <f>IF(예산실적비교표!AO254&lt;&gt;"",예산실적비교표!AO254,0)</f>
        <v>0</v>
      </c>
      <c r="AT254" s="1118">
        <f t="shared" si="45"/>
        <v>0</v>
      </c>
      <c r="AU254" s="1186">
        <f>IF(예산실적비교표!AQ254&lt;&gt;"",예산실적비교표!AQ254,0)</f>
        <v>0</v>
      </c>
      <c r="AV254" s="1120">
        <f t="shared" si="46"/>
        <v>0</v>
      </c>
      <c r="AW254" s="1121">
        <f>IF(AR254="",0,ROUND((AT254*$AT$7)*데이터입력!$AF$14+(AT254*$AU$7)*데이터입력!$AF$14+(AT254*$AU$7*$AV$7)*데이터입력!$AF$14+(AT254*$AW$7)*데이터입력!$AF$14+(AT254*$AX$7)*데이터입력!$AF$14,-1))</f>
        <v>0</v>
      </c>
      <c r="AX254" s="1122">
        <f t="shared" si="47"/>
        <v>0</v>
      </c>
      <c r="AY254" s="1123">
        <f>IFERROR(IF(AR254+AS254=0,0,ROUND(IF(데이터입력!$AF$14=100%,ROUND(AR254*$AR$1,-3),ROUND(AR254*$AR$1,-3)-ROUND(((AR254*$AR$1)*$AT$4)*(데이터입력!$AF$14-100%)+((AR254*$AR$1)*$AU$4)*(데이터입력!$AF$14-100%)+((AR254*$AR$1)*$AU$4*$AV$4)*(데이터입력!$AF$14-100%)+((AR254*$AR$1)*$AW$4)*(데이터입력!$AF$14-100%),-1)),0)),0)</f>
        <v>0</v>
      </c>
      <c r="AZ254" s="1124">
        <f>IFERROR(IF(AR254+AS254=0,0,IF(데이터입력!$AF$12=100%,(AT254),(AT254)+ROUND(AT254*(데이터입력!$AF$12-100%),-1))),0)</f>
        <v>0</v>
      </c>
      <c r="BA254" s="1265" t="str">
        <f t="shared" si="48"/>
        <v/>
      </c>
      <c r="BB254" s="1264" t="str">
        <f>IF(BA254="","",IF(데이터입력!$O$68="",ROUND(AZ254/12,0),ROUND(데이터입력!$O$68/데이터입력!$Y$8/$BC$63,0)))</f>
        <v/>
      </c>
    </row>
    <row r="255" spans="42:54">
      <c r="AP255" s="1182" t="str">
        <f>IF(예산실적비교표!AL255&lt;&gt;"",예산실적비교표!AL255,"")</f>
        <v/>
      </c>
      <c r="AQ255" s="1183" t="str">
        <f>IF(예산실적비교표!AM255&lt;&gt;"",예산실적비교표!AM255,"")</f>
        <v/>
      </c>
      <c r="AR255" s="1184">
        <f>IF(예산실적비교표!AN255&lt;&gt;"",예산실적비교표!AN255,0)</f>
        <v>0</v>
      </c>
      <c r="AS255" s="1185">
        <f>IF(예산실적비교표!AO255&lt;&gt;"",예산실적비교표!AO255,0)</f>
        <v>0</v>
      </c>
      <c r="AT255" s="1118">
        <f t="shared" si="45"/>
        <v>0</v>
      </c>
      <c r="AU255" s="1186">
        <f>IF(예산실적비교표!AQ255&lt;&gt;"",예산실적비교표!AQ255,0)</f>
        <v>0</v>
      </c>
      <c r="AV255" s="1120">
        <f t="shared" si="46"/>
        <v>0</v>
      </c>
      <c r="AW255" s="1121">
        <f>IF(AR255="",0,ROUND((AT255*$AT$7)*데이터입력!$AF$14+(AT255*$AU$7)*데이터입력!$AF$14+(AT255*$AU$7*$AV$7)*데이터입력!$AF$14+(AT255*$AW$7)*데이터입력!$AF$14+(AT255*$AX$7)*데이터입력!$AF$14,-1))</f>
        <v>0</v>
      </c>
      <c r="AX255" s="1122">
        <f t="shared" si="47"/>
        <v>0</v>
      </c>
      <c r="AY255" s="1123">
        <f>IFERROR(IF(AR255+AS255=0,0,ROUND(IF(데이터입력!$AF$14=100%,ROUND(AR255*$AR$1,-3),ROUND(AR255*$AR$1,-3)-ROUND(((AR255*$AR$1)*$AT$4)*(데이터입력!$AF$14-100%)+((AR255*$AR$1)*$AU$4)*(데이터입력!$AF$14-100%)+((AR255*$AR$1)*$AU$4*$AV$4)*(데이터입력!$AF$14-100%)+((AR255*$AR$1)*$AW$4)*(데이터입력!$AF$14-100%),-1)),0)),0)</f>
        <v>0</v>
      </c>
      <c r="AZ255" s="1124">
        <f>IFERROR(IF(AR255+AS255=0,0,IF(데이터입력!$AF$12=100%,(AT255),(AT255)+ROUND(AT255*(데이터입력!$AF$12-100%),-1))),0)</f>
        <v>0</v>
      </c>
      <c r="BA255" s="1265" t="str">
        <f t="shared" si="48"/>
        <v/>
      </c>
      <c r="BB255" s="1264" t="str">
        <f>IF(BA255="","",IF(데이터입력!$O$68="",ROUND(AZ255/12,0),ROUND(데이터입력!$O$68/데이터입력!$Y$8/$BC$63,0)))</f>
        <v/>
      </c>
    </row>
    <row r="256" spans="42:54">
      <c r="AP256" s="1182" t="str">
        <f>IF(예산실적비교표!AL256&lt;&gt;"",예산실적비교표!AL256,"")</f>
        <v/>
      </c>
      <c r="AQ256" s="1183" t="str">
        <f>IF(예산실적비교표!AM256&lt;&gt;"",예산실적비교표!AM256,"")</f>
        <v/>
      </c>
      <c r="AR256" s="1184">
        <f>IF(예산실적비교표!AN256&lt;&gt;"",예산실적비교표!AN256,0)</f>
        <v>0</v>
      </c>
      <c r="AS256" s="1185">
        <f>IF(예산실적비교표!AO256&lt;&gt;"",예산실적비교표!AO256,0)</f>
        <v>0</v>
      </c>
      <c r="AT256" s="1118">
        <f t="shared" ref="AT256:AT262" si="49">IFERROR(ROUND((AR256+AS256)*$AR$1,-3),0)</f>
        <v>0</v>
      </c>
      <c r="AU256" s="1186">
        <f>IF(예산실적비교표!AQ256&lt;&gt;"",예산실적비교표!AQ256,0)</f>
        <v>0</v>
      </c>
      <c r="AV256" s="1120">
        <f t="shared" ref="AV256:AV262" si="50">IF(BB256="",0,BB256)</f>
        <v>0</v>
      </c>
      <c r="AW256" s="1121">
        <f>IF(AR256="",0,ROUND((AT256*$AT$7)*데이터입력!$AF$14+(AT256*$AU$7)*데이터입력!$AF$14+(AT256*$AU$7*$AV$7)*데이터입력!$AF$14+(AT256*$AW$7)*데이터입력!$AF$14+(AT256*$AX$7)*데이터입력!$AF$14,-1))</f>
        <v>0</v>
      </c>
      <c r="AX256" s="1122">
        <f t="shared" ref="AX256:AX262" si="51">IF(SUM(AT256:AW256)=0,0,SUM(AT256:AW256))</f>
        <v>0</v>
      </c>
      <c r="AY256" s="1123">
        <f>IFERROR(IF(AR256+AS256=0,0,ROUND(IF(데이터입력!$AF$14=100%,ROUND(AR256*$AR$1,-3),ROUND(AR256*$AR$1,-3)-ROUND(((AR256*$AR$1)*$AT$4)*(데이터입력!$AF$14-100%)+((AR256*$AR$1)*$AU$4)*(데이터입력!$AF$14-100%)+((AR256*$AR$1)*$AU$4*$AV$4)*(데이터입력!$AF$14-100%)+((AR256*$AR$1)*$AW$4)*(데이터입력!$AF$14-100%),-1)),0)),0)</f>
        <v>0</v>
      </c>
      <c r="AZ256" s="1124">
        <f>IFERROR(IF(AR256+AS256=0,0,IF(데이터입력!$AF$12=100%,(AT256),(AT256)+ROUND(AT256*(데이터입력!$AF$12-100%),-1))),0)</f>
        <v>0</v>
      </c>
      <c r="BA256" s="1265" t="str">
        <f t="shared" ref="BA256:BA262" si="52">IFERROR(IF(AZ256=0,"",ROUND(AZ256/12,0)),"")</f>
        <v/>
      </c>
      <c r="BB256" s="1264" t="str">
        <f>IF(BA256="","",IF(데이터입력!$O$68="",ROUND(AZ256/12,0),ROUND(데이터입력!$O$68/데이터입력!$Y$8/$BC$63,0)))</f>
        <v/>
      </c>
    </row>
    <row r="257" spans="42:54">
      <c r="AP257" s="1182" t="str">
        <f>IF(예산실적비교표!AL257&lt;&gt;"",예산실적비교표!AL257,"")</f>
        <v/>
      </c>
      <c r="AQ257" s="1183" t="str">
        <f>IF(예산실적비교표!AM257&lt;&gt;"",예산실적비교표!AM257,"")</f>
        <v/>
      </c>
      <c r="AR257" s="1184">
        <f>IF(예산실적비교표!AN257&lt;&gt;"",예산실적비교표!AN257,0)</f>
        <v>0</v>
      </c>
      <c r="AS257" s="1185">
        <f>IF(예산실적비교표!AO257&lt;&gt;"",예산실적비교표!AO257,0)</f>
        <v>0</v>
      </c>
      <c r="AT257" s="1118">
        <f t="shared" si="49"/>
        <v>0</v>
      </c>
      <c r="AU257" s="1186">
        <f>IF(예산실적비교표!AQ257&lt;&gt;"",예산실적비교표!AQ257,0)</f>
        <v>0</v>
      </c>
      <c r="AV257" s="1120">
        <f t="shared" si="50"/>
        <v>0</v>
      </c>
      <c r="AW257" s="1121">
        <f>IF(AR257="",0,ROUND((AT257*$AT$7)*데이터입력!$AF$14+(AT257*$AU$7)*데이터입력!$AF$14+(AT257*$AU$7*$AV$7)*데이터입력!$AF$14+(AT257*$AW$7)*데이터입력!$AF$14+(AT257*$AX$7)*데이터입력!$AF$14,-1))</f>
        <v>0</v>
      </c>
      <c r="AX257" s="1122">
        <f t="shared" si="51"/>
        <v>0</v>
      </c>
      <c r="AY257" s="1123">
        <f>IFERROR(IF(AR257+AS257=0,0,ROUND(IF(데이터입력!$AF$14=100%,ROUND(AR257*$AR$1,-3),ROUND(AR257*$AR$1,-3)-ROUND(((AR257*$AR$1)*$AT$4)*(데이터입력!$AF$14-100%)+((AR257*$AR$1)*$AU$4)*(데이터입력!$AF$14-100%)+((AR257*$AR$1)*$AU$4*$AV$4)*(데이터입력!$AF$14-100%)+((AR257*$AR$1)*$AW$4)*(데이터입력!$AF$14-100%),-1)),0)),0)</f>
        <v>0</v>
      </c>
      <c r="AZ257" s="1124">
        <f>IFERROR(IF(AR257+AS257=0,0,IF(데이터입력!$AF$12=100%,(AT257),(AT257)+ROUND(AT257*(데이터입력!$AF$12-100%),-1))),0)</f>
        <v>0</v>
      </c>
      <c r="BA257" s="1265" t="str">
        <f t="shared" si="52"/>
        <v/>
      </c>
      <c r="BB257" s="1264" t="str">
        <f>IF(BA257="","",IF(데이터입력!$O$68="",ROUND(AZ257/12,0),ROUND(데이터입력!$O$68/데이터입력!$Y$8/$BC$63,0)))</f>
        <v/>
      </c>
    </row>
    <row r="258" spans="42:54">
      <c r="AP258" s="1182" t="str">
        <f>IF(예산실적비교표!AL258&lt;&gt;"",예산실적비교표!AL258,"")</f>
        <v/>
      </c>
      <c r="AQ258" s="1183" t="str">
        <f>IF(예산실적비교표!AM258&lt;&gt;"",예산실적비교표!AM258,"")</f>
        <v/>
      </c>
      <c r="AR258" s="1184">
        <f>IF(예산실적비교표!AN258&lt;&gt;"",예산실적비교표!AN258,0)</f>
        <v>0</v>
      </c>
      <c r="AS258" s="1185">
        <f>IF(예산실적비교표!AO258&lt;&gt;"",예산실적비교표!AO258,0)</f>
        <v>0</v>
      </c>
      <c r="AT258" s="1118">
        <f t="shared" si="49"/>
        <v>0</v>
      </c>
      <c r="AU258" s="1186">
        <f>IF(예산실적비교표!AQ258&lt;&gt;"",예산실적비교표!AQ258,0)</f>
        <v>0</v>
      </c>
      <c r="AV258" s="1120">
        <f t="shared" si="50"/>
        <v>0</v>
      </c>
      <c r="AW258" s="1121">
        <f>IF(AR258="",0,ROUND((AT258*$AT$7)*데이터입력!$AF$14+(AT258*$AU$7)*데이터입력!$AF$14+(AT258*$AU$7*$AV$7)*데이터입력!$AF$14+(AT258*$AW$7)*데이터입력!$AF$14+(AT258*$AX$7)*데이터입력!$AF$14,-1))</f>
        <v>0</v>
      </c>
      <c r="AX258" s="1122">
        <f t="shared" si="51"/>
        <v>0</v>
      </c>
      <c r="AY258" s="1123">
        <f>IFERROR(IF(AR258+AS258=0,0,ROUND(IF(데이터입력!$AF$14=100%,ROUND(AR258*$AR$1,-3),ROUND(AR258*$AR$1,-3)-ROUND(((AR258*$AR$1)*$AT$4)*(데이터입력!$AF$14-100%)+((AR258*$AR$1)*$AU$4)*(데이터입력!$AF$14-100%)+((AR258*$AR$1)*$AU$4*$AV$4)*(데이터입력!$AF$14-100%)+((AR258*$AR$1)*$AW$4)*(데이터입력!$AF$14-100%),-1)),0)),0)</f>
        <v>0</v>
      </c>
      <c r="AZ258" s="1124">
        <f>IFERROR(IF(AR258+AS258=0,0,IF(데이터입력!$AF$12=100%,(AT258),(AT258)+ROUND(AT258*(데이터입력!$AF$12-100%),-1))),0)</f>
        <v>0</v>
      </c>
      <c r="BA258" s="1265" t="str">
        <f t="shared" si="52"/>
        <v/>
      </c>
      <c r="BB258" s="1264" t="str">
        <f>IF(BA258="","",IF(데이터입력!$O$68="",ROUND(AZ258/12,0),ROUND(데이터입력!$O$68/데이터입력!$Y$8/$BC$63,0)))</f>
        <v/>
      </c>
    </row>
    <row r="259" spans="42:54">
      <c r="AP259" s="1182" t="str">
        <f>IF(예산실적비교표!AL259&lt;&gt;"",예산실적비교표!AL259,"")</f>
        <v/>
      </c>
      <c r="AQ259" s="1183" t="str">
        <f>IF(예산실적비교표!AM259&lt;&gt;"",예산실적비교표!AM259,"")</f>
        <v/>
      </c>
      <c r="AR259" s="1184">
        <f>IF(예산실적비교표!AN259&lt;&gt;"",예산실적비교표!AN259,0)</f>
        <v>0</v>
      </c>
      <c r="AS259" s="1185">
        <f>IF(예산실적비교표!AO259&lt;&gt;"",예산실적비교표!AO259,0)</f>
        <v>0</v>
      </c>
      <c r="AT259" s="1118">
        <f t="shared" si="49"/>
        <v>0</v>
      </c>
      <c r="AU259" s="1186">
        <f>IF(예산실적비교표!AQ259&lt;&gt;"",예산실적비교표!AQ259,0)</f>
        <v>0</v>
      </c>
      <c r="AV259" s="1120">
        <f t="shared" si="50"/>
        <v>0</v>
      </c>
      <c r="AW259" s="1121">
        <f>IF(AR259="",0,ROUND((AT259*$AT$7)*데이터입력!$AF$14+(AT259*$AU$7)*데이터입력!$AF$14+(AT259*$AU$7*$AV$7)*데이터입력!$AF$14+(AT259*$AW$7)*데이터입력!$AF$14+(AT259*$AX$7)*데이터입력!$AF$14,-1))</f>
        <v>0</v>
      </c>
      <c r="AX259" s="1122">
        <f t="shared" si="51"/>
        <v>0</v>
      </c>
      <c r="AY259" s="1123">
        <f>IFERROR(IF(AR259+AS259=0,0,ROUND(IF(데이터입력!$AF$14=100%,ROUND(AR259*$AR$1,-3),ROUND(AR259*$AR$1,-3)-ROUND(((AR259*$AR$1)*$AT$4)*(데이터입력!$AF$14-100%)+((AR259*$AR$1)*$AU$4)*(데이터입력!$AF$14-100%)+((AR259*$AR$1)*$AU$4*$AV$4)*(데이터입력!$AF$14-100%)+((AR259*$AR$1)*$AW$4)*(데이터입력!$AF$14-100%),-1)),0)),0)</f>
        <v>0</v>
      </c>
      <c r="AZ259" s="1124">
        <f>IFERROR(IF(AR259+AS259=0,0,IF(데이터입력!$AF$12=100%,(AT259),(AT259)+ROUND(AT259*(데이터입력!$AF$12-100%),-1))),0)</f>
        <v>0</v>
      </c>
      <c r="BA259" s="1265" t="str">
        <f t="shared" si="52"/>
        <v/>
      </c>
      <c r="BB259" s="1264" t="str">
        <f>IF(BA259="","",IF(데이터입력!$O$68="",ROUND(AZ259/12,0),ROUND(데이터입력!$O$68/데이터입력!$Y$8/$BC$63,0)))</f>
        <v/>
      </c>
    </row>
    <row r="260" spans="42:54">
      <c r="AP260" s="1182" t="str">
        <f>IF(예산실적비교표!AL260&lt;&gt;"",예산실적비교표!AL260,"")</f>
        <v/>
      </c>
      <c r="AQ260" s="1183" t="str">
        <f>IF(예산실적비교표!AM260&lt;&gt;"",예산실적비교표!AM260,"")</f>
        <v/>
      </c>
      <c r="AR260" s="1184">
        <f>IF(예산실적비교표!AN260&lt;&gt;"",예산실적비교표!AN260,0)</f>
        <v>0</v>
      </c>
      <c r="AS260" s="1185">
        <f>IF(예산실적비교표!AO260&lt;&gt;"",예산실적비교표!AO260,0)</f>
        <v>0</v>
      </c>
      <c r="AT260" s="1118">
        <f t="shared" si="49"/>
        <v>0</v>
      </c>
      <c r="AU260" s="1186">
        <f>IF(예산실적비교표!AQ260&lt;&gt;"",예산실적비교표!AQ260,0)</f>
        <v>0</v>
      </c>
      <c r="AV260" s="1120">
        <f t="shared" si="50"/>
        <v>0</v>
      </c>
      <c r="AW260" s="1121">
        <f>IF(AR260="",0,ROUND((AT260*$AT$7)*데이터입력!$AF$14+(AT260*$AU$7)*데이터입력!$AF$14+(AT260*$AU$7*$AV$7)*데이터입력!$AF$14+(AT260*$AW$7)*데이터입력!$AF$14+(AT260*$AX$7)*데이터입력!$AF$14,-1))</f>
        <v>0</v>
      </c>
      <c r="AX260" s="1122">
        <f t="shared" si="51"/>
        <v>0</v>
      </c>
      <c r="AY260" s="1123">
        <f>IFERROR(IF(AR260+AS260=0,0,ROUND(IF(데이터입력!$AF$14=100%,ROUND(AR260*$AR$1,-3),ROUND(AR260*$AR$1,-3)-ROUND(((AR260*$AR$1)*$AT$4)*(데이터입력!$AF$14-100%)+((AR260*$AR$1)*$AU$4)*(데이터입력!$AF$14-100%)+((AR260*$AR$1)*$AU$4*$AV$4)*(데이터입력!$AF$14-100%)+((AR260*$AR$1)*$AW$4)*(데이터입력!$AF$14-100%),-1)),0)),0)</f>
        <v>0</v>
      </c>
      <c r="AZ260" s="1124">
        <f>IFERROR(IF(AR260+AS260=0,0,IF(데이터입력!$AF$12=100%,(AT260),(AT260)+ROUND(AT260*(데이터입력!$AF$12-100%),-1))),0)</f>
        <v>0</v>
      </c>
      <c r="BA260" s="1265" t="str">
        <f t="shared" si="52"/>
        <v/>
      </c>
      <c r="BB260" s="1264" t="str">
        <f>IF(BA260="","",IF(데이터입력!$O$68="",ROUND(AZ260/12,0),ROUND(데이터입력!$O$68/데이터입력!$Y$8/$BC$63,0)))</f>
        <v/>
      </c>
    </row>
    <row r="261" spans="42:54">
      <c r="AP261" s="1182" t="str">
        <f>IF(예산실적비교표!AL261&lt;&gt;"",예산실적비교표!AL261,"")</f>
        <v/>
      </c>
      <c r="AQ261" s="1183" t="str">
        <f>IF(예산실적비교표!AM261&lt;&gt;"",예산실적비교표!AM261,"")</f>
        <v/>
      </c>
      <c r="AR261" s="1184">
        <f>IF(예산실적비교표!AN261&lt;&gt;"",예산실적비교표!AN261,0)</f>
        <v>0</v>
      </c>
      <c r="AS261" s="1185">
        <f>IF(예산실적비교표!AO261&lt;&gt;"",예산실적비교표!AO261,0)</f>
        <v>0</v>
      </c>
      <c r="AT261" s="1118">
        <f t="shared" si="49"/>
        <v>0</v>
      </c>
      <c r="AU261" s="1186">
        <f>IF(예산실적비교표!AQ261&lt;&gt;"",예산실적비교표!AQ261,0)</f>
        <v>0</v>
      </c>
      <c r="AV261" s="1120">
        <f t="shared" si="50"/>
        <v>0</v>
      </c>
      <c r="AW261" s="1121">
        <f>IF(AR261="",0,ROUND((AT261*$AT$7)*데이터입력!$AF$14+(AT261*$AU$7)*데이터입력!$AF$14+(AT261*$AU$7*$AV$7)*데이터입력!$AF$14+(AT261*$AW$7)*데이터입력!$AF$14+(AT261*$AX$7)*데이터입력!$AF$14,-1))</f>
        <v>0</v>
      </c>
      <c r="AX261" s="1122">
        <f t="shared" si="51"/>
        <v>0</v>
      </c>
      <c r="AY261" s="1123">
        <f>IFERROR(IF(AR261+AS261=0,0,ROUND(IF(데이터입력!$AF$14=100%,ROUND(AR261*$AR$1,-3),ROUND(AR261*$AR$1,-3)-ROUND(((AR261*$AR$1)*$AT$4)*(데이터입력!$AF$14-100%)+((AR261*$AR$1)*$AU$4)*(데이터입력!$AF$14-100%)+((AR261*$AR$1)*$AU$4*$AV$4)*(데이터입력!$AF$14-100%)+((AR261*$AR$1)*$AW$4)*(데이터입력!$AF$14-100%),-1)),0)),0)</f>
        <v>0</v>
      </c>
      <c r="AZ261" s="1124">
        <f>IFERROR(IF(AR261+AS261=0,0,IF(데이터입력!$AF$12=100%,(AT261),(AT261)+ROUND(AT261*(데이터입력!$AF$12-100%),-1))),0)</f>
        <v>0</v>
      </c>
      <c r="BA261" s="1265" t="str">
        <f t="shared" si="52"/>
        <v/>
      </c>
      <c r="BB261" s="1264" t="str">
        <f>IF(BA261="","",IF(데이터입력!$O$68="",ROUND(AZ261/12,0),ROUND(데이터입력!$O$68/데이터입력!$Y$8/$BC$63,0)))</f>
        <v/>
      </c>
    </row>
    <row r="262" spans="42:54" ht="17.25" thickBot="1">
      <c r="AP262" s="1182" t="str">
        <f>IF(예산실적비교표!AL262&lt;&gt;"",예산실적비교표!AL262,"")</f>
        <v/>
      </c>
      <c r="AQ262" s="1183" t="str">
        <f>IF(예산실적비교표!AM262&lt;&gt;"",예산실적비교표!AM262,"")</f>
        <v/>
      </c>
      <c r="AR262" s="1184">
        <f>IF(예산실적비교표!AN262&lt;&gt;"",예산실적비교표!AN262,0)</f>
        <v>0</v>
      </c>
      <c r="AS262" s="1185">
        <f>IF(예산실적비교표!AO262&lt;&gt;"",예산실적비교표!AO262,0)</f>
        <v>0</v>
      </c>
      <c r="AT262" s="1118">
        <f t="shared" si="49"/>
        <v>0</v>
      </c>
      <c r="AU262" s="1186">
        <f>IF(예산실적비교표!AQ262&lt;&gt;"",예산실적비교표!AQ262,0)</f>
        <v>0</v>
      </c>
      <c r="AV262" s="1120">
        <f t="shared" si="50"/>
        <v>0</v>
      </c>
      <c r="AW262" s="1121">
        <f>IF(AR262="",0,ROUND((AT262*$AT$7)*데이터입력!$AF$14+(AT262*$AU$7)*데이터입력!$AF$14+(AT262*$AU$7*$AV$7)*데이터입력!$AF$14+(AT262*$AW$7)*데이터입력!$AF$14+(AT262*$AX$7)*데이터입력!$AF$14,-1))</f>
        <v>0</v>
      </c>
      <c r="AX262" s="1122">
        <f t="shared" si="51"/>
        <v>0</v>
      </c>
      <c r="AY262" s="1123">
        <f>IFERROR(IF(AR262+AS262=0,0,ROUND(IF(데이터입력!$AF$14=100%,ROUND(AR262*$AR$1,-3),ROUND(AR262*$AR$1,-3)-ROUND(((AR262*$AR$1)*$AT$4)*(데이터입력!$AF$14-100%)+((AR262*$AR$1)*$AU$4)*(데이터입력!$AF$14-100%)+((AR262*$AR$1)*$AU$4*$AV$4)*(데이터입력!$AF$14-100%)+((AR262*$AR$1)*$AW$4)*(데이터입력!$AF$14-100%),-1)),0)),0)</f>
        <v>0</v>
      </c>
      <c r="AZ262" s="1124">
        <f>IFERROR(IF(AR262+AS262=0,0,IF(데이터입력!$AF$12=100%,(AT262),(AT262)+ROUND(AT262*(데이터입력!$AF$12-100%),-1))),0)</f>
        <v>0</v>
      </c>
      <c r="BA262" s="1265" t="str">
        <f t="shared" si="52"/>
        <v/>
      </c>
      <c r="BB262" s="1264" t="str">
        <f>IF(BA262="","",IF(데이터입력!$O$68="",ROUND(AZ262/12,0),ROUND(데이터입력!$O$68/데이터입력!$Y$8/$BC$63,0)))</f>
        <v/>
      </c>
    </row>
    <row r="263" spans="42:54" ht="17.25" thickBot="1">
      <c r="AP263" s="1568" t="s">
        <v>489</v>
      </c>
      <c r="AQ263" s="1569"/>
      <c r="AR263" s="1195">
        <f t="shared" ref="AR263:AZ263" si="53">SUM(AR63:AR262)</f>
        <v>10578060</v>
      </c>
      <c r="AS263" s="1195">
        <f t="shared" si="53"/>
        <v>0</v>
      </c>
      <c r="AT263" s="1196">
        <f t="shared" si="53"/>
        <v>10578000</v>
      </c>
      <c r="AU263" s="1197">
        <f t="shared" si="53"/>
        <v>0</v>
      </c>
      <c r="AV263" s="1198">
        <f t="shared" si="53"/>
        <v>881501</v>
      </c>
      <c r="AW263" s="1198">
        <f t="shared" si="53"/>
        <v>1106360</v>
      </c>
      <c r="AX263" s="1196">
        <f t="shared" si="53"/>
        <v>12565861</v>
      </c>
      <c r="AY263" s="1199">
        <f t="shared" si="53"/>
        <v>10578000</v>
      </c>
      <c r="AZ263" s="1199">
        <f t="shared" si="53"/>
        <v>10578000</v>
      </c>
    </row>
    <row r="264" spans="42:54" ht="17.25" thickBot="1">
      <c r="AP264" s="1570" t="s">
        <v>491</v>
      </c>
      <c r="AQ264" s="1571"/>
      <c r="AR264" s="1200">
        <f t="shared" ref="AR264:AZ264" si="54">AR61+AR263</f>
        <v>15378060</v>
      </c>
      <c r="AS264" s="1200">
        <f t="shared" si="54"/>
        <v>0</v>
      </c>
      <c r="AT264" s="1201">
        <f t="shared" si="54"/>
        <v>15378000</v>
      </c>
      <c r="AU264" s="1202">
        <f t="shared" si="54"/>
        <v>0</v>
      </c>
      <c r="AV264" s="1202">
        <f t="shared" si="54"/>
        <v>1281501</v>
      </c>
      <c r="AW264" s="1202">
        <f t="shared" si="54"/>
        <v>1809220</v>
      </c>
      <c r="AX264" s="1201">
        <f t="shared" si="54"/>
        <v>18468721</v>
      </c>
      <c r="AY264" s="1199">
        <f t="shared" si="54"/>
        <v>15197540</v>
      </c>
      <c r="AZ264" s="1199">
        <f t="shared" si="54"/>
        <v>15378000</v>
      </c>
    </row>
  </sheetData>
  <mergeCells count="249">
    <mergeCell ref="AA92:AB92"/>
    <mergeCell ref="AE89:AF89"/>
    <mergeCell ref="AC87:AD87"/>
    <mergeCell ref="AE88:AF88"/>
    <mergeCell ref="AE90:AF90"/>
    <mergeCell ref="AE91:AF91"/>
    <mergeCell ref="BC43:BG44"/>
    <mergeCell ref="BD46:BG46"/>
    <mergeCell ref="BE49:BG49"/>
    <mergeCell ref="BD51:BG51"/>
    <mergeCell ref="BE54:BG54"/>
    <mergeCell ref="BD47:BD48"/>
    <mergeCell ref="AI64:AJ64"/>
    <mergeCell ref="AI65:AJ65"/>
    <mergeCell ref="AI66:AJ66"/>
    <mergeCell ref="AI67:AJ67"/>
    <mergeCell ref="AI57:AJ57"/>
    <mergeCell ref="AI52:AJ52"/>
    <mergeCell ref="AE87:AF87"/>
    <mergeCell ref="BD73:BF73"/>
    <mergeCell ref="AI46:AJ46"/>
    <mergeCell ref="AI50:AJ50"/>
    <mergeCell ref="AI47:AJ47"/>
    <mergeCell ref="AI48:AJ48"/>
    <mergeCell ref="AP263:AQ263"/>
    <mergeCell ref="AP264:AQ264"/>
    <mergeCell ref="AP1:AQ1"/>
    <mergeCell ref="AQ2:AS2"/>
    <mergeCell ref="AT2:AX2"/>
    <mergeCell ref="AQ3:AS3"/>
    <mergeCell ref="AQ4:AS4"/>
    <mergeCell ref="AP5:AQ5"/>
    <mergeCell ref="AR5:AS5"/>
    <mergeCell ref="AT5:AX5"/>
    <mergeCell ref="AP6:AQ6"/>
    <mergeCell ref="AR6:AS6"/>
    <mergeCell ref="AP7:AQ7"/>
    <mergeCell ref="AR7:AS7"/>
    <mergeCell ref="AP8:AX9"/>
    <mergeCell ref="Y91:Z91"/>
    <mergeCell ref="AP61:AQ61"/>
    <mergeCell ref="AA87:AB87"/>
    <mergeCell ref="AA88:AB88"/>
    <mergeCell ref="AC88:AD88"/>
    <mergeCell ref="AA91:AB91"/>
    <mergeCell ref="AI30:AJ30"/>
    <mergeCell ref="AI31:AJ31"/>
    <mergeCell ref="AI32:AJ32"/>
    <mergeCell ref="AI33:AJ33"/>
    <mergeCell ref="AH34:AJ34"/>
    <mergeCell ref="AI49:AJ49"/>
    <mergeCell ref="AI43:AJ43"/>
    <mergeCell ref="AI35:AJ35"/>
    <mergeCell ref="AI36:AJ36"/>
    <mergeCell ref="AI37:AJ37"/>
    <mergeCell ref="AI69:AJ69"/>
    <mergeCell ref="AI72:AJ72"/>
    <mergeCell ref="AI70:AJ70"/>
    <mergeCell ref="AI71:AJ71"/>
    <mergeCell ref="AI73:AJ73"/>
    <mergeCell ref="AI74:AJ74"/>
    <mergeCell ref="AI42:AJ42"/>
    <mergeCell ref="AI53:AJ53"/>
    <mergeCell ref="AM11:AN11"/>
    <mergeCell ref="AM12:AN12"/>
    <mergeCell ref="AI28:AJ28"/>
    <mergeCell ref="AI29:AJ29"/>
    <mergeCell ref="AI26:AJ26"/>
    <mergeCell ref="AI12:AJ12"/>
    <mergeCell ref="AH25:AJ25"/>
    <mergeCell ref="AI13:AJ13"/>
    <mergeCell ref="AI14:AJ14"/>
    <mergeCell ref="AM13:AN13"/>
    <mergeCell ref="AM14:AN14"/>
    <mergeCell ref="AM15:AN15"/>
    <mergeCell ref="AI15:AJ15"/>
    <mergeCell ref="AH16:AJ16"/>
    <mergeCell ref="AI10:AJ10"/>
    <mergeCell ref="AI11:AJ11"/>
    <mergeCell ref="AI8:AJ8"/>
    <mergeCell ref="X3:AF3"/>
    <mergeCell ref="AI27:AJ27"/>
    <mergeCell ref="AI44:AJ44"/>
    <mergeCell ref="AI45:AJ45"/>
    <mergeCell ref="X33:AF33"/>
    <mergeCell ref="AE16:AF16"/>
    <mergeCell ref="AB20:AC20"/>
    <mergeCell ref="AI38:AJ38"/>
    <mergeCell ref="AI39:AJ39"/>
    <mergeCell ref="AI40:AJ40"/>
    <mergeCell ref="AI41:AJ41"/>
    <mergeCell ref="Z23:AF23"/>
    <mergeCell ref="Y22:Z22"/>
    <mergeCell ref="AB22:AC22"/>
    <mergeCell ref="AE22:AF22"/>
    <mergeCell ref="Z42:AA42"/>
    <mergeCell ref="Y14:Z14"/>
    <mergeCell ref="Y13:Z13"/>
    <mergeCell ref="AE17:AF17"/>
    <mergeCell ref="AE18:AF18"/>
    <mergeCell ref="AA19:AC19"/>
    <mergeCell ref="Y17:Z17"/>
    <mergeCell ref="X15:Z15"/>
    <mergeCell ref="AA15:AC15"/>
    <mergeCell ref="AD15:AF15"/>
    <mergeCell ref="Y12:Z12"/>
    <mergeCell ref="AA11:AD11"/>
    <mergeCell ref="X11:Z11"/>
    <mergeCell ref="AB21:AC21"/>
    <mergeCell ref="AE20:AF20"/>
    <mergeCell ref="AE21:AF21"/>
    <mergeCell ref="Y20:Z20"/>
    <mergeCell ref="AD19:AF19"/>
    <mergeCell ref="AB17:AC17"/>
    <mergeCell ref="AB18:AC18"/>
    <mergeCell ref="Y18:Z18"/>
    <mergeCell ref="AM9:AN9"/>
    <mergeCell ref="AM10:AN10"/>
    <mergeCell ref="AB1:AC1"/>
    <mergeCell ref="Y7:Z7"/>
    <mergeCell ref="Y1:Z1"/>
    <mergeCell ref="Y2:Z2"/>
    <mergeCell ref="AD6:AE6"/>
    <mergeCell ref="AB2:AC2"/>
    <mergeCell ref="AA9:AB9"/>
    <mergeCell ref="AC9:AE9"/>
    <mergeCell ref="AL6:AN6"/>
    <mergeCell ref="AM7:AN7"/>
    <mergeCell ref="AI2:AJ2"/>
    <mergeCell ref="AA7:AC7"/>
    <mergeCell ref="Y6:Z6"/>
    <mergeCell ref="AA6:AB6"/>
    <mergeCell ref="AA10:AB10"/>
    <mergeCell ref="AC10:AE10"/>
    <mergeCell ref="AM8:AN8"/>
    <mergeCell ref="AD7:AE7"/>
    <mergeCell ref="AI1:AJ1"/>
    <mergeCell ref="AH6:AJ6"/>
    <mergeCell ref="AI7:AJ7"/>
    <mergeCell ref="AI9:AJ9"/>
    <mergeCell ref="A138:F138"/>
    <mergeCell ref="A139:F139"/>
    <mergeCell ref="J1:J2"/>
    <mergeCell ref="K1:K2"/>
    <mergeCell ref="L1:L2"/>
    <mergeCell ref="A1:A2"/>
    <mergeCell ref="B1:D1"/>
    <mergeCell ref="G1:G2"/>
    <mergeCell ref="E1:F2"/>
    <mergeCell ref="H1:H2"/>
    <mergeCell ref="I1:I2"/>
    <mergeCell ref="A41:F41"/>
    <mergeCell ref="O66:V66"/>
    <mergeCell ref="Y16:Z16"/>
    <mergeCell ref="AB16:AC16"/>
    <mergeCell ref="V1:V2"/>
    <mergeCell ref="X19:Z19"/>
    <mergeCell ref="O3:V3"/>
    <mergeCell ref="Q1:Q2"/>
    <mergeCell ref="AC95:AD95"/>
    <mergeCell ref="AE95:AF95"/>
    <mergeCell ref="R1:R2"/>
    <mergeCell ref="S1:S2"/>
    <mergeCell ref="T1:T2"/>
    <mergeCell ref="U1:U2"/>
    <mergeCell ref="O1:O2"/>
    <mergeCell ref="P1:P2"/>
    <mergeCell ref="AE1:AF1"/>
    <mergeCell ref="Y21:Z21"/>
    <mergeCell ref="Y92:Z92"/>
    <mergeCell ref="AC92:AD92"/>
    <mergeCell ref="AC89:AD89"/>
    <mergeCell ref="AC91:AD91"/>
    <mergeCell ref="Y89:Z89"/>
    <mergeCell ref="AA89:AB89"/>
    <mergeCell ref="Y88:Z88"/>
    <mergeCell ref="AE100:AF100"/>
    <mergeCell ref="AA101:AB101"/>
    <mergeCell ref="AA102:AB102"/>
    <mergeCell ref="AC101:AD101"/>
    <mergeCell ref="AC102:AD102"/>
    <mergeCell ref="AE101:AF101"/>
    <mergeCell ref="AE102:AF102"/>
    <mergeCell ref="Y101:Z101"/>
    <mergeCell ref="Y102:Z102"/>
    <mergeCell ref="Y100:Z100"/>
    <mergeCell ref="AA100:AB100"/>
    <mergeCell ref="AC100:AD100"/>
    <mergeCell ref="AI51:AJ51"/>
    <mergeCell ref="AI55:AJ55"/>
    <mergeCell ref="AI56:AJ56"/>
    <mergeCell ref="AI58:AJ58"/>
    <mergeCell ref="AI59:AJ59"/>
    <mergeCell ref="AI60:AJ60"/>
    <mergeCell ref="AI68:AJ68"/>
    <mergeCell ref="AI54:AJ54"/>
    <mergeCell ref="AI61:AJ61"/>
    <mergeCell ref="AI62:AJ62"/>
    <mergeCell ref="AI63:AJ63"/>
    <mergeCell ref="AA97:AB97"/>
    <mergeCell ref="AC97:AD97"/>
    <mergeCell ref="AE97:AF97"/>
    <mergeCell ref="Y99:Z99"/>
    <mergeCell ref="Y95:Z95"/>
    <mergeCell ref="Y96:Z96"/>
    <mergeCell ref="Y97:Z97"/>
    <mergeCell ref="AA95:AB95"/>
    <mergeCell ref="AA94:AB94"/>
    <mergeCell ref="AC94:AD94"/>
    <mergeCell ref="AE94:AF94"/>
    <mergeCell ref="Y94:Z94"/>
    <mergeCell ref="AA99:AB99"/>
    <mergeCell ref="AC99:AD99"/>
    <mergeCell ref="AE99:AF99"/>
    <mergeCell ref="AI90:AJ90"/>
    <mergeCell ref="AD79:AF79"/>
    <mergeCell ref="X79:Z79"/>
    <mergeCell ref="Y81:Z81"/>
    <mergeCell ref="Y82:Z82"/>
    <mergeCell ref="Y84:Z84"/>
    <mergeCell ref="Y85:Z85"/>
    <mergeCell ref="AA96:AB96"/>
    <mergeCell ref="AC96:AD96"/>
    <mergeCell ref="AE96:AF96"/>
    <mergeCell ref="Y93:Z93"/>
    <mergeCell ref="AA93:AB93"/>
    <mergeCell ref="Y90:Z90"/>
    <mergeCell ref="AA90:AB90"/>
    <mergeCell ref="AI85:AJ85"/>
    <mergeCell ref="AI86:AJ86"/>
    <mergeCell ref="AI87:AJ87"/>
    <mergeCell ref="AI88:AJ88"/>
    <mergeCell ref="AI89:AJ89"/>
    <mergeCell ref="AC93:AD93"/>
    <mergeCell ref="AE93:AF93"/>
    <mergeCell ref="AE92:AF92"/>
    <mergeCell ref="AC90:AD90"/>
    <mergeCell ref="Y87:Z87"/>
    <mergeCell ref="X72:AC73"/>
    <mergeCell ref="AI77:AJ77"/>
    <mergeCell ref="AI78:AJ78"/>
    <mergeCell ref="AI79:AJ79"/>
    <mergeCell ref="AI80:AJ80"/>
    <mergeCell ref="AI81:AJ81"/>
    <mergeCell ref="AI82:AJ82"/>
    <mergeCell ref="AH84:AJ84"/>
    <mergeCell ref="AH76:AJ76"/>
    <mergeCell ref="AI83:AJ83"/>
    <mergeCell ref="AI75:AJ75"/>
  </mergeCells>
  <phoneticPr fontId="1" type="noConversion"/>
  <conditionalFormatting sqref="F79:F80">
    <cfRule type="uniqueValues" dxfId="122" priority="172"/>
  </conditionalFormatting>
  <conditionalFormatting sqref="L3:L80 L138">
    <cfRule type="expression" dxfId="121" priority="170">
      <formula>L3&gt;SUM(H3:J3)</formula>
    </cfRule>
  </conditionalFormatting>
  <conditionalFormatting sqref="L81:L110">
    <cfRule type="expression" dxfId="120" priority="168">
      <formula>L81&gt;SUM(H81:J81)</formula>
    </cfRule>
  </conditionalFormatting>
  <conditionalFormatting sqref="L111:L137">
    <cfRule type="expression" dxfId="119" priority="169">
      <formula>L111&gt;SUM(H111:J111)</formula>
    </cfRule>
  </conditionalFormatting>
  <conditionalFormatting sqref="S98:S99">
    <cfRule type="uniqueValues" dxfId="118" priority="430"/>
  </conditionalFormatting>
  <conditionalFormatting sqref="U4:U28 U30">
    <cfRule type="cellIs" dxfId="117" priority="202" operator="greaterThan">
      <formula>0</formula>
    </cfRule>
  </conditionalFormatting>
  <conditionalFormatting sqref="Y12">
    <cfRule type="expression" dxfId="114" priority="429">
      <formula>$Y$12&lt;VLOOKUP($AB$2,AH$17:AJ$23,2,FALSE)</formula>
    </cfRule>
    <cfRule type="expression" dxfId="113" priority="428">
      <formula>$Y$12&gt;=VLOOKUP($AB$2,AH$17:AJ$23,2,FALSE)</formula>
    </cfRule>
  </conditionalFormatting>
  <conditionalFormatting sqref="Y18">
    <cfRule type="cellIs" dxfId="112" priority="259" operator="notEqual">
      <formula>0</formula>
    </cfRule>
    <cfRule type="cellIs" dxfId="111" priority="258" operator="equal">
      <formula>0</formula>
    </cfRule>
  </conditionalFormatting>
  <conditionalFormatting sqref="Y34:Y35">
    <cfRule type="cellIs" dxfId="110" priority="27" operator="lessThan">
      <formula>0</formula>
    </cfRule>
  </conditionalFormatting>
  <conditionalFormatting sqref="Y42:Y43">
    <cfRule type="cellIs" dxfId="109" priority="102" operator="lessThan">
      <formula>0</formula>
    </cfRule>
  </conditionalFormatting>
  <conditionalFormatting sqref="Y50:Y51">
    <cfRule type="cellIs" dxfId="108" priority="99" operator="lessThan">
      <formula>0</formula>
    </cfRule>
  </conditionalFormatting>
  <conditionalFormatting sqref="Y61:Y62">
    <cfRule type="cellIs" dxfId="107" priority="53" operator="lessThan">
      <formula>0</formula>
    </cfRule>
  </conditionalFormatting>
  <conditionalFormatting sqref="Y74:Y75">
    <cfRule type="cellIs" dxfId="106" priority="66" operator="lessThan">
      <formula>0</formula>
    </cfRule>
  </conditionalFormatting>
  <conditionalFormatting sqref="Y80:Y85">
    <cfRule type="cellIs" dxfId="105" priority="46" operator="lessThan">
      <formula>0</formula>
    </cfRule>
  </conditionalFormatting>
  <conditionalFormatting sqref="AA24:AA25">
    <cfRule type="cellIs" dxfId="102" priority="93" operator="lessThan">
      <formula>0</formula>
    </cfRule>
  </conditionalFormatting>
  <conditionalFormatting sqref="AA28:AA29">
    <cfRule type="cellIs" dxfId="101" priority="76" operator="lessThan">
      <formula>0</formula>
    </cfRule>
  </conditionalFormatting>
  <conditionalFormatting sqref="AA34:AA35">
    <cfRule type="cellIs" dxfId="100" priority="24" operator="lessThan">
      <formula>0</formula>
    </cfRule>
  </conditionalFormatting>
  <conditionalFormatting sqref="AA43:AA44">
    <cfRule type="cellIs" dxfId="99" priority="98" operator="lessThan">
      <formula>0</formula>
    </cfRule>
  </conditionalFormatting>
  <conditionalFormatting sqref="AA74:AA75">
    <cfRule type="cellIs" dxfId="98" priority="82" operator="lessThan">
      <formula>0</formula>
    </cfRule>
  </conditionalFormatting>
  <conditionalFormatting sqref="AB18">
    <cfRule type="cellIs" dxfId="96" priority="256" operator="equal">
      <formula>0</formula>
    </cfRule>
    <cfRule type="cellIs" dxfId="95" priority="257" operator="notEqual">
      <formula>0</formula>
    </cfRule>
  </conditionalFormatting>
  <conditionalFormatting sqref="AC24:AC25">
    <cfRule type="cellIs" dxfId="93" priority="77" operator="lessThan">
      <formula>0</formula>
    </cfRule>
  </conditionalFormatting>
  <conditionalFormatting sqref="AC28:AC29">
    <cfRule type="cellIs" dxfId="92" priority="74" operator="lessThan">
      <formula>0</formula>
    </cfRule>
  </conditionalFormatting>
  <conditionalFormatting sqref="AC34:AC35">
    <cfRule type="cellIs" dxfId="91" priority="22" operator="lessThan">
      <formula>0</formula>
    </cfRule>
  </conditionalFormatting>
  <conditionalFormatting sqref="AC42:AC44">
    <cfRule type="cellIs" dxfId="90" priority="90" operator="lessThan">
      <formula>0</formula>
    </cfRule>
  </conditionalFormatting>
  <conditionalFormatting sqref="AC50:AC51">
    <cfRule type="cellIs" dxfId="89" priority="55" operator="lessThan">
      <formula>0</formula>
    </cfRule>
  </conditionalFormatting>
  <conditionalFormatting sqref="AC61:AC62">
    <cfRule type="cellIs" dxfId="88" priority="51" operator="lessThan">
      <formula>0</formula>
    </cfRule>
  </conditionalFormatting>
  <conditionalFormatting sqref="AC74:AC75">
    <cfRule type="cellIs" dxfId="87" priority="80" operator="lessThan">
      <formula>0</formula>
    </cfRule>
  </conditionalFormatting>
  <conditionalFormatting sqref="AC88:AC97">
    <cfRule type="cellIs" dxfId="86" priority="65" operator="notEqual">
      <formula>0</formula>
    </cfRule>
    <cfRule type="cellIs" dxfId="85" priority="64" operator="equal">
      <formula>0</formula>
    </cfRule>
  </conditionalFormatting>
  <conditionalFormatting sqref="AC100 AE100">
    <cfRule type="cellIs" dxfId="84" priority="63" operator="notEqual">
      <formula>0</formula>
    </cfRule>
    <cfRule type="cellIs" dxfId="83" priority="62" operator="equal">
      <formula>0</formula>
    </cfRule>
  </conditionalFormatting>
  <conditionalFormatting sqref="AE12">
    <cfRule type="expression" dxfId="80" priority="180">
      <formula>AND($AF$2=TRUE,$H$49&lt;$L$49)</formula>
    </cfRule>
    <cfRule type="expression" dxfId="79" priority="181">
      <formula>AND($AF$2=TRUE,$H$49&gt;=$L$49)</formula>
    </cfRule>
  </conditionalFormatting>
  <conditionalFormatting sqref="AE14">
    <cfRule type="expression" dxfId="78" priority="198">
      <formula>AND($AF$2=TRUE,$H$51&lt;$L$51)</formula>
    </cfRule>
    <cfRule type="expression" dxfId="77" priority="199">
      <formula>AND($AF$2=TRUE,$H$51&gt;=$L$51)</formula>
    </cfRule>
  </conditionalFormatting>
  <conditionalFormatting sqref="AE18">
    <cfRule type="cellIs" dxfId="76" priority="254" operator="equal">
      <formula>0</formula>
    </cfRule>
    <cfRule type="cellIs" dxfId="75" priority="255" operator="notEqual">
      <formula>0</formula>
    </cfRule>
  </conditionalFormatting>
  <conditionalFormatting sqref="AE24:AE25">
    <cfRule type="cellIs" dxfId="74" priority="73" operator="lessThan">
      <formula>0</formula>
    </cfRule>
  </conditionalFormatting>
  <conditionalFormatting sqref="AE34:AE35">
    <cfRule type="cellIs" dxfId="73" priority="33" operator="lessThan">
      <formula>0</formula>
    </cfRule>
  </conditionalFormatting>
  <conditionalFormatting sqref="AE42:AE43">
    <cfRule type="cellIs" dxfId="72" priority="96" operator="lessThan">
      <formula>0</formula>
    </cfRule>
  </conditionalFormatting>
  <conditionalFormatting sqref="AE50:AE51">
    <cfRule type="cellIs" dxfId="71" priority="54" operator="lessThan">
      <formula>0</formula>
    </cfRule>
  </conditionalFormatting>
  <conditionalFormatting sqref="AE61:AE62">
    <cfRule type="cellIs" dxfId="70" priority="56" operator="lessThan">
      <formula>0</formula>
    </cfRule>
  </conditionalFormatting>
  <conditionalFormatting sqref="AE72:AE73">
    <cfRule type="cellIs" dxfId="69" priority="1" operator="lessThan">
      <formula>0</formula>
    </cfRule>
  </conditionalFormatting>
  <conditionalFormatting sqref="AE80:AE81">
    <cfRule type="cellIs" dxfId="68" priority="70" operator="lessThan">
      <formula>0</formula>
    </cfRule>
  </conditionalFormatting>
  <conditionalFormatting sqref="AE83:AE84">
    <cfRule type="cellIs" dxfId="67" priority="67" operator="lessThan">
      <formula>0</formula>
    </cfRule>
  </conditionalFormatting>
  <conditionalFormatting sqref="AF2">
    <cfRule type="expression" dxfId="66" priority="194">
      <formula>AND($AF$2=FALSE,$AE$2="추경")</formula>
    </cfRule>
  </conditionalFormatting>
  <conditionalFormatting sqref="AF12">
    <cfRule type="expression" dxfId="64" priority="179">
      <formula>AND($AF$2=TRUE,$H$48&gt;=$L$48)</formula>
    </cfRule>
    <cfRule type="expression" dxfId="63" priority="178">
      <formula>AND($AF$2=TRUE,$H$48&lt;$L$48)</formula>
    </cfRule>
  </conditionalFormatting>
  <conditionalFormatting sqref="AF14">
    <cfRule type="expression" dxfId="62" priority="200">
      <formula>AND($AF$2=TRUE,$H$50&lt;$L$50)</formula>
    </cfRule>
    <cfRule type="expression" dxfId="61" priority="201">
      <formula>AND($AF$2=TRUE,$H$50&gt;=$L$50)</formula>
    </cfRule>
  </conditionalFormatting>
  <conditionalFormatting sqref="AF80">
    <cfRule type="cellIs" dxfId="60" priority="79" operator="lessThan">
      <formula>0</formula>
    </cfRule>
  </conditionalFormatting>
  <conditionalFormatting sqref="AF83">
    <cfRule type="cellIs" dxfId="59" priority="78" operator="lessThan">
      <formula>0</formula>
    </cfRule>
  </conditionalFormatting>
  <conditionalFormatting sqref="AI26:AI33">
    <cfRule type="cellIs" dxfId="58" priority="251" operator="lessThan">
      <formula>0</formula>
    </cfRule>
  </conditionalFormatting>
  <conditionalFormatting sqref="AI35:AI75 AI77:AI83 G139:K139">
    <cfRule type="cellIs" dxfId="57" priority="171" operator="lessThan">
      <formula>0</formula>
    </cfRule>
  </conditionalFormatting>
  <conditionalFormatting sqref="AI85:AI90">
    <cfRule type="cellIs" dxfId="56" priority="280" operator="lessThan">
      <formula>0</formula>
    </cfRule>
  </conditionalFormatting>
  <conditionalFormatting sqref="AM1:AM2">
    <cfRule type="containsText" dxfId="55" priority="173" operator="containsText" text="true">
      <formula>NOT(ISERROR(SEARCH("true",AM1)))</formula>
    </cfRule>
    <cfRule type="containsText" dxfId="54" priority="174" operator="containsText" text="false">
      <formula>NOT(ISERROR(SEARCH("false",AM1)))</formula>
    </cfRule>
  </conditionalFormatting>
  <conditionalFormatting sqref="AR5:AS5">
    <cfRule type="expression" dxfId="53" priority="5">
      <formula>$Y$12&gt;=VLOOKUP($AB$2,AH$17:AJ$23,2,FALSE)</formula>
    </cfRule>
    <cfRule type="expression" dxfId="52" priority="4">
      <formula>$Y$12&lt;VLOOKUP($AB$2,AH$17:AJ$23,2,FALSE)</formula>
    </cfRule>
  </conditionalFormatting>
  <conditionalFormatting sqref="BD73">
    <cfRule type="expression" dxfId="51" priority="455">
      <formula>$Y$12&lt;VLOOKUP($AB$2,AU$17:AW$23,2,FALSE)</formula>
    </cfRule>
    <cfRule type="expression" dxfId="50" priority="456">
      <formula>$Y$12&gt;=VLOOKUP($AB$2,AU$17:AW$23,2,FALSE)</formula>
    </cfRule>
  </conditionalFormatting>
  <pageMargins left="0.7" right="0.7" top="0.75" bottom="0.75" header="0.3" footer="0.3"/>
  <pageSetup paperSize="9" orientation="portrait" verticalDpi="0" r:id="rId1"/>
  <ignoredErrors>
    <ignoredError sqref="T56 T59 T122 T129 L33 L39 T51 P9:P17 L103 L73" formula="1"/>
    <ignoredError sqref="U67:U72 U74:U76 U130:U155 O25:O26 AE20:AF22 AD1 AF10 O7:O22 V8:V24 O23:O24 Z25:AF31 AD2 X37:AF43 X45:AF45 X44:AA44 AC44:AF44 X35:AD35 AF35 X70:AF71 Y66:AF66 X36:AD36 AF36 Y67:AF69 X65:X69 X57:AF62 X56:Y56 AA56:AF56 X54:AF55 X52:Y52 AB52:AF52 X53:Y53 AB53:AF53 AB65:AF65 X74:AC77 U121:U128 AD76:AE78 Y80:Z85 X81:X85 AD81:AF85 T28:T30 AI17:AI23 T4:T6 U92:U119 X64 X63 AD63 AD64 AA63:AB63 AA64:AB64 Z64 Z63 Y65 Y64 Z65 Y63 AC63:AC64 X47:AF51 X46:Z46 AB46:AF46 AF64 AF63" unlockedFormula="1"/>
    <ignoredError sqref="U129 AB44" formula="1" unlockedFormula="1"/>
    <ignoredError sqref="E3:E40 E42:E13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159" r:id="rId4" name="Check Box 87">
              <controlPr defaultSize="0" autoFill="0" autoLine="0" autoPict="0">
                <anchor moveWithCells="1">
                  <from>
                    <xdr:col>27</xdr:col>
                    <xdr:colOff>400050</xdr:colOff>
                    <xdr:row>4</xdr:row>
                    <xdr:rowOff>9525</xdr:rowOff>
                  </from>
                  <to>
                    <xdr:col>27</xdr:col>
                    <xdr:colOff>990600</xdr:colOff>
                    <xdr:row>4</xdr:row>
                    <xdr:rowOff>200025</xdr:rowOff>
                  </to>
                </anchor>
              </controlPr>
            </control>
          </mc:Choice>
        </mc:AlternateContent>
        <mc:AlternateContent xmlns:mc="http://schemas.openxmlformats.org/markup-compatibility/2006">
          <mc:Choice Requires="x14">
            <control shapeId="3160" r:id="rId5" name="Check Box 88">
              <controlPr defaultSize="0" autoFill="0" autoLine="0" autoPict="0">
                <anchor moveWithCells="1">
                  <from>
                    <xdr:col>28</xdr:col>
                    <xdr:colOff>400050</xdr:colOff>
                    <xdr:row>4</xdr:row>
                    <xdr:rowOff>9525</xdr:rowOff>
                  </from>
                  <to>
                    <xdr:col>28</xdr:col>
                    <xdr:colOff>990600</xdr:colOff>
                    <xdr:row>4</xdr:row>
                    <xdr:rowOff>200025</xdr:rowOff>
                  </to>
                </anchor>
              </controlPr>
            </control>
          </mc:Choice>
        </mc:AlternateContent>
        <mc:AlternateContent xmlns:mc="http://schemas.openxmlformats.org/markup-compatibility/2006">
          <mc:Choice Requires="x14">
            <control shapeId="3161" r:id="rId6" name="Check Box 89">
              <controlPr defaultSize="0" autoFill="0" autoLine="0" autoPict="0">
                <anchor moveWithCells="1">
                  <from>
                    <xdr:col>29</xdr:col>
                    <xdr:colOff>400050</xdr:colOff>
                    <xdr:row>4</xdr:row>
                    <xdr:rowOff>9525</xdr:rowOff>
                  </from>
                  <to>
                    <xdr:col>30</xdr:col>
                    <xdr:colOff>19050</xdr:colOff>
                    <xdr:row>4</xdr:row>
                    <xdr:rowOff>200025</xdr:rowOff>
                  </to>
                </anchor>
              </controlPr>
            </control>
          </mc:Choice>
        </mc:AlternateContent>
        <mc:AlternateContent xmlns:mc="http://schemas.openxmlformats.org/markup-compatibility/2006">
          <mc:Choice Requires="x14">
            <control shapeId="3162" r:id="rId7" name="Check Box 90">
              <controlPr defaultSize="0" autoFill="0" autoLine="0" autoPict="0">
                <anchor moveWithCells="1">
                  <from>
                    <xdr:col>30</xdr:col>
                    <xdr:colOff>400050</xdr:colOff>
                    <xdr:row>4</xdr:row>
                    <xdr:rowOff>9525</xdr:rowOff>
                  </from>
                  <to>
                    <xdr:col>31</xdr:col>
                    <xdr:colOff>19050</xdr:colOff>
                    <xdr:row>4</xdr:row>
                    <xdr:rowOff>200025</xdr:rowOff>
                  </to>
                </anchor>
              </controlPr>
            </control>
          </mc:Choice>
        </mc:AlternateContent>
        <mc:AlternateContent xmlns:mc="http://schemas.openxmlformats.org/markup-compatibility/2006">
          <mc:Choice Requires="x14">
            <control shapeId="3163" r:id="rId8" name="Check Box 91">
              <controlPr defaultSize="0" autoFill="0" autoLine="0" autoPict="0">
                <anchor moveWithCells="1">
                  <from>
                    <xdr:col>24</xdr:col>
                    <xdr:colOff>400050</xdr:colOff>
                    <xdr:row>4</xdr:row>
                    <xdr:rowOff>9525</xdr:rowOff>
                  </from>
                  <to>
                    <xdr:col>24</xdr:col>
                    <xdr:colOff>990600</xdr:colOff>
                    <xdr:row>4</xdr:row>
                    <xdr:rowOff>209550</xdr:rowOff>
                  </to>
                </anchor>
              </controlPr>
            </control>
          </mc:Choice>
        </mc:AlternateContent>
        <mc:AlternateContent xmlns:mc="http://schemas.openxmlformats.org/markup-compatibility/2006">
          <mc:Choice Requires="x14">
            <control shapeId="3164" r:id="rId9" name="Check Box 92">
              <controlPr defaultSize="0" autoFill="0" autoLine="0" autoPict="0">
                <anchor moveWithCells="1">
                  <from>
                    <xdr:col>25</xdr:col>
                    <xdr:colOff>400050</xdr:colOff>
                    <xdr:row>4</xdr:row>
                    <xdr:rowOff>9525</xdr:rowOff>
                  </from>
                  <to>
                    <xdr:col>25</xdr:col>
                    <xdr:colOff>990600</xdr:colOff>
                    <xdr:row>4</xdr:row>
                    <xdr:rowOff>209550</xdr:rowOff>
                  </to>
                </anchor>
              </controlPr>
            </control>
          </mc:Choice>
        </mc:AlternateContent>
        <mc:AlternateContent xmlns:mc="http://schemas.openxmlformats.org/markup-compatibility/2006">
          <mc:Choice Requires="x14">
            <control shapeId="3165" r:id="rId10" name="Check Box 93">
              <controlPr defaultSize="0" autoFill="0" autoLine="0" autoPict="0">
                <anchor moveWithCells="1">
                  <from>
                    <xdr:col>26</xdr:col>
                    <xdr:colOff>400050</xdr:colOff>
                    <xdr:row>4</xdr:row>
                    <xdr:rowOff>9525</xdr:rowOff>
                  </from>
                  <to>
                    <xdr:col>26</xdr:col>
                    <xdr:colOff>990600</xdr:colOff>
                    <xdr:row>4</xdr:row>
                    <xdr:rowOff>209550</xdr:rowOff>
                  </to>
                </anchor>
              </controlPr>
            </control>
          </mc:Choice>
        </mc:AlternateContent>
        <mc:AlternateContent xmlns:mc="http://schemas.openxmlformats.org/markup-compatibility/2006">
          <mc:Choice Requires="x14">
            <control shapeId="3166" r:id="rId11" name="Check Box 94">
              <controlPr defaultSize="0" autoFill="0" autoLine="0" autoPict="0" altText="">
                <anchor moveWithCells="1">
                  <from>
                    <xdr:col>23</xdr:col>
                    <xdr:colOff>476250</xdr:colOff>
                    <xdr:row>4</xdr:row>
                    <xdr:rowOff>9525</xdr:rowOff>
                  </from>
                  <to>
                    <xdr:col>23</xdr:col>
                    <xdr:colOff>1066800</xdr:colOff>
                    <xdr:row>4</xdr:row>
                    <xdr:rowOff>209550</xdr:rowOff>
                  </to>
                </anchor>
              </controlPr>
            </control>
          </mc:Choice>
        </mc:AlternateContent>
        <mc:AlternateContent xmlns:mc="http://schemas.openxmlformats.org/markup-compatibility/2006">
          <mc:Choice Requires="x14">
            <control shapeId="3167" r:id="rId12" name="Check Box 95">
              <controlPr defaultSize="0" autoFill="0" autoLine="0" autoPict="0">
                <anchor moveWithCells="1">
                  <from>
                    <xdr:col>31</xdr:col>
                    <xdr:colOff>400050</xdr:colOff>
                    <xdr:row>4</xdr:row>
                    <xdr:rowOff>9525</xdr:rowOff>
                  </from>
                  <to>
                    <xdr:col>32</xdr:col>
                    <xdr:colOff>19050</xdr:colOff>
                    <xdr:row>4</xdr:row>
                    <xdr:rowOff>209550</xdr:rowOff>
                  </to>
                </anchor>
              </controlPr>
            </control>
          </mc:Choice>
        </mc:AlternateContent>
        <mc:AlternateContent xmlns:mc="http://schemas.openxmlformats.org/markup-compatibility/2006">
          <mc:Choice Requires="x14">
            <control shapeId="3190" r:id="rId13" name="Check Box 118">
              <controlPr defaultSize="0" autoFill="0" autoLine="0" autoPict="0">
                <anchor moveWithCells="1">
                  <from>
                    <xdr:col>31</xdr:col>
                    <xdr:colOff>390525</xdr:colOff>
                    <xdr:row>0</xdr:row>
                    <xdr:rowOff>209550</xdr:rowOff>
                  </from>
                  <to>
                    <xdr:col>31</xdr:col>
                    <xdr:colOff>695325</xdr:colOff>
                    <xdr:row>1</xdr:row>
                    <xdr:rowOff>209550</xdr:rowOff>
                  </to>
                </anchor>
              </controlPr>
            </control>
          </mc:Choice>
        </mc:AlternateContent>
        <mc:AlternateContent xmlns:mc="http://schemas.openxmlformats.org/markup-compatibility/2006">
          <mc:Choice Requires="x14">
            <control shapeId="3302" r:id="rId14" name="Check Box 230">
              <controlPr defaultSize="0" autoFill="0" autoLine="0" autoPict="0">
                <anchor moveWithCells="1">
                  <from>
                    <xdr:col>38</xdr:col>
                    <xdr:colOff>352425</xdr:colOff>
                    <xdr:row>1</xdr:row>
                    <xdr:rowOff>0</xdr:rowOff>
                  </from>
                  <to>
                    <xdr:col>38</xdr:col>
                    <xdr:colOff>657225</xdr:colOff>
                    <xdr:row>2</xdr:row>
                    <xdr:rowOff>0</xdr:rowOff>
                  </to>
                </anchor>
              </controlPr>
            </control>
          </mc:Choice>
        </mc:AlternateContent>
        <mc:AlternateContent xmlns:mc="http://schemas.openxmlformats.org/markup-compatibility/2006">
          <mc:Choice Requires="x14">
            <control shapeId="3307" r:id="rId15" name="Check Box 235">
              <controlPr defaultSize="0" autoFill="0" autoLine="0" autoPict="0">
                <anchor moveWithCells="1">
                  <from>
                    <xdr:col>38</xdr:col>
                    <xdr:colOff>352425</xdr:colOff>
                    <xdr:row>0</xdr:row>
                    <xdr:rowOff>0</xdr:rowOff>
                  </from>
                  <to>
                    <xdr:col>38</xdr:col>
                    <xdr:colOff>657225</xdr:colOff>
                    <xdr:row>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3" id="{75B85FF9-87E6-4E50-9111-FDD2B42C45BB}">
            <xm:f>AND($X$5=FALSE,예산실적비교표!$E$2=$X$4)</xm:f>
            <x14:dxf>
              <font>
                <color rgb="FFC00000"/>
              </font>
              <fill>
                <patternFill>
                  <bgColor rgb="FFC00000"/>
                </patternFill>
              </fill>
            </x14:dxf>
          </x14:cfRule>
          <xm:sqref>X5</xm:sqref>
        </x14:conditionalFormatting>
        <x14:conditionalFormatting xmlns:xm="http://schemas.microsoft.com/office/excel/2006/main">
          <x14:cfRule type="expression" priority="192" id="{AC72F33C-57DD-4329-BD4D-0B3304379228}">
            <xm:f>AND($Y$5=FALSE,예산실적비교표!$E$2=$Y$4)</xm:f>
            <x14:dxf>
              <font>
                <color rgb="FFC00000"/>
              </font>
              <fill>
                <patternFill>
                  <bgColor rgb="FFC00000"/>
                </patternFill>
              </fill>
            </x14:dxf>
          </x14:cfRule>
          <xm:sqref>Y5</xm:sqref>
        </x14:conditionalFormatting>
        <x14:conditionalFormatting xmlns:xm="http://schemas.microsoft.com/office/excel/2006/main">
          <x14:cfRule type="expression" priority="191" id="{D8F34B90-7456-49BF-AFA0-67276ED2CC58}">
            <xm:f>AND($Z$5=FALSE,예산실적비교표!$E$2=$Z$4)</xm:f>
            <x14:dxf>
              <font>
                <color rgb="FFC00000"/>
              </font>
              <fill>
                <patternFill>
                  <bgColor rgb="FFC00000"/>
                </patternFill>
              </fill>
            </x14:dxf>
          </x14:cfRule>
          <xm:sqref>Z5</xm:sqref>
        </x14:conditionalFormatting>
        <x14:conditionalFormatting xmlns:xm="http://schemas.microsoft.com/office/excel/2006/main">
          <x14:cfRule type="expression" priority="190" id="{2BCB0D84-B7EC-4CAC-8324-64FD28E190EF}">
            <xm:f>AND($AA$5=FALSE,예산실적비교표!$E$2=$AA$4)</xm:f>
            <x14:dxf>
              <font>
                <color rgb="FFC00000"/>
              </font>
              <fill>
                <patternFill>
                  <bgColor rgb="FFC00000"/>
                </patternFill>
              </fill>
            </x14:dxf>
          </x14:cfRule>
          <xm:sqref>AA5</xm:sqref>
        </x14:conditionalFormatting>
        <x14:conditionalFormatting xmlns:xm="http://schemas.microsoft.com/office/excel/2006/main">
          <x14:cfRule type="expression" priority="189" id="{A2BCAB1F-AB92-4ABA-BDE3-D6F5CB4AB9EB}">
            <xm:f>AND($AB$5=FALSE,예산실적비교표!$E$2=$AB$4)</xm:f>
            <x14:dxf>
              <font>
                <color rgb="FFC00000"/>
              </font>
              <fill>
                <patternFill>
                  <bgColor rgb="FFC00000"/>
                </patternFill>
              </fill>
            </x14:dxf>
          </x14:cfRule>
          <xm:sqref>AB5</xm:sqref>
        </x14:conditionalFormatting>
        <x14:conditionalFormatting xmlns:xm="http://schemas.microsoft.com/office/excel/2006/main">
          <x14:cfRule type="expression" priority="188" id="{CE43BFD4-6501-4E69-9F77-FF88043FF6E6}">
            <xm:f>AND($AC$5=FALSE,예산실적비교표!$F$2=$AC$4)</xm:f>
            <x14:dxf>
              <font>
                <color rgb="FFC00000"/>
              </font>
              <fill>
                <patternFill>
                  <bgColor rgb="FFC00000"/>
                </patternFill>
              </fill>
            </x14:dxf>
          </x14:cfRule>
          <xm:sqref>AC5</xm:sqref>
        </x14:conditionalFormatting>
        <x14:conditionalFormatting xmlns:xm="http://schemas.microsoft.com/office/excel/2006/main">
          <x14:cfRule type="expression" priority="187" id="{3FDC12E0-9048-4CB9-9F64-9E925297CACE}">
            <xm:f>AND($AD$5=FALSE,예산실적비교표!$E$2=$AD$4)</xm:f>
            <x14:dxf>
              <font>
                <color rgb="FFC00000"/>
              </font>
              <fill>
                <patternFill>
                  <bgColor rgb="FFC00000"/>
                </patternFill>
              </fill>
            </x14:dxf>
          </x14:cfRule>
          <xm:sqref>AD5</xm:sqref>
        </x14:conditionalFormatting>
        <x14:conditionalFormatting xmlns:xm="http://schemas.microsoft.com/office/excel/2006/main">
          <x14:cfRule type="expression" priority="186" id="{CA1072D0-F70A-4328-86AD-3C32E58302F2}">
            <xm:f>AND($AE$5=FALSE,예산실적비교표!$E$2=$AE$4)</xm:f>
            <x14:dxf>
              <font>
                <color rgb="FFC00000"/>
              </font>
              <fill>
                <patternFill>
                  <bgColor rgb="FFC00000"/>
                </patternFill>
              </fill>
            </x14:dxf>
          </x14:cfRule>
          <xm:sqref>AE5</xm:sqref>
        </x14:conditionalFormatting>
        <x14:conditionalFormatting xmlns:xm="http://schemas.microsoft.com/office/excel/2006/main">
          <x14:cfRule type="expression" priority="185" id="{F00EE628-762A-420D-A264-7FBA2E547613}">
            <xm:f>AND($AF$5=FALSE,예산실적비교표!$E$2=$AF$4)</xm:f>
            <x14:dxf>
              <font>
                <color rgb="FFC00000"/>
              </font>
              <fill>
                <patternFill>
                  <bgColor rgb="FFC00000"/>
                </patternFill>
              </fill>
            </x14:dxf>
          </x14:cfRule>
          <xm:sqref>AF5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193E-8E65-4CD9-AA20-1C997879B908}">
  <sheetPr>
    <tabColor theme="4"/>
    <pageSetUpPr fitToPage="1"/>
  </sheetPr>
  <dimension ref="A1:AL184"/>
  <sheetViews>
    <sheetView view="pageBreakPreview" topLeftCell="B1" zoomScaleNormal="85" zoomScaleSheetLayoutView="100" workbookViewId="0">
      <selection sqref="A1:X1"/>
    </sheetView>
  </sheetViews>
  <sheetFormatPr defaultRowHeight="16.5"/>
  <cols>
    <col min="1" max="2" width="13.25" style="98" customWidth="1"/>
    <col min="3" max="4" width="13.625" style="98" customWidth="1"/>
    <col min="5" max="5" width="9.375" style="98" customWidth="1"/>
    <col min="6" max="6" width="3.125" style="146" customWidth="1"/>
    <col min="7" max="7" width="8.25" style="98" customWidth="1"/>
    <col min="8" max="10" width="9.625" style="98" customWidth="1"/>
    <col min="11" max="11" width="28.5" style="98" hidden="1" customWidth="1"/>
    <col min="12" max="12" width="26.625" style="98" customWidth="1"/>
    <col min="13" max="13" width="4.625" style="98" customWidth="1"/>
    <col min="14" max="14" width="11.875" style="98" customWidth="1"/>
    <col min="15" max="15" width="3.5" style="147" customWidth="1"/>
    <col min="16" max="16" width="7.625" style="98" customWidth="1"/>
    <col min="17" max="17" width="3.5" style="147" customWidth="1"/>
    <col min="18" max="18" width="5.75" style="98" customWidth="1"/>
    <col min="19" max="21" width="3.5" style="147" customWidth="1"/>
    <col min="22" max="25" width="14" style="98" customWidth="1"/>
    <col min="26" max="27" width="9.5" style="98" hidden="1" customWidth="1"/>
    <col min="28" max="28" width="25.75" style="98" hidden="1" customWidth="1"/>
    <col min="29" max="29" width="9" style="98" hidden="1" customWidth="1"/>
    <col min="30" max="30" width="10" style="98" hidden="1" customWidth="1"/>
    <col min="31" max="37" width="9" style="98" hidden="1" customWidth="1"/>
    <col min="38" max="38" width="12" style="98" hidden="1" customWidth="1"/>
  </cols>
  <sheetData>
    <row r="1" spans="1:38" ht="39">
      <c r="A1" s="1659" t="str">
        <f>IF(데이터입력!$AE$2="추경","세입 명세서 ("&amp;데이터입력!Y1&amp;"년도 추경"&amp;데이터입력!$AI$2&amp;"차)","세입 명세서 ("&amp;데이터입력!Y1&amp;"년도)")</f>
        <v>세입 명세서 (2023년도 추경2차)</v>
      </c>
      <c r="B1" s="1659"/>
      <c r="C1" s="1659"/>
      <c r="D1" s="1659"/>
      <c r="E1" s="1659"/>
      <c r="F1" s="1659"/>
      <c r="G1" s="1659"/>
      <c r="H1" s="1659"/>
      <c r="I1" s="1659"/>
      <c r="J1" s="1659"/>
      <c r="K1" s="1659"/>
      <c r="L1" s="1659"/>
      <c r="M1" s="1659"/>
      <c r="N1" s="1659"/>
      <c r="O1" s="1659"/>
      <c r="P1" s="1659"/>
      <c r="Q1" s="1659"/>
      <c r="R1" s="1659"/>
      <c r="S1" s="1659"/>
      <c r="T1" s="1659"/>
      <c r="U1" s="1659"/>
      <c r="V1" s="1659"/>
      <c r="W1" s="1659"/>
      <c r="X1" s="1659"/>
      <c r="Y1" s="262"/>
    </row>
    <row r="2" spans="1:38">
      <c r="A2" s="99" t="s">
        <v>377</v>
      </c>
      <c r="B2" s="100"/>
      <c r="C2" s="100"/>
      <c r="D2" s="100"/>
      <c r="E2" s="100"/>
      <c r="F2" s="100"/>
      <c r="G2" s="100"/>
      <c r="H2" s="101"/>
      <c r="I2" s="101"/>
      <c r="J2" s="101"/>
      <c r="K2" s="101"/>
      <c r="L2" s="101"/>
      <c r="M2" s="101"/>
      <c r="N2" s="101"/>
      <c r="O2" s="102"/>
      <c r="P2" s="101"/>
      <c r="Q2" s="102"/>
      <c r="R2" s="1676" t="s">
        <v>378</v>
      </c>
      <c r="S2" s="1676"/>
      <c r="T2" s="1676"/>
      <c r="U2" s="1676"/>
      <c r="V2" s="1676"/>
      <c r="W2" s="1676"/>
      <c r="X2" s="1676"/>
      <c r="Y2" s="1676"/>
    </row>
    <row r="3" spans="1:38">
      <c r="A3" s="103" t="s">
        <v>379</v>
      </c>
      <c r="B3" s="103" t="s">
        <v>380</v>
      </c>
      <c r="C3" s="103" t="s">
        <v>381</v>
      </c>
      <c r="D3" s="103" t="s">
        <v>1</v>
      </c>
      <c r="E3" s="103" t="s">
        <v>2</v>
      </c>
      <c r="F3" s="1672" t="s">
        <v>134</v>
      </c>
      <c r="G3" s="1673"/>
      <c r="H3" s="104" t="str">
        <f>IF(데이터입력!$AE$2="추경","본예산액","전년도예산")</f>
        <v>본예산액</v>
      </c>
      <c r="I3" s="104" t="str">
        <f>IF(데이터입력!$AE$2="추경","추경예산액","예산액")</f>
        <v>추경예산액</v>
      </c>
      <c r="J3" s="104" t="s">
        <v>296</v>
      </c>
      <c r="K3" s="255"/>
      <c r="L3" s="1674" t="s">
        <v>382</v>
      </c>
      <c r="M3" s="1675"/>
      <c r="N3" s="1675"/>
      <c r="O3" s="1675"/>
      <c r="P3" s="1675"/>
      <c r="Q3" s="1675"/>
      <c r="R3" s="1675"/>
      <c r="S3" s="1675"/>
      <c r="T3" s="1675"/>
      <c r="U3" s="1675"/>
      <c r="V3" s="105" t="s">
        <v>383</v>
      </c>
      <c r="W3" s="105" t="s">
        <v>384</v>
      </c>
      <c r="X3" s="105" t="s">
        <v>385</v>
      </c>
      <c r="Y3" s="105" t="s">
        <v>653</v>
      </c>
    </row>
    <row r="4" spans="1:38" ht="27">
      <c r="A4" s="320" t="s">
        <v>298</v>
      </c>
      <c r="B4" s="321" t="s">
        <v>4</v>
      </c>
      <c r="C4" s="304"/>
      <c r="D4" s="304"/>
      <c r="E4" s="304"/>
      <c r="F4" s="304"/>
      <c r="G4" s="304"/>
      <c r="H4" s="305">
        <f>SUM(H5,H27,H30,H33,H36)</f>
        <v>72578</v>
      </c>
      <c r="I4" s="305">
        <f>SUM(I5,I27,I30,I33,I36)</f>
        <v>71949</v>
      </c>
      <c r="J4" s="305">
        <f>SUM(J5,J27,J30,J33,J36)</f>
        <v>-629</v>
      </c>
      <c r="K4" s="305"/>
      <c r="L4" s="306"/>
      <c r="M4" s="306"/>
      <c r="N4" s="306"/>
      <c r="O4" s="306"/>
      <c r="P4" s="306"/>
      <c r="Q4" s="306"/>
      <c r="R4" s="306"/>
      <c r="S4" s="306"/>
      <c r="T4" s="306"/>
      <c r="U4" s="306"/>
      <c r="V4" s="328">
        <f>SUM(V5,V27,V30,V33,V36)</f>
        <v>71949444</v>
      </c>
      <c r="W4" s="328">
        <f t="shared" ref="W4:Y4" si="0">SUM(W5,W27,W30,W33,W36)</f>
        <v>0</v>
      </c>
      <c r="X4" s="328">
        <f t="shared" si="0"/>
        <v>0</v>
      </c>
      <c r="Y4" s="328">
        <f t="shared" si="0"/>
        <v>71949444</v>
      </c>
    </row>
    <row r="5" spans="1:38">
      <c r="A5" s="107"/>
      <c r="B5" s="108"/>
      <c r="C5" s="108" t="s">
        <v>5</v>
      </c>
      <c r="D5" s="108" t="s">
        <v>5</v>
      </c>
      <c r="E5" s="108">
        <v>401010201</v>
      </c>
      <c r="F5" s="109" t="s">
        <v>83</v>
      </c>
      <c r="G5" s="108" t="s">
        <v>6</v>
      </c>
      <c r="H5" s="110">
        <f>IFERROR(IF(VLOOKUP(K5,데이터입력!$C$3:$L$40,5,FALSE)&lt;1000,ROUNDUP(VLOOKUP(K5,데이터입력!$C$3:$L$40,5,FALSE)*1/1000,0),ROUND(VLOOKUP(K5,데이터입력!$C$3:$L$40,5,FALSE)*1/1000,0)),0)+데이터입력!$AC$101</f>
        <v>34058</v>
      </c>
      <c r="I5" s="110">
        <f>IFERROR(IF(F5="06",IF(V5&lt;1000,ROUNDUP((V5)*1/1000,0),ROUND((V5)*1/1000,0)),IF(F5="07",IF(W5&lt;1000,ROUNDUP((W5)*1/1000,0),ROUND((W5)*1/1000,0)),IF(F5="05",IF(X5&lt;1000,ROUNDUP((X5)*1/1000,0),ROUND((X5)*1/1000,0))))),0)+데이터입력!$AE$101</f>
        <v>33735</v>
      </c>
      <c r="J5" s="111">
        <f>I5-H5</f>
        <v>-323</v>
      </c>
      <c r="K5" s="111" t="str">
        <f>D5&amp;"("&amp;G5&amp;")"</f>
        <v>본인부담금수입(수익사업)</v>
      </c>
      <c r="L5" s="112" t="str">
        <f>D5</f>
        <v>본인부담금수입</v>
      </c>
      <c r="M5" s="113"/>
      <c r="N5" s="114"/>
      <c r="O5" s="115"/>
      <c r="P5" s="114"/>
      <c r="Q5" s="115"/>
      <c r="R5" s="114"/>
      <c r="S5" s="115"/>
      <c r="T5" s="115"/>
      <c r="U5" s="115"/>
      <c r="V5" s="116">
        <f>SUM(V6:V26)</f>
        <v>33735444</v>
      </c>
      <c r="W5" s="116">
        <f t="shared" ref="W5:X5" si="1">SUM(W6:W26)</f>
        <v>0</v>
      </c>
      <c r="X5" s="116">
        <f t="shared" si="1"/>
        <v>0</v>
      </c>
      <c r="Y5" s="116">
        <f>SUM(V5:X5)</f>
        <v>33735444</v>
      </c>
    </row>
    <row r="6" spans="1:38">
      <c r="A6" s="117"/>
      <c r="B6" s="117"/>
      <c r="C6" s="118"/>
      <c r="D6" s="119"/>
      <c r="E6" s="120"/>
      <c r="F6" s="120"/>
      <c r="G6" s="120"/>
      <c r="H6" s="120"/>
      <c r="I6" s="120"/>
      <c r="J6" s="120"/>
      <c r="K6" s="1052">
        <v>1</v>
      </c>
      <c r="L6" s="127" t="str">
        <f>IFERROR(VLOOKUP($K6,$Z$6:$AL$27,3,FALSE),"")</f>
        <v xml:space="preserve">    - 주야간보호(3등급, 8시간)</v>
      </c>
      <c r="M6" s="265">
        <f>IFERROR(VLOOKUP($L6,$AB5:$AL27,2,FALSE),"")</f>
        <v>0.15</v>
      </c>
      <c r="N6" s="124">
        <f>IFERROR(VLOOKUP($L6,$AB5:$AL27,3,FALSE),"")</f>
        <v>173502</v>
      </c>
      <c r="O6" s="267" t="str">
        <f>IFERROR(VLOOKUP($L6,$AB5:$AL27,4,FALSE),"")</f>
        <v xml:space="preserve"> x  </v>
      </c>
      <c r="P6" s="268">
        <f>IFERROR(VLOOKUP($L6,$AB5:$AL27,5,FALSE),"")</f>
        <v>1</v>
      </c>
      <c r="Q6" s="267" t="str">
        <f>IFERROR(VLOOKUP($L6,$AB5:$AL27,6,FALSE),"")</f>
        <v xml:space="preserve"> x  </v>
      </c>
      <c r="R6" s="269">
        <f>IFERROR(VLOOKUP($L6,$AB5:$AL27,7,FALSE),"")</f>
        <v>12</v>
      </c>
      <c r="S6" s="269"/>
      <c r="T6" s="270" t="str">
        <f>IFERROR(VLOOKUP($L6,$AB5:$AL27,9,FALSE),"")</f>
        <v xml:space="preserve"> = </v>
      </c>
      <c r="U6" s="121"/>
      <c r="V6" s="122">
        <f>IFERROR(N6*P6*R6,"")</f>
        <v>2082024</v>
      </c>
      <c r="W6" s="122"/>
      <c r="X6" s="122"/>
      <c r="Y6" s="122"/>
      <c r="Z6" s="98" t="str">
        <f>IF(AA6="","",SUBTOTAL(2,$AA$6:AA6))</f>
        <v/>
      </c>
      <c r="AA6" s="1053" t="str">
        <f>IF(AF6=0,"",IF(데이터입력!$X$5=TRUE,1,""))</f>
        <v/>
      </c>
      <c r="AB6" s="98" t="s">
        <v>386</v>
      </c>
      <c r="AC6" s="123">
        <v>0.2</v>
      </c>
      <c r="AD6" s="124">
        <f>IF(OR(데이터입력!V7="",데이터입력!V7=0),ROUND(데이터입력!T7*AC6,0),ROUND(데이터입력!T7*데이터입력!V7*AC6,0))</f>
        <v>497040</v>
      </c>
      <c r="AE6" s="98" t="s">
        <v>387</v>
      </c>
      <c r="AF6" s="125">
        <f>데이터입력!$U$7</f>
        <v>0</v>
      </c>
      <c r="AG6" s="98" t="s">
        <v>387</v>
      </c>
      <c r="AH6" s="126">
        <f>데이터입력!$Y$8</f>
        <v>12</v>
      </c>
      <c r="AJ6" s="98" t="s">
        <v>388</v>
      </c>
      <c r="AL6" s="122">
        <f>IFERROR(AD6*AF6*AH6,0)</f>
        <v>0</v>
      </c>
    </row>
    <row r="7" spans="1:38">
      <c r="A7" s="117"/>
      <c r="B7" s="117"/>
      <c r="C7" s="120"/>
      <c r="D7" s="120"/>
      <c r="E7" s="120"/>
      <c r="F7" s="120"/>
      <c r="G7" s="120"/>
      <c r="H7" s="120"/>
      <c r="I7" s="120"/>
      <c r="J7" s="120"/>
      <c r="K7" s="1052">
        <v>2</v>
      </c>
      <c r="L7" s="127" t="str">
        <f t="shared" ref="L7:L15" si="2">IFERROR(VLOOKUP($K7,$Z$6:$AL$27,3,FALSE),"")</f>
        <v xml:space="preserve">    - 주야간보호(4등급, 8시간)</v>
      </c>
      <c r="M7" s="265">
        <f t="shared" ref="M7:M15" si="3">IFERROR(VLOOKUP($L7,$AB6:$AL28,2,FALSE),"")</f>
        <v>0.15</v>
      </c>
      <c r="N7" s="124">
        <f t="shared" ref="N7:N15" si="4">IFERROR(VLOOKUP($L7,$AB6:$AL28,3,FALSE),"")</f>
        <v>168777</v>
      </c>
      <c r="O7" s="267" t="str">
        <f t="shared" ref="O7:O15" si="5">IFERROR(VLOOKUP($L7,$AB6:$AL28,4,FALSE),"")</f>
        <v xml:space="preserve"> x  </v>
      </c>
      <c r="P7" s="268">
        <f t="shared" ref="P7:P15" si="6">IFERROR(VLOOKUP($L7,$AB6:$AL28,5,FALSE),"")</f>
        <v>3</v>
      </c>
      <c r="Q7" s="267" t="str">
        <f t="shared" ref="Q7:Q15" si="7">IFERROR(VLOOKUP($L7,$AB6:$AL28,6,FALSE),"")</f>
        <v xml:space="preserve"> x  </v>
      </c>
      <c r="R7" s="269">
        <f t="shared" ref="R7:R15" si="8">IFERROR(VLOOKUP($L7,$AB6:$AL28,7,FALSE),"")</f>
        <v>12</v>
      </c>
      <c r="S7" s="269"/>
      <c r="T7" s="270" t="str">
        <f t="shared" ref="T7:T15" si="9">IFERROR(VLOOKUP($L7,$AB6:$AL28,9,FALSE),"")</f>
        <v xml:space="preserve"> = </v>
      </c>
      <c r="U7" s="121"/>
      <c r="V7" s="122">
        <f t="shared" ref="V7:V11" si="10">IFERROR(N7*P7*R7,"")</f>
        <v>6075972</v>
      </c>
      <c r="W7" s="122"/>
      <c r="X7" s="122"/>
      <c r="Y7" s="122"/>
      <c r="Z7" s="98" t="str">
        <f>IF(AA7="","",SUBTOTAL(2,$AA$6:AA7))</f>
        <v/>
      </c>
      <c r="AA7" s="1053" t="str">
        <f>IF(AF7=0,"",IF(데이터입력!$X$5=TRUE,1,""))</f>
        <v/>
      </c>
      <c r="AB7" s="98" t="s">
        <v>389</v>
      </c>
      <c r="AC7" s="123">
        <v>0.2</v>
      </c>
      <c r="AD7" s="124">
        <f>IF(OR(데이터입력!V8="",데이터입력!V8=0),ROUND(데이터입력!T8*AC7,0),ROUND(데이터입력!T8*데이터입력!V8*AC7,0))</f>
        <v>461107</v>
      </c>
      <c r="AE7" s="98" t="s">
        <v>387</v>
      </c>
      <c r="AF7" s="125">
        <f>데이터입력!$U$8</f>
        <v>0</v>
      </c>
      <c r="AG7" s="98" t="s">
        <v>387</v>
      </c>
      <c r="AH7" s="126">
        <f>데이터입력!$Y$8</f>
        <v>12</v>
      </c>
      <c r="AJ7" s="98" t="s">
        <v>388</v>
      </c>
      <c r="AL7" s="122">
        <f t="shared" ref="AL7:AL27" si="11">IFERROR(AD7*AF7*AH7,0)</f>
        <v>0</v>
      </c>
    </row>
    <row r="8" spans="1:38">
      <c r="A8" s="117"/>
      <c r="B8" s="117"/>
      <c r="C8" s="120"/>
      <c r="D8" s="120"/>
      <c r="E8" s="120"/>
      <c r="F8" s="120"/>
      <c r="G8" s="120"/>
      <c r="H8" s="120"/>
      <c r="I8" s="120"/>
      <c r="J8" s="120"/>
      <c r="K8" s="1052">
        <v>3</v>
      </c>
      <c r="L8" s="127" t="str">
        <f t="shared" si="2"/>
        <v xml:space="preserve">    - 주야간보호(5등급, 8시간)</v>
      </c>
      <c r="M8" s="265">
        <f t="shared" si="3"/>
        <v>0.15</v>
      </c>
      <c r="N8" s="124">
        <f t="shared" si="4"/>
        <v>163958</v>
      </c>
      <c r="O8" s="267" t="str">
        <f t="shared" si="5"/>
        <v xml:space="preserve"> x  </v>
      </c>
      <c r="P8" s="268">
        <f t="shared" si="6"/>
        <v>13</v>
      </c>
      <c r="Q8" s="267" t="str">
        <f t="shared" si="7"/>
        <v xml:space="preserve"> x  </v>
      </c>
      <c r="R8" s="269">
        <f t="shared" si="8"/>
        <v>12</v>
      </c>
      <c r="S8" s="269"/>
      <c r="T8" s="270" t="str">
        <f t="shared" si="9"/>
        <v xml:space="preserve"> = </v>
      </c>
      <c r="U8" s="121"/>
      <c r="V8" s="122">
        <f t="shared" si="10"/>
        <v>25577448</v>
      </c>
      <c r="W8" s="122"/>
      <c r="X8" s="122"/>
      <c r="Y8" s="122"/>
      <c r="Z8" s="98" t="str">
        <f>IF(AA8="","",SUBTOTAL(2,$AA$6:AA8))</f>
        <v/>
      </c>
      <c r="AA8" s="1053" t="str">
        <f>IF(AF8=0,"",IF(데이터입력!$X$5=TRUE,1,""))</f>
        <v/>
      </c>
      <c r="AB8" s="98" t="s">
        <v>390</v>
      </c>
      <c r="AC8" s="123">
        <v>0.2</v>
      </c>
      <c r="AD8" s="124">
        <f>IF(OR(데이터입력!V9="",데이터입력!V9=0),ROUND(데이터입력!T9*AC8,0),ROUND(데이터입력!T9*데이터입력!V9*AC8,0))</f>
        <v>435450</v>
      </c>
      <c r="AE8" s="98" t="s">
        <v>387</v>
      </c>
      <c r="AF8" s="125">
        <f>데이터입력!$U$9</f>
        <v>0</v>
      </c>
      <c r="AG8" s="98" t="s">
        <v>387</v>
      </c>
      <c r="AH8" s="126">
        <f>데이터입력!$Y$8</f>
        <v>12</v>
      </c>
      <c r="AJ8" s="98" t="s">
        <v>388</v>
      </c>
      <c r="AL8" s="122">
        <f t="shared" si="11"/>
        <v>0</v>
      </c>
    </row>
    <row r="9" spans="1:38">
      <c r="A9" s="117"/>
      <c r="B9" s="117"/>
      <c r="C9" s="120"/>
      <c r="D9" s="120"/>
      <c r="E9" s="120"/>
      <c r="F9" s="120"/>
      <c r="G9" s="120"/>
      <c r="H9" s="120"/>
      <c r="I9" s="120"/>
      <c r="J9" s="120"/>
      <c r="K9" s="1052">
        <v>4</v>
      </c>
      <c r="L9" s="127" t="str">
        <f t="shared" si="2"/>
        <v/>
      </c>
      <c r="M9" s="265" t="str">
        <f t="shared" si="3"/>
        <v/>
      </c>
      <c r="N9" s="124" t="str">
        <f t="shared" si="4"/>
        <v/>
      </c>
      <c r="O9" s="267" t="str">
        <f t="shared" si="5"/>
        <v/>
      </c>
      <c r="P9" s="268" t="str">
        <f t="shared" si="6"/>
        <v/>
      </c>
      <c r="Q9" s="267" t="str">
        <f t="shared" si="7"/>
        <v/>
      </c>
      <c r="R9" s="269" t="str">
        <f t="shared" si="8"/>
        <v/>
      </c>
      <c r="S9" s="269"/>
      <c r="T9" s="270" t="str">
        <f t="shared" si="9"/>
        <v/>
      </c>
      <c r="U9" s="121"/>
      <c r="V9" s="122" t="str">
        <f t="shared" si="10"/>
        <v/>
      </c>
      <c r="W9" s="122"/>
      <c r="X9" s="122"/>
      <c r="Y9" s="122"/>
      <c r="Z9" s="98" t="str">
        <f>IF(AA9="","",SUBTOTAL(2,$AA$6:AA9))</f>
        <v/>
      </c>
      <c r="AA9" s="1053" t="str">
        <f>IF(AF9=0,"",IF(데이터입력!$Y$5=TRUE,1,""))</f>
        <v/>
      </c>
      <c r="AB9" s="98" t="s">
        <v>391</v>
      </c>
      <c r="AC9" s="123">
        <v>0.2</v>
      </c>
      <c r="AD9" s="124">
        <f>IF(OR(데이터입력!V10="",데이터입력!V10=0),ROUND(데이터입력!T10*AC9,0),ROUND(데이터입력!T10*데이터입력!V10*AC9,0))</f>
        <v>418182</v>
      </c>
      <c r="AE9" s="98" t="s">
        <v>387</v>
      </c>
      <c r="AF9" s="125">
        <f>데이터입력!$U$10</f>
        <v>0</v>
      </c>
      <c r="AG9" s="98" t="s">
        <v>387</v>
      </c>
      <c r="AH9" s="126">
        <f>데이터입력!$Y$8</f>
        <v>12</v>
      </c>
      <c r="AJ9" s="98" t="s">
        <v>388</v>
      </c>
      <c r="AL9" s="122">
        <f t="shared" si="11"/>
        <v>0</v>
      </c>
    </row>
    <row r="10" spans="1:38">
      <c r="A10" s="117"/>
      <c r="B10" s="117"/>
      <c r="C10" s="120"/>
      <c r="D10" s="120"/>
      <c r="E10" s="120"/>
      <c r="F10" s="120"/>
      <c r="G10" s="120"/>
      <c r="H10" s="120"/>
      <c r="I10" s="120"/>
      <c r="J10" s="120"/>
      <c r="K10" s="1052">
        <v>5</v>
      </c>
      <c r="L10" s="127" t="str">
        <f t="shared" si="2"/>
        <v/>
      </c>
      <c r="M10" s="265" t="str">
        <f t="shared" si="3"/>
        <v/>
      </c>
      <c r="N10" s="124" t="str">
        <f t="shared" si="4"/>
        <v/>
      </c>
      <c r="O10" s="267" t="str">
        <f t="shared" si="5"/>
        <v/>
      </c>
      <c r="P10" s="268" t="str">
        <f t="shared" si="6"/>
        <v/>
      </c>
      <c r="Q10" s="267" t="str">
        <f t="shared" si="7"/>
        <v/>
      </c>
      <c r="R10" s="269" t="str">
        <f t="shared" si="8"/>
        <v/>
      </c>
      <c r="S10" s="269"/>
      <c r="T10" s="270" t="str">
        <f t="shared" si="9"/>
        <v/>
      </c>
      <c r="U10" s="121"/>
      <c r="V10" s="122" t="str">
        <f t="shared" si="10"/>
        <v/>
      </c>
      <c r="W10" s="122"/>
      <c r="X10" s="122"/>
      <c r="Y10" s="122"/>
      <c r="Z10" s="98" t="str">
        <f>IF(AA10="","",SUBTOTAL(2,$AA$6:AA10))</f>
        <v/>
      </c>
      <c r="AA10" s="1053" t="str">
        <f>IF(AF10=0,"",IF(데이터입력!$Y$5=TRUE,1,""))</f>
        <v/>
      </c>
      <c r="AB10" s="98" t="s">
        <v>392</v>
      </c>
      <c r="AC10" s="123">
        <v>0.2</v>
      </c>
      <c r="AD10" s="124">
        <f>IF(OR(데이터입력!V11="",데이터입력!V11=0),ROUND(데이터입력!T11*AC10,0),ROUND(데이터입력!T11*데이터입력!V11*AC10,0))</f>
        <v>388026</v>
      </c>
      <c r="AE10" s="98" t="s">
        <v>387</v>
      </c>
      <c r="AF10" s="125">
        <f>데이터입력!$U$11</f>
        <v>0</v>
      </c>
      <c r="AG10" s="98" t="s">
        <v>387</v>
      </c>
      <c r="AH10" s="126">
        <f>데이터입력!$Y$8</f>
        <v>12</v>
      </c>
      <c r="AJ10" s="98" t="s">
        <v>388</v>
      </c>
      <c r="AL10" s="122">
        <f t="shared" si="11"/>
        <v>0</v>
      </c>
    </row>
    <row r="11" spans="1:38">
      <c r="A11" s="117"/>
      <c r="B11" s="117"/>
      <c r="C11" s="120"/>
      <c r="D11" s="120"/>
      <c r="E11" s="120"/>
      <c r="F11" s="120"/>
      <c r="G11" s="120"/>
      <c r="H11" s="120"/>
      <c r="I11" s="120"/>
      <c r="J11" s="120"/>
      <c r="K11" s="1052">
        <v>6</v>
      </c>
      <c r="L11" s="127" t="str">
        <f t="shared" si="2"/>
        <v/>
      </c>
      <c r="M11" s="265" t="str">
        <f t="shared" si="3"/>
        <v/>
      </c>
      <c r="N11" s="124" t="str">
        <f t="shared" si="4"/>
        <v/>
      </c>
      <c r="O11" s="267" t="str">
        <f t="shared" si="5"/>
        <v/>
      </c>
      <c r="P11" s="268" t="str">
        <f t="shared" si="6"/>
        <v/>
      </c>
      <c r="Q11" s="267" t="str">
        <f t="shared" si="7"/>
        <v/>
      </c>
      <c r="R11" s="269" t="str">
        <f t="shared" si="8"/>
        <v/>
      </c>
      <c r="S11" s="269"/>
      <c r="T11" s="270" t="str">
        <f t="shared" si="9"/>
        <v/>
      </c>
      <c r="U11" s="121"/>
      <c r="V11" s="122" t="str">
        <f t="shared" si="10"/>
        <v/>
      </c>
      <c r="W11" s="122"/>
      <c r="X11" s="122"/>
      <c r="Y11" s="122"/>
      <c r="Z11" s="98" t="str">
        <f>IF(AA11="","",SUBTOTAL(2,$AA$6:AA11))</f>
        <v/>
      </c>
      <c r="AA11" s="1053" t="str">
        <f>IF(AF11=0,"",IF(데이터입력!$Y$5=TRUE,1,""))</f>
        <v/>
      </c>
      <c r="AB11" s="98" t="s">
        <v>393</v>
      </c>
      <c r="AC11" s="123">
        <v>0.2</v>
      </c>
      <c r="AD11" s="124">
        <f>IF(OR(데이터입력!V12="",데이터입력!V12=0),ROUND(데이터입력!T12*AC11,0),ROUND(데이터입력!T12*데이터입력!V12*AC11,0))</f>
        <v>357686</v>
      </c>
      <c r="AE11" s="98" t="s">
        <v>387</v>
      </c>
      <c r="AF11" s="125">
        <f>데이터입력!$U$12</f>
        <v>0</v>
      </c>
      <c r="AG11" s="98" t="s">
        <v>387</v>
      </c>
      <c r="AH11" s="126">
        <f>데이터입력!$Y$8</f>
        <v>12</v>
      </c>
      <c r="AJ11" s="98" t="s">
        <v>388</v>
      </c>
      <c r="AL11" s="122">
        <f t="shared" si="11"/>
        <v>0</v>
      </c>
    </row>
    <row r="12" spans="1:38" hidden="1">
      <c r="A12" s="117"/>
      <c r="B12" s="117"/>
      <c r="C12" s="120"/>
      <c r="D12" s="120"/>
      <c r="E12" s="120"/>
      <c r="F12" s="120"/>
      <c r="G12" s="120"/>
      <c r="H12" s="120"/>
      <c r="I12" s="120"/>
      <c r="J12" s="120"/>
      <c r="K12" s="1052">
        <v>7</v>
      </c>
      <c r="L12" s="127" t="str">
        <f t="shared" si="2"/>
        <v/>
      </c>
      <c r="M12" s="265" t="str">
        <f t="shared" si="3"/>
        <v/>
      </c>
      <c r="N12" s="124" t="str">
        <f t="shared" si="4"/>
        <v/>
      </c>
      <c r="O12" s="267" t="str">
        <f t="shared" si="5"/>
        <v/>
      </c>
      <c r="P12" s="268" t="str">
        <f t="shared" si="6"/>
        <v/>
      </c>
      <c r="Q12" s="267" t="str">
        <f t="shared" si="7"/>
        <v/>
      </c>
      <c r="R12" s="269" t="str">
        <f t="shared" si="8"/>
        <v/>
      </c>
      <c r="S12" s="269"/>
      <c r="T12" s="270" t="str">
        <f t="shared" si="9"/>
        <v/>
      </c>
      <c r="U12" s="121"/>
      <c r="V12" s="122"/>
      <c r="W12" s="122"/>
      <c r="X12" s="122"/>
      <c r="Y12" s="122"/>
      <c r="Z12" s="98" t="str">
        <f>IF(AA12="","",SUBTOTAL(2,$AA$6:AA12))</f>
        <v/>
      </c>
      <c r="AA12" s="1053" t="str">
        <f>IF(AF12=0,"",IF(데이터입력!$Z$5=TRUE,1,""))</f>
        <v/>
      </c>
      <c r="AB12" s="98" t="s">
        <v>508</v>
      </c>
      <c r="AC12" s="123">
        <v>0.15</v>
      </c>
      <c r="AD12" s="124">
        <f>IF(OR(데이터입력!V13="",데이터입력!V13=0),ROUND(데이터입력!T13*AC12,0),ROUND(데이터입력!T13*데이터입력!V13*AC12,0))</f>
        <v>202860</v>
      </c>
      <c r="AE12" s="98" t="s">
        <v>387</v>
      </c>
      <c r="AF12" s="125">
        <f>데이터입력!$U$13</f>
        <v>0</v>
      </c>
      <c r="AG12" s="98" t="s">
        <v>387</v>
      </c>
      <c r="AH12" s="126">
        <f>데이터입력!$Y$8</f>
        <v>12</v>
      </c>
      <c r="AJ12" s="98" t="s">
        <v>388</v>
      </c>
      <c r="AL12" s="122">
        <f t="shared" si="11"/>
        <v>0</v>
      </c>
    </row>
    <row r="13" spans="1:38" hidden="1">
      <c r="A13" s="117"/>
      <c r="B13" s="117"/>
      <c r="C13" s="120"/>
      <c r="D13" s="120"/>
      <c r="E13" s="120"/>
      <c r="F13" s="120"/>
      <c r="G13" s="120"/>
      <c r="H13" s="120"/>
      <c r="I13" s="120"/>
      <c r="J13" s="120"/>
      <c r="K13" s="1052">
        <v>8</v>
      </c>
      <c r="L13" s="127" t="str">
        <f t="shared" si="2"/>
        <v/>
      </c>
      <c r="M13" s="265" t="str">
        <f t="shared" si="3"/>
        <v/>
      </c>
      <c r="N13" s="124" t="str">
        <f t="shared" si="4"/>
        <v/>
      </c>
      <c r="O13" s="267" t="str">
        <f t="shared" si="5"/>
        <v/>
      </c>
      <c r="P13" s="268" t="str">
        <f t="shared" si="6"/>
        <v/>
      </c>
      <c r="Q13" s="267" t="str">
        <f t="shared" si="7"/>
        <v/>
      </c>
      <c r="R13" s="269" t="str">
        <f t="shared" si="8"/>
        <v/>
      </c>
      <c r="S13" s="269"/>
      <c r="T13" s="270" t="str">
        <f t="shared" si="9"/>
        <v/>
      </c>
      <c r="U13" s="121"/>
      <c r="V13" s="122"/>
      <c r="W13" s="122"/>
      <c r="X13" s="122"/>
      <c r="Y13" s="122"/>
      <c r="Z13" s="98" t="str">
        <f>IF(AA13="","",SUBTOTAL(2,$AA$6:AA13))</f>
        <v/>
      </c>
      <c r="AA13" s="1053" t="str">
        <f>IF(AF13=0,"",IF(데이터입력!$Z$5=TRUE,1,""))</f>
        <v/>
      </c>
      <c r="AB13" s="98" t="s">
        <v>509</v>
      </c>
      <c r="AC13" s="123">
        <v>0.15</v>
      </c>
      <c r="AD13" s="124">
        <f>IF(OR(데이터입력!V14="",데이터입력!V14=0),ROUND(데이터입력!T14*AC13,0),ROUND(데이터입력!T14*데이터입력!V14*AC13,0))</f>
        <v>187929</v>
      </c>
      <c r="AE13" s="98" t="s">
        <v>387</v>
      </c>
      <c r="AF13" s="125">
        <f>데이터입력!$U$14</f>
        <v>0</v>
      </c>
      <c r="AG13" s="98" t="s">
        <v>387</v>
      </c>
      <c r="AH13" s="126">
        <f>데이터입력!$Y$8</f>
        <v>12</v>
      </c>
      <c r="AJ13" s="98" t="s">
        <v>388</v>
      </c>
      <c r="AL13" s="122">
        <f t="shared" si="11"/>
        <v>0</v>
      </c>
    </row>
    <row r="14" spans="1:38" hidden="1">
      <c r="A14" s="117"/>
      <c r="B14" s="117"/>
      <c r="C14" s="120"/>
      <c r="D14" s="120"/>
      <c r="E14" s="120"/>
      <c r="F14" s="120"/>
      <c r="G14" s="120"/>
      <c r="H14" s="120"/>
      <c r="I14" s="120"/>
      <c r="J14" s="120"/>
      <c r="K14" s="1052">
        <v>9</v>
      </c>
      <c r="L14" s="127" t="str">
        <f t="shared" si="2"/>
        <v/>
      </c>
      <c r="M14" s="265" t="str">
        <f t="shared" si="3"/>
        <v/>
      </c>
      <c r="N14" s="124" t="str">
        <f t="shared" si="4"/>
        <v/>
      </c>
      <c r="O14" s="267" t="str">
        <f t="shared" si="5"/>
        <v/>
      </c>
      <c r="P14" s="268" t="str">
        <f t="shared" si="6"/>
        <v/>
      </c>
      <c r="Q14" s="267" t="str">
        <f t="shared" si="7"/>
        <v/>
      </c>
      <c r="R14" s="269" t="str">
        <f t="shared" si="8"/>
        <v/>
      </c>
      <c r="S14" s="269"/>
      <c r="T14" s="270" t="str">
        <f t="shared" si="9"/>
        <v/>
      </c>
      <c r="U14" s="121"/>
      <c r="V14" s="122"/>
      <c r="W14" s="122"/>
      <c r="X14" s="122"/>
      <c r="Y14" s="122"/>
      <c r="Z14" s="98">
        <f>IF(AA14="","",SUBTOTAL(2,$AA$6:AA14))</f>
        <v>1</v>
      </c>
      <c r="AA14" s="1053">
        <f>IF(AF14=0,"",IF(데이터입력!$Z$5=TRUE,1,""))</f>
        <v>1</v>
      </c>
      <c r="AB14" s="98" t="s">
        <v>394</v>
      </c>
      <c r="AC14" s="123">
        <v>0.15</v>
      </c>
      <c r="AD14" s="124">
        <f>IF(OR(데이터입력!V15="",데이터입력!V15=0),ROUND(데이터입력!T15*AC14,0),ROUND(데이터입력!T15*데이터입력!V15*AC14,0))</f>
        <v>173502</v>
      </c>
      <c r="AE14" s="98" t="s">
        <v>387</v>
      </c>
      <c r="AF14" s="125">
        <f>데이터입력!$U$15</f>
        <v>1</v>
      </c>
      <c r="AG14" s="98" t="s">
        <v>387</v>
      </c>
      <c r="AH14" s="126">
        <f>데이터입력!$Y$8</f>
        <v>12</v>
      </c>
      <c r="AJ14" s="98" t="s">
        <v>388</v>
      </c>
      <c r="AL14" s="122">
        <f t="shared" si="11"/>
        <v>2082024</v>
      </c>
    </row>
    <row r="15" spans="1:38" hidden="1">
      <c r="A15" s="117"/>
      <c r="B15" s="117"/>
      <c r="C15" s="120"/>
      <c r="D15" s="120"/>
      <c r="E15" s="120"/>
      <c r="F15" s="120"/>
      <c r="G15" s="120"/>
      <c r="H15" s="120"/>
      <c r="I15" s="120"/>
      <c r="J15" s="120"/>
      <c r="K15" s="1052">
        <v>10</v>
      </c>
      <c r="L15" s="127" t="str">
        <f t="shared" si="2"/>
        <v/>
      </c>
      <c r="M15" s="265" t="str">
        <f t="shared" si="3"/>
        <v/>
      </c>
      <c r="N15" s="124" t="str">
        <f t="shared" si="4"/>
        <v/>
      </c>
      <c r="O15" s="267" t="str">
        <f t="shared" si="5"/>
        <v/>
      </c>
      <c r="P15" s="268" t="str">
        <f t="shared" si="6"/>
        <v/>
      </c>
      <c r="Q15" s="267" t="str">
        <f t="shared" si="7"/>
        <v/>
      </c>
      <c r="R15" s="269" t="str">
        <f t="shared" si="8"/>
        <v/>
      </c>
      <c r="S15" s="269"/>
      <c r="T15" s="270" t="str">
        <f t="shared" si="9"/>
        <v/>
      </c>
      <c r="U15" s="121"/>
      <c r="V15" s="122"/>
      <c r="W15" s="122"/>
      <c r="X15" s="122"/>
      <c r="Y15" s="122"/>
      <c r="Z15" s="98">
        <f>IF(AA15="","",SUBTOTAL(2,$AA$6:AA15))</f>
        <v>2</v>
      </c>
      <c r="AA15" s="1053">
        <f>IF(AF15=0,"",IF(데이터입력!$Z$5=TRUE,1,""))</f>
        <v>1</v>
      </c>
      <c r="AB15" s="98" t="s">
        <v>395</v>
      </c>
      <c r="AC15" s="123">
        <v>0.15</v>
      </c>
      <c r="AD15" s="124">
        <f>IF(OR(데이터입력!V16="",데이터입력!V16=0),ROUND(데이터입력!T16*AC15,0),ROUND(데이터입력!T16*데이터입력!V16*AC15,0))</f>
        <v>168777</v>
      </c>
      <c r="AE15" s="98" t="s">
        <v>387</v>
      </c>
      <c r="AF15" s="125">
        <f>데이터입력!$U$16</f>
        <v>3</v>
      </c>
      <c r="AG15" s="98" t="s">
        <v>387</v>
      </c>
      <c r="AH15" s="126">
        <f>데이터입력!$Y$8</f>
        <v>12</v>
      </c>
      <c r="AJ15" s="98" t="s">
        <v>388</v>
      </c>
      <c r="AL15" s="122">
        <f t="shared" si="11"/>
        <v>6075972</v>
      </c>
    </row>
    <row r="16" spans="1:38" hidden="1">
      <c r="A16" s="117"/>
      <c r="B16" s="117"/>
      <c r="C16" s="120"/>
      <c r="D16" s="120"/>
      <c r="E16" s="120"/>
      <c r="F16" s="120"/>
      <c r="G16" s="120"/>
      <c r="H16" s="120"/>
      <c r="I16" s="120"/>
      <c r="J16" s="120"/>
      <c r="K16" s="120"/>
      <c r="L16" s="263"/>
      <c r="M16" s="271"/>
      <c r="N16" s="128"/>
      <c r="O16" s="121"/>
      <c r="P16" s="128"/>
      <c r="Q16" s="121"/>
      <c r="R16" s="128"/>
      <c r="S16" s="121"/>
      <c r="T16" s="121"/>
      <c r="U16" s="121"/>
      <c r="V16" s="122"/>
      <c r="W16" s="122"/>
      <c r="X16" s="122"/>
      <c r="Y16" s="122"/>
      <c r="Z16" s="98">
        <f>IF(AA16="","",SUBTOTAL(2,$AA$6:AA16))</f>
        <v>3</v>
      </c>
      <c r="AA16" s="1053">
        <f>IF(AF16=0,"",IF(데이터입력!$Z$5=TRUE,1,""))</f>
        <v>1</v>
      </c>
      <c r="AB16" s="98" t="s">
        <v>396</v>
      </c>
      <c r="AC16" s="123">
        <v>0.15</v>
      </c>
      <c r="AD16" s="124">
        <f>IF(OR(데이터입력!V17="",데이터입력!V17=0),ROUND(데이터입력!T17*AC16,0),ROUND(데이터입력!T17*데이터입력!V17*AC16,0))</f>
        <v>163958</v>
      </c>
      <c r="AE16" s="98" t="s">
        <v>387</v>
      </c>
      <c r="AF16" s="125">
        <f>데이터입력!$U$17</f>
        <v>13</v>
      </c>
      <c r="AG16" s="98" t="s">
        <v>387</v>
      </c>
      <c r="AH16" s="126">
        <f>데이터입력!$Y$8</f>
        <v>12</v>
      </c>
      <c r="AJ16" s="98" t="s">
        <v>388</v>
      </c>
      <c r="AL16" s="122">
        <f t="shared" si="11"/>
        <v>25577448</v>
      </c>
    </row>
    <row r="17" spans="1:38" hidden="1">
      <c r="A17" s="117"/>
      <c r="B17" s="117"/>
      <c r="C17" s="120"/>
      <c r="D17" s="120"/>
      <c r="E17" s="120"/>
      <c r="F17" s="120"/>
      <c r="G17" s="120"/>
      <c r="H17" s="120"/>
      <c r="I17" s="120"/>
      <c r="J17" s="120"/>
      <c r="K17" s="120"/>
      <c r="L17" s="263"/>
      <c r="M17" s="271"/>
      <c r="N17" s="128"/>
      <c r="O17" s="121"/>
      <c r="P17" s="128"/>
      <c r="Q17" s="121"/>
      <c r="R17" s="128"/>
      <c r="S17" s="121"/>
      <c r="T17" s="121"/>
      <c r="U17" s="121"/>
      <c r="V17" s="122"/>
      <c r="W17" s="122"/>
      <c r="X17" s="122"/>
      <c r="Y17" s="122"/>
      <c r="Z17" s="98" t="str">
        <f>IF(AA17="","",SUBTOTAL(2,$AA$6:AA17))</f>
        <v/>
      </c>
      <c r="AA17" s="1053" t="str">
        <f>IF(AF17=0,"",IF(데이터입력!$Z$5=TRUE,1,""))</f>
        <v/>
      </c>
      <c r="AB17" s="98" t="s">
        <v>510</v>
      </c>
      <c r="AC17" s="123">
        <v>0.15</v>
      </c>
      <c r="AD17" s="124">
        <f>IF(OR(데이터입력!V18="",데이터입력!V18=0),ROUND(데이터입력!T18*AC17,0),ROUND(데이터입력!T18*데이터입력!V18*AC17,0))</f>
        <v>163958</v>
      </c>
      <c r="AE17" s="98" t="s">
        <v>387</v>
      </c>
      <c r="AF17" s="125">
        <f>데이터입력!$U$18</f>
        <v>0</v>
      </c>
      <c r="AG17" s="98" t="s">
        <v>387</v>
      </c>
      <c r="AH17" s="126">
        <f>데이터입력!$Y$8</f>
        <v>12</v>
      </c>
      <c r="AJ17" s="98" t="s">
        <v>388</v>
      </c>
      <c r="AL17" s="122">
        <f t="shared" si="11"/>
        <v>0</v>
      </c>
    </row>
    <row r="18" spans="1:38" hidden="1">
      <c r="A18" s="117"/>
      <c r="B18" s="117"/>
      <c r="C18" s="120"/>
      <c r="D18" s="120"/>
      <c r="E18" s="120"/>
      <c r="F18" s="120"/>
      <c r="G18" s="120"/>
      <c r="H18" s="120"/>
      <c r="I18" s="120"/>
      <c r="J18" s="120"/>
      <c r="K18" s="257"/>
      <c r="L18" s="127"/>
      <c r="M18" s="271"/>
      <c r="N18" s="128"/>
      <c r="O18" s="121"/>
      <c r="P18" s="128"/>
      <c r="Q18" s="121"/>
      <c r="R18" s="128"/>
      <c r="S18" s="121"/>
      <c r="T18" s="121"/>
      <c r="U18" s="121"/>
      <c r="V18" s="122"/>
      <c r="W18" s="122"/>
      <c r="X18" s="122"/>
      <c r="Y18" s="122"/>
      <c r="Z18" s="98" t="str">
        <f>IF(AA18="","",SUBTOTAL(2,$AA$6:AA18))</f>
        <v/>
      </c>
      <c r="AA18" s="1053" t="str">
        <f>IF(AF18=0,"",IF(데이터입력!$AA$5=TRUE,1,""))</f>
        <v/>
      </c>
      <c r="AB18" s="98" t="s">
        <v>397</v>
      </c>
      <c r="AC18" s="123">
        <v>0.15</v>
      </c>
      <c r="AD18" s="124">
        <f>IF(OR(데이터입력!V19="",데이터입력!V19=0),ROUND(데이터입력!T19*AC18,0),ROUND(데이터입력!T19*데이터입력!V19*AC18,0))</f>
        <v>142313</v>
      </c>
      <c r="AE18" s="98" t="s">
        <v>387</v>
      </c>
      <c r="AF18" s="125">
        <f>데이터입력!$U$19</f>
        <v>0</v>
      </c>
      <c r="AG18" s="98" t="s">
        <v>387</v>
      </c>
      <c r="AH18" s="126">
        <f>데이터입력!$Y$8</f>
        <v>12</v>
      </c>
      <c r="AJ18" s="98" t="s">
        <v>388</v>
      </c>
      <c r="AL18" s="122">
        <f t="shared" si="11"/>
        <v>0</v>
      </c>
    </row>
    <row r="19" spans="1:38" hidden="1">
      <c r="A19" s="117"/>
      <c r="B19" s="117"/>
      <c r="C19" s="120"/>
      <c r="D19" s="120"/>
      <c r="E19" s="120"/>
      <c r="F19" s="120"/>
      <c r="G19" s="120"/>
      <c r="H19" s="120"/>
      <c r="I19" s="120"/>
      <c r="J19" s="120"/>
      <c r="K19" s="257"/>
      <c r="L19" s="127"/>
      <c r="M19" s="271"/>
      <c r="N19" s="128"/>
      <c r="O19" s="121"/>
      <c r="P19" s="128"/>
      <c r="Q19" s="121"/>
      <c r="R19" s="128"/>
      <c r="S19" s="121"/>
      <c r="T19" s="121"/>
      <c r="U19" s="121"/>
      <c r="V19" s="122"/>
      <c r="W19" s="122"/>
      <c r="X19" s="122"/>
      <c r="Y19" s="122"/>
      <c r="Z19" s="98" t="str">
        <f>IF(AA19="","",SUBTOTAL(2,$AA$6:AA19))</f>
        <v/>
      </c>
      <c r="AA19" s="1053" t="str">
        <f>IF(AF19=0,"",IF(데이터입력!$AA$5=TRUE,1,""))</f>
        <v/>
      </c>
      <c r="AB19" s="98" t="s">
        <v>398</v>
      </c>
      <c r="AC19" s="123">
        <v>0.15</v>
      </c>
      <c r="AD19" s="124">
        <f>IF(OR(데이터입력!V20="",데이터입력!V20=0),ROUND(데이터입력!T20*AC19,0),ROUND(데이터입력!T20*데이터입력!V20*AC19,0))</f>
        <v>131783</v>
      </c>
      <c r="AE19" s="98" t="s">
        <v>387</v>
      </c>
      <c r="AF19" s="125">
        <f>데이터입력!$U$20</f>
        <v>0</v>
      </c>
      <c r="AG19" s="98" t="s">
        <v>387</v>
      </c>
      <c r="AH19" s="126">
        <f>데이터입력!$Y$8</f>
        <v>12</v>
      </c>
      <c r="AJ19" s="98" t="s">
        <v>388</v>
      </c>
      <c r="AL19" s="122">
        <f t="shared" si="11"/>
        <v>0</v>
      </c>
    </row>
    <row r="20" spans="1:38" hidden="1">
      <c r="A20" s="117"/>
      <c r="B20" s="117"/>
      <c r="C20" s="120"/>
      <c r="D20" s="120"/>
      <c r="E20" s="120"/>
      <c r="F20" s="120"/>
      <c r="G20" s="120"/>
      <c r="H20" s="120"/>
      <c r="I20" s="120"/>
      <c r="J20" s="120"/>
      <c r="K20" s="257"/>
      <c r="L20" s="127"/>
      <c r="M20" s="271"/>
      <c r="N20" s="128"/>
      <c r="O20" s="121"/>
      <c r="P20" s="128"/>
      <c r="Q20" s="121"/>
      <c r="R20" s="128"/>
      <c r="S20" s="121"/>
      <c r="T20" s="121"/>
      <c r="U20" s="121"/>
      <c r="V20" s="122"/>
      <c r="W20" s="122"/>
      <c r="X20" s="122"/>
      <c r="Y20" s="122"/>
      <c r="Z20" s="98" t="str">
        <f>IF(AA20="","",SUBTOTAL(2,$AA$6:AA20))</f>
        <v/>
      </c>
      <c r="AA20" s="1053" t="str">
        <f>IF(AF20=0,"",IF(데이터입력!$AA$5=TRUE,1,""))</f>
        <v/>
      </c>
      <c r="AB20" s="98" t="s">
        <v>399</v>
      </c>
      <c r="AC20" s="123">
        <v>0.15</v>
      </c>
      <c r="AD20" s="124">
        <f>IF(OR(데이터입력!V21="",데이터입력!V21=0),ROUND(데이터입력!T21*AC20,0),ROUND(데이터입력!T21*데이터입력!V21*AC20,0))</f>
        <v>121748</v>
      </c>
      <c r="AE20" s="98" t="s">
        <v>387</v>
      </c>
      <c r="AF20" s="125">
        <f>데이터입력!$U$21</f>
        <v>0</v>
      </c>
      <c r="AG20" s="98" t="s">
        <v>387</v>
      </c>
      <c r="AH20" s="126">
        <f>데이터입력!$Y$8</f>
        <v>12</v>
      </c>
      <c r="AJ20" s="98" t="s">
        <v>388</v>
      </c>
      <c r="AL20" s="122">
        <f t="shared" si="11"/>
        <v>0</v>
      </c>
    </row>
    <row r="21" spans="1:38" hidden="1">
      <c r="A21" s="117"/>
      <c r="B21" s="117"/>
      <c r="C21" s="120"/>
      <c r="D21" s="120"/>
      <c r="E21" s="120"/>
      <c r="F21" s="120"/>
      <c r="G21" s="120"/>
      <c r="H21" s="120"/>
      <c r="I21" s="120"/>
      <c r="J21" s="120"/>
      <c r="K21" s="257"/>
      <c r="L21" s="127"/>
      <c r="M21" s="271"/>
      <c r="N21" s="128"/>
      <c r="O21" s="121"/>
      <c r="P21" s="128"/>
      <c r="Q21" s="121"/>
      <c r="R21" s="128"/>
      <c r="S21" s="121"/>
      <c r="T21" s="121"/>
      <c r="U21" s="121"/>
      <c r="V21" s="122"/>
      <c r="W21" s="122"/>
      <c r="X21" s="122"/>
      <c r="Y21" s="122"/>
      <c r="Z21" s="98" t="str">
        <f>IF(AA21="","",SUBTOTAL(2,$AA$6:AA21))</f>
        <v/>
      </c>
      <c r="AA21" s="1053" t="str">
        <f>IF(AF21=0,"",IF(데이터입력!$AB$5=TRUE,1,""))</f>
        <v/>
      </c>
      <c r="AB21" s="98" t="s">
        <v>400</v>
      </c>
      <c r="AC21" s="123">
        <v>0.15</v>
      </c>
      <c r="AD21" s="124">
        <f>IF(OR(데이터입력!V22="",데이터입력!V22=0),ROUND(데이터입력!T22*AC21,0),ROUND(데이터입력!T22*데이터입력!V22*AC21,0))</f>
        <v>166572</v>
      </c>
      <c r="AE21" s="98" t="s">
        <v>387</v>
      </c>
      <c r="AF21" s="125">
        <f>데이터입력!$U$22</f>
        <v>0</v>
      </c>
      <c r="AG21" s="98" t="s">
        <v>387</v>
      </c>
      <c r="AH21" s="126">
        <f>데이터입력!$Y$8</f>
        <v>12</v>
      </c>
      <c r="AJ21" s="98" t="s">
        <v>388</v>
      </c>
      <c r="AL21" s="122">
        <f t="shared" si="11"/>
        <v>0</v>
      </c>
    </row>
    <row r="22" spans="1:38" hidden="1">
      <c r="A22" s="117"/>
      <c r="B22" s="117"/>
      <c r="C22" s="120"/>
      <c r="D22" s="120"/>
      <c r="E22" s="120"/>
      <c r="F22" s="120"/>
      <c r="G22" s="120"/>
      <c r="H22" s="120"/>
      <c r="I22" s="120"/>
      <c r="J22" s="120"/>
      <c r="K22" s="257"/>
      <c r="L22" s="127"/>
      <c r="M22" s="271"/>
      <c r="N22" s="128"/>
      <c r="O22" s="121"/>
      <c r="P22" s="128"/>
      <c r="Q22" s="121"/>
      <c r="R22" s="128"/>
      <c r="S22" s="121"/>
      <c r="T22" s="121"/>
      <c r="U22" s="121"/>
      <c r="V22" s="122"/>
      <c r="W22" s="122"/>
      <c r="X22" s="122"/>
      <c r="Y22" s="122"/>
      <c r="Z22" s="98" t="str">
        <f>IF(AA22="","",SUBTOTAL(2,$AA$6:AA22))</f>
        <v/>
      </c>
      <c r="AA22" s="1053" t="str">
        <f>IF(AF22=0,"",IF(데이터입력!$AB$5=TRUE,1,""))</f>
        <v/>
      </c>
      <c r="AB22" s="98" t="s">
        <v>402</v>
      </c>
      <c r="AC22" s="123">
        <v>0.15</v>
      </c>
      <c r="AD22" s="124">
        <f>IF(OR(데이터입력!V23="",데이터입력!V23=0),ROUND(데이터입력!T23*AC22,0),ROUND(데이터입력!T23*데이터입력!V23*AC22,0))</f>
        <v>99698</v>
      </c>
      <c r="AE22" s="98" t="s">
        <v>387</v>
      </c>
      <c r="AF22" s="125">
        <f>데이터입력!$U$23</f>
        <v>0</v>
      </c>
      <c r="AG22" s="98" t="s">
        <v>387</v>
      </c>
      <c r="AH22" s="126">
        <f>데이터입력!$Y$8</f>
        <v>12</v>
      </c>
      <c r="AJ22" s="98" t="s">
        <v>388</v>
      </c>
      <c r="AL22" s="122">
        <f t="shared" si="11"/>
        <v>0</v>
      </c>
    </row>
    <row r="23" spans="1:38" hidden="1">
      <c r="A23" s="117"/>
      <c r="B23" s="117"/>
      <c r="C23" s="120"/>
      <c r="D23" s="120"/>
      <c r="E23" s="120"/>
      <c r="F23" s="120"/>
      <c r="G23" s="120"/>
      <c r="H23" s="120"/>
      <c r="I23" s="120"/>
      <c r="J23" s="120"/>
      <c r="K23" s="257"/>
      <c r="L23" s="127"/>
      <c r="M23" s="271"/>
      <c r="N23" s="128"/>
      <c r="O23" s="121"/>
      <c r="P23" s="128"/>
      <c r="Q23" s="121"/>
      <c r="R23" s="128"/>
      <c r="S23" s="121"/>
      <c r="T23" s="121"/>
      <c r="U23" s="121"/>
      <c r="V23" s="122"/>
      <c r="W23" s="122"/>
      <c r="X23" s="122"/>
      <c r="Y23" s="122"/>
      <c r="Z23" s="98" t="str">
        <f>IF(AA23="","",SUBTOTAL(2,$AA$6:AA23))</f>
        <v/>
      </c>
      <c r="AA23" s="1053" t="str">
        <f>IF(AF23=0,"",IF(데이터입력!$AB$5=TRUE,1,""))</f>
        <v/>
      </c>
      <c r="AB23" s="98" t="s">
        <v>401</v>
      </c>
      <c r="AC23" s="123">
        <v>0.15</v>
      </c>
      <c r="AD23" s="124">
        <f>IF(OR(데이터입력!V24="",데이터입력!V24=0),ROUND(데이터입력!T24*AC23,0),ROUND(데이터입력!T24*데이터입력!V24*AC23,0))</f>
        <v>73962</v>
      </c>
      <c r="AE23" s="98" t="s">
        <v>387</v>
      </c>
      <c r="AF23" s="125">
        <f>데이터입력!$U$24</f>
        <v>0</v>
      </c>
      <c r="AG23" s="98" t="s">
        <v>387</v>
      </c>
      <c r="AH23" s="126">
        <f>데이터입력!$Y$8</f>
        <v>12</v>
      </c>
      <c r="AJ23" s="98" t="s">
        <v>388</v>
      </c>
      <c r="AL23" s="122">
        <f t="shared" si="11"/>
        <v>0</v>
      </c>
    </row>
    <row r="24" spans="1:38" hidden="1">
      <c r="A24" s="117"/>
      <c r="B24" s="117"/>
      <c r="C24" s="120"/>
      <c r="D24" s="120"/>
      <c r="E24" s="120"/>
      <c r="F24" s="120"/>
      <c r="G24" s="120"/>
      <c r="H24" s="120"/>
      <c r="I24" s="120"/>
      <c r="J24" s="120"/>
      <c r="K24" s="257"/>
      <c r="L24" s="127"/>
      <c r="M24" s="271"/>
      <c r="N24" s="128"/>
      <c r="O24" s="121"/>
      <c r="P24" s="128"/>
      <c r="Q24" s="121"/>
      <c r="R24" s="128"/>
      <c r="S24" s="121"/>
      <c r="T24" s="121"/>
      <c r="U24" s="121"/>
      <c r="V24" s="122"/>
      <c r="W24" s="122"/>
      <c r="X24" s="122"/>
      <c r="Y24" s="122"/>
      <c r="Z24" s="98" t="str">
        <f>IF(AA24="","",SUBTOTAL(2,$AA$6:AA24))</f>
        <v/>
      </c>
      <c r="AA24" s="1053" t="str">
        <f>IF(AF24=0,"",IF(데이터입력!$AC$5=TRUE,1,""))</f>
        <v/>
      </c>
      <c r="AB24" s="98" t="s">
        <v>403</v>
      </c>
      <c r="AC24" s="123">
        <v>0.15</v>
      </c>
      <c r="AD24" s="124">
        <f>IF(OR(데이터입력!V25="",데이터입력!V25=0),ROUND(데이터입력!T25*AC24,0),ROUND(데이터입력!T25*데이터입력!V25*AC24,0))</f>
        <v>12324</v>
      </c>
      <c r="AE24" s="98" t="s">
        <v>387</v>
      </c>
      <c r="AF24" s="1050">
        <f>데이터입력!$U$25</f>
        <v>0</v>
      </c>
      <c r="AG24" s="98" t="s">
        <v>387</v>
      </c>
      <c r="AH24" s="126">
        <f>데이터입력!$Y$8</f>
        <v>12</v>
      </c>
      <c r="AJ24" s="98" t="s">
        <v>388</v>
      </c>
      <c r="AL24" s="122">
        <f t="shared" si="11"/>
        <v>0</v>
      </c>
    </row>
    <row r="25" spans="1:38" hidden="1">
      <c r="A25" s="117"/>
      <c r="B25" s="117"/>
      <c r="C25" s="120"/>
      <c r="D25" s="120"/>
      <c r="E25" s="120"/>
      <c r="F25" s="120"/>
      <c r="G25" s="120"/>
      <c r="H25" s="120"/>
      <c r="I25" s="120"/>
      <c r="J25" s="120"/>
      <c r="K25" s="257"/>
      <c r="L25" s="127"/>
      <c r="M25" s="271"/>
      <c r="N25" s="128"/>
      <c r="O25" s="121"/>
      <c r="P25" s="128"/>
      <c r="Q25" s="121"/>
      <c r="R25" s="128"/>
      <c r="S25" s="121"/>
      <c r="T25" s="121"/>
      <c r="U25" s="121"/>
      <c r="V25" s="122"/>
      <c r="W25" s="122"/>
      <c r="X25" s="122"/>
      <c r="Y25" s="122"/>
      <c r="Z25" s="98" t="str">
        <f>IF(AA25="","",SUBTOTAL(2,$AA$6:AA25))</f>
        <v/>
      </c>
      <c r="AA25" s="1053" t="str">
        <f>IF(AF25=0,"",IF(데이터입력!$AD$5=TRUE,1,""))</f>
        <v/>
      </c>
      <c r="AB25" s="98" t="s">
        <v>404</v>
      </c>
      <c r="AC25" s="123">
        <v>0.15</v>
      </c>
      <c r="AD25" s="124">
        <f>IF(OR(데이터입력!V26="",데이터입력!V26=0),ROUND(데이터입력!T26*AC25,0),ROUND(데이터입력!T26*데이터입력!V26*AC25,0))</f>
        <v>6938</v>
      </c>
      <c r="AE25" s="98" t="s">
        <v>387</v>
      </c>
      <c r="AF25" s="1050">
        <f>데이터입력!$U$26</f>
        <v>0</v>
      </c>
      <c r="AG25" s="98" t="s">
        <v>387</v>
      </c>
      <c r="AH25" s="126">
        <f>데이터입력!$Y$8</f>
        <v>12</v>
      </c>
      <c r="AJ25" s="98" t="s">
        <v>388</v>
      </c>
      <c r="AL25" s="122">
        <f t="shared" si="11"/>
        <v>0</v>
      </c>
    </row>
    <row r="26" spans="1:38" hidden="1">
      <c r="A26" s="117"/>
      <c r="B26" s="117"/>
      <c r="C26" s="129"/>
      <c r="D26" s="129"/>
      <c r="E26" s="129"/>
      <c r="F26" s="129"/>
      <c r="G26" s="129"/>
      <c r="H26" s="129"/>
      <c r="I26" s="129"/>
      <c r="J26" s="129"/>
      <c r="K26" s="258"/>
      <c r="L26" s="130"/>
      <c r="M26" s="272"/>
      <c r="N26" s="273"/>
      <c r="O26" s="131"/>
      <c r="P26" s="273"/>
      <c r="Q26" s="131"/>
      <c r="R26" s="273"/>
      <c r="S26" s="131"/>
      <c r="T26" s="131"/>
      <c r="U26" s="131"/>
      <c r="V26" s="141"/>
      <c r="W26" s="141"/>
      <c r="X26" s="141"/>
      <c r="Y26" s="141"/>
      <c r="Z26" s="98" t="str">
        <f>IF(AA26="","",SUBTOTAL(2,$AA$6:AA26))</f>
        <v/>
      </c>
      <c r="AA26" s="1053" t="str">
        <f>IF(AF26=0,"",IF(데이터입력!$AE$5=TRUE,1,""))</f>
        <v/>
      </c>
      <c r="AB26" s="98" t="s">
        <v>405</v>
      </c>
      <c r="AC26" s="123">
        <v>0.15</v>
      </c>
      <c r="AD26" s="124">
        <f>IF(OR(데이터입력!V27="",데이터입력!V27=0),ROUND(데이터입력!T27*AC26,0),ROUND(데이터입력!T27*데이터입력!V27*AC26,0))</f>
        <v>8925</v>
      </c>
      <c r="AE26" s="98" t="s">
        <v>387</v>
      </c>
      <c r="AF26" s="1050">
        <f>데이터입력!$U$27</f>
        <v>0</v>
      </c>
      <c r="AG26" s="98" t="s">
        <v>387</v>
      </c>
      <c r="AH26" s="126">
        <f>데이터입력!$Y$8</f>
        <v>12</v>
      </c>
      <c r="AJ26" s="98" t="s">
        <v>388</v>
      </c>
      <c r="AL26" s="122">
        <f t="shared" si="11"/>
        <v>0</v>
      </c>
    </row>
    <row r="27" spans="1:38">
      <c r="A27" s="117"/>
      <c r="B27" s="117"/>
      <c r="C27" s="108" t="s">
        <v>7</v>
      </c>
      <c r="D27" s="108" t="s">
        <v>7</v>
      </c>
      <c r="E27" s="108">
        <v>401010301</v>
      </c>
      <c r="F27" s="109" t="s">
        <v>83</v>
      </c>
      <c r="G27" s="108" t="s">
        <v>6</v>
      </c>
      <c r="H27" s="110">
        <f>IFERROR(IF(VLOOKUP(K27,데이터입력!$C$3:$L$40,5,FALSE)&lt;1000,ROUNDUP(VLOOKUP(K27,데이터입력!$C$3:$L$40,5,FALSE)*1/1000,0),ROUND(VLOOKUP(K27,데이터입력!$C$3:$L$40,5,FALSE)*1/1000,0)),0)</f>
        <v>36720</v>
      </c>
      <c r="I27" s="110">
        <f>IFERROR(IF(F27="06",IF(V27&lt;1000,ROUNDUP((V27)*1/1000,0),ROUND((V27)*1/1000,0)),IF(F27="07",IF(W27&lt;1000,ROUNDUP((W27)*1/1000,0),ROUND((W27)*1/1000,0)),IF(F27="05",IF(X27&lt;1000,ROUNDUP((X27)*1/1000,0),ROUND((X27)*1/1000,0))))),0)</f>
        <v>36414</v>
      </c>
      <c r="J27" s="111">
        <f>I27-H27</f>
        <v>-306</v>
      </c>
      <c r="K27" s="111" t="str">
        <f>D27&amp;"("&amp;G27&amp;")"</f>
        <v>식재료비수입(수익사업)</v>
      </c>
      <c r="L27" s="112" t="str">
        <f>D27</f>
        <v>식재료비수입</v>
      </c>
      <c r="M27" s="113"/>
      <c r="N27" s="114"/>
      <c r="O27" s="115"/>
      <c r="P27" s="114"/>
      <c r="Q27" s="115"/>
      <c r="R27" s="114"/>
      <c r="S27" s="115"/>
      <c r="T27" s="115"/>
      <c r="U27" s="115"/>
      <c r="V27" s="116">
        <f>SUM(V28:V29)</f>
        <v>36414000</v>
      </c>
      <c r="W27" s="116">
        <f t="shared" ref="W27:X27" si="12">SUM(W28:W29)</f>
        <v>0</v>
      </c>
      <c r="X27" s="116">
        <f t="shared" si="12"/>
        <v>0</v>
      </c>
      <c r="Y27" s="116">
        <f>SUM(V27:X27)</f>
        <v>36414000</v>
      </c>
      <c r="Z27" s="98" t="str">
        <f>IF(AA27="","",SUBTOTAL(2,$AA$6:AA27))</f>
        <v/>
      </c>
      <c r="AA27" s="1053" t="str">
        <f>IF(AF27=0,"",IF(데이터입력!$AF$5=TRUE,1,""))</f>
        <v/>
      </c>
      <c r="AB27" s="98" t="s">
        <v>406</v>
      </c>
      <c r="AC27" s="685">
        <v>0.15</v>
      </c>
      <c r="AD27" s="124">
        <f>IF(OR(데이터입력!V29="",데이터입력!V29=0),ROUND(데이터입력!T29*AC27,0),ROUND(데이터입력!T29*데이터입력!V29*AC27,0))</f>
        <v>0</v>
      </c>
      <c r="AE27" s="98" t="s">
        <v>387</v>
      </c>
      <c r="AF27" s="1051">
        <f>데이터입력!$U$29</f>
        <v>1</v>
      </c>
      <c r="AG27" s="98" t="s">
        <v>387</v>
      </c>
      <c r="AH27" s="126">
        <f>데이터입력!$Y$8</f>
        <v>12</v>
      </c>
      <c r="AJ27" s="98" t="s">
        <v>388</v>
      </c>
      <c r="AL27" s="122">
        <f t="shared" si="11"/>
        <v>0</v>
      </c>
    </row>
    <row r="28" spans="1:38">
      <c r="A28" s="117"/>
      <c r="B28" s="117"/>
      <c r="C28" s="118"/>
      <c r="D28" s="118"/>
      <c r="E28" s="118"/>
      <c r="F28" s="132"/>
      <c r="G28" s="118"/>
      <c r="H28" s="133"/>
      <c r="I28" s="133"/>
      <c r="J28" s="133"/>
      <c r="K28" s="259"/>
      <c r="L28" s="127" t="str">
        <f>"    - "&amp;L27</f>
        <v xml:space="preserve">    - 식재료비수입</v>
      </c>
      <c r="M28" s="263"/>
      <c r="N28" s="124">
        <f>데이터입력!$T$31*데이터입력!$U$31*데이터입력!$V$31</f>
        <v>178500</v>
      </c>
      <c r="O28" s="121" t="str">
        <f>IF(P28="","","x ")</f>
        <v xml:space="preserve">x </v>
      </c>
      <c r="P28" s="125">
        <f>데이터입력!$Y$25</f>
        <v>17</v>
      </c>
      <c r="Q28" s="121" t="s">
        <v>407</v>
      </c>
      <c r="R28" s="126">
        <f>데이터입력!$Y$8</f>
        <v>12</v>
      </c>
      <c r="S28" s="121"/>
      <c r="T28" s="121" t="s">
        <v>408</v>
      </c>
      <c r="U28" s="121"/>
      <c r="V28" s="122">
        <f>IF(P28=0,N28*R28,N28*P28*R28)</f>
        <v>36414000</v>
      </c>
      <c r="W28" s="122"/>
      <c r="X28" s="122"/>
      <c r="Y28" s="122"/>
    </row>
    <row r="29" spans="1:38" hidden="1">
      <c r="A29" s="117"/>
      <c r="B29" s="117"/>
      <c r="C29" s="134"/>
      <c r="D29" s="134"/>
      <c r="E29" s="134"/>
      <c r="F29" s="135"/>
      <c r="G29" s="134"/>
      <c r="H29" s="136"/>
      <c r="I29" s="136"/>
      <c r="J29" s="136"/>
      <c r="K29" s="260"/>
      <c r="L29" s="130" t="s">
        <v>409</v>
      </c>
      <c r="M29" s="137"/>
      <c r="N29" s="138">
        <v>0</v>
      </c>
      <c r="O29" s="131" t="s">
        <v>407</v>
      </c>
      <c r="P29" s="139">
        <v>0</v>
      </c>
      <c r="Q29" s="131" t="s">
        <v>407</v>
      </c>
      <c r="R29" s="140">
        <f>데이터입력!$Y$8</f>
        <v>12</v>
      </c>
      <c r="S29" s="131"/>
      <c r="T29" s="131" t="s">
        <v>408</v>
      </c>
      <c r="U29" s="131"/>
      <c r="V29" s="141">
        <f>IF(P29=0,N29*R29,N29*P29*R29)</f>
        <v>0</v>
      </c>
      <c r="W29" s="141"/>
      <c r="X29" s="141"/>
      <c r="Y29" s="141"/>
    </row>
    <row r="30" spans="1:38">
      <c r="A30" s="117"/>
      <c r="B30" s="117"/>
      <c r="C30" s="108" t="s">
        <v>8</v>
      </c>
      <c r="D30" s="108" t="s">
        <v>8</v>
      </c>
      <c r="E30" s="108">
        <v>401010401</v>
      </c>
      <c r="F30" s="109" t="s">
        <v>83</v>
      </c>
      <c r="G30" s="108" t="s">
        <v>6</v>
      </c>
      <c r="H30" s="110">
        <f>IFERROR(IF(VLOOKUP(K30,데이터입력!$C$3:$L$40,5,FALSE)&lt;1000,ROUNDUP(VLOOKUP(K30,데이터입력!$C$3:$L$40,5,FALSE)*1/1000,0),ROUND(VLOOKUP(K30,데이터입력!$C$3:$L$40,5,FALSE)*1/1000,0)),0)</f>
        <v>0</v>
      </c>
      <c r="I30" s="110">
        <f>IFERROR(IF(F30="06",IF(V30&lt;1000,ROUNDUP((V30)*1/1000,0),ROUND((V30)*1/1000,0)),IF(F30="07",IF(W30&lt;1000,ROUNDUP((W30)*1/1000,0),ROUND((W30)*1/1000,0)),IF(F30="05",IF(X30&lt;1000,ROUNDUP((X30)*1/1000,0),ROUND((X30)*1/1000,0))))),0)</f>
        <v>0</v>
      </c>
      <c r="J30" s="111">
        <f>I30-H30</f>
        <v>0</v>
      </c>
      <c r="K30" s="111" t="str">
        <f>D30&amp;"("&amp;G30&amp;")"</f>
        <v>상급침실이용료(수익사업)</v>
      </c>
      <c r="L30" s="112" t="str">
        <f>D30</f>
        <v>상급침실이용료</v>
      </c>
      <c r="M30" s="113"/>
      <c r="N30" s="114"/>
      <c r="O30" s="115"/>
      <c r="P30" s="114"/>
      <c r="Q30" s="115"/>
      <c r="R30" s="114"/>
      <c r="S30" s="115"/>
      <c r="T30" s="115"/>
      <c r="U30" s="115"/>
      <c r="V30" s="116">
        <f>SUM(V31:V32)</f>
        <v>0</v>
      </c>
      <c r="W30" s="116">
        <f t="shared" ref="W30:X30" si="13">SUM(W31:W32)</f>
        <v>0</v>
      </c>
      <c r="X30" s="116">
        <f t="shared" si="13"/>
        <v>0</v>
      </c>
      <c r="Y30" s="116">
        <f>SUM(V30:X30)</f>
        <v>0</v>
      </c>
    </row>
    <row r="31" spans="1:38">
      <c r="A31" s="117"/>
      <c r="B31" s="117"/>
      <c r="C31" s="118"/>
      <c r="D31" s="118"/>
      <c r="E31" s="118"/>
      <c r="F31" s="132"/>
      <c r="G31" s="118"/>
      <c r="H31" s="133"/>
      <c r="I31" s="133"/>
      <c r="J31" s="133"/>
      <c r="K31" s="259"/>
      <c r="L31" s="127" t="str">
        <f>"    - "&amp;L30</f>
        <v xml:space="preserve">    - 상급침실이용료</v>
      </c>
      <c r="M31" s="263"/>
      <c r="N31" s="124">
        <f>IF(P31="",ROUNDUP(데이터입력!T32/R31,-3),ROUNDUP(데이터입력!T32/P31/R31,-3))</f>
        <v>0</v>
      </c>
      <c r="O31" s="121" t="str">
        <f>IF(P31="","","x ")</f>
        <v/>
      </c>
      <c r="P31" s="125"/>
      <c r="Q31" s="121" t="s">
        <v>407</v>
      </c>
      <c r="R31" s="126">
        <f>IF(VLOOKUP(L30,데이터입력!$R$32:$U$53,4,FALSE)="",데이터입력!$Y$8,VLOOKUP(L30,데이터입력!$R$32:$U$53,4,FALSE))</f>
        <v>12</v>
      </c>
      <c r="S31" s="121"/>
      <c r="T31" s="121" t="s">
        <v>408</v>
      </c>
      <c r="U31" s="121"/>
      <c r="V31" s="122">
        <f>IF(P31=0,N31*R31,N31*P31*R31)</f>
        <v>0</v>
      </c>
      <c r="W31" s="122"/>
      <c r="X31" s="122"/>
      <c r="Y31" s="122"/>
    </row>
    <row r="32" spans="1:38" hidden="1">
      <c r="A32" s="117"/>
      <c r="B32" s="117"/>
      <c r="C32" s="134"/>
      <c r="D32" s="134"/>
      <c r="E32" s="134"/>
      <c r="F32" s="135"/>
      <c r="G32" s="134"/>
      <c r="H32" s="136"/>
      <c r="I32" s="136"/>
      <c r="J32" s="136"/>
      <c r="K32" s="260"/>
      <c r="L32" s="130" t="s">
        <v>409</v>
      </c>
      <c r="M32" s="137"/>
      <c r="N32" s="138">
        <v>0</v>
      </c>
      <c r="O32" s="131" t="s">
        <v>407</v>
      </c>
      <c r="P32" s="139"/>
      <c r="Q32" s="131" t="s">
        <v>407</v>
      </c>
      <c r="R32" s="140">
        <f>데이터입력!$Y$8</f>
        <v>12</v>
      </c>
      <c r="S32" s="131"/>
      <c r="T32" s="131" t="s">
        <v>408</v>
      </c>
      <c r="U32" s="131"/>
      <c r="V32" s="141">
        <f>IF(P32=0,N32*R32,N32*P32*R32)</f>
        <v>0</v>
      </c>
      <c r="W32" s="141"/>
      <c r="X32" s="141"/>
      <c r="Y32" s="141"/>
    </row>
    <row r="33" spans="1:26">
      <c r="A33" s="117"/>
      <c r="B33" s="117"/>
      <c r="C33" s="108" t="s">
        <v>9</v>
      </c>
      <c r="D33" s="108" t="s">
        <v>9</v>
      </c>
      <c r="E33" s="108">
        <v>401010501</v>
      </c>
      <c r="F33" s="109" t="s">
        <v>83</v>
      </c>
      <c r="G33" s="108" t="s">
        <v>6</v>
      </c>
      <c r="H33" s="110">
        <f>IFERROR(IF(VLOOKUP(K33,데이터입력!$C$3:$L$40,5,FALSE)&lt;1000,ROUNDUP(VLOOKUP(K33,데이터입력!$C$3:$L$40,5,FALSE)*1/1000,0),ROUND(VLOOKUP(K33,데이터입력!$C$3:$L$40,5,FALSE)*1/1000,0)),0)</f>
        <v>0</v>
      </c>
      <c r="I33" s="110">
        <f>IFERROR(IF(F33="06",IF(V33&lt;1000,ROUNDUP((V33)*1/1000,0),ROUND((V33)*1/1000,0)),IF(F33="07",IF(W33&lt;1000,ROUNDUP((W33)*1/1000,0),ROUND((W33)*1/1000,0)),IF(F33="05",IF(X33&lt;1000,ROUNDUP((X33)*1/1000,0),ROUND((X33)*1/1000,0))))),0)</f>
        <v>0</v>
      </c>
      <c r="J33" s="111">
        <f>I33-H33</f>
        <v>0</v>
      </c>
      <c r="K33" s="111" t="str">
        <f>D33&amp;"("&amp;G33&amp;")"</f>
        <v>이미용비(수익사업)</v>
      </c>
      <c r="L33" s="112" t="str">
        <f>D33</f>
        <v>이미용비</v>
      </c>
      <c r="M33" s="113"/>
      <c r="N33" s="114"/>
      <c r="O33" s="115"/>
      <c r="P33" s="114"/>
      <c r="Q33" s="115"/>
      <c r="R33" s="114"/>
      <c r="S33" s="115"/>
      <c r="T33" s="115"/>
      <c r="U33" s="115"/>
      <c r="V33" s="116">
        <f>SUM(V34:V35)</f>
        <v>0</v>
      </c>
      <c r="W33" s="116">
        <f t="shared" ref="W33:X33" si="14">SUM(W34:W35)</f>
        <v>0</v>
      </c>
      <c r="X33" s="116">
        <f t="shared" si="14"/>
        <v>0</v>
      </c>
      <c r="Y33" s="116">
        <f>SUM(V33:X33)</f>
        <v>0</v>
      </c>
    </row>
    <row r="34" spans="1:26">
      <c r="A34" s="118"/>
      <c r="B34" s="118"/>
      <c r="C34" s="118"/>
      <c r="D34" s="118"/>
      <c r="E34" s="118"/>
      <c r="F34" s="132"/>
      <c r="G34" s="118"/>
      <c r="H34" s="133"/>
      <c r="I34" s="133"/>
      <c r="J34" s="133"/>
      <c r="K34" s="259"/>
      <c r="L34" s="127" t="str">
        <f>"    - "&amp;L33</f>
        <v xml:space="preserve">    - 이미용비</v>
      </c>
      <c r="M34" s="263"/>
      <c r="N34" s="124">
        <f>IF(P34="",ROUNDUP(데이터입력!T33/R34,-3),ROUNDUP(데이터입력!T33/P34/R34,-3))</f>
        <v>0</v>
      </c>
      <c r="O34" s="121" t="str">
        <f>IF(P34="","","x ")</f>
        <v/>
      </c>
      <c r="P34" s="125"/>
      <c r="Q34" s="121" t="s">
        <v>407</v>
      </c>
      <c r="R34" s="126">
        <f>IF(VLOOKUP(L33,데이터입력!$R$32:$U$53,4,FALSE)="",데이터입력!$Y$8,VLOOKUP(L33,데이터입력!$R$32:$U$53,4,FALSE))</f>
        <v>12</v>
      </c>
      <c r="S34" s="121"/>
      <c r="T34" s="121" t="s">
        <v>408</v>
      </c>
      <c r="U34" s="121"/>
      <c r="V34" s="122">
        <f>IF(P34=0,N34*R34,N34*P34*R34)</f>
        <v>0</v>
      </c>
      <c r="W34" s="122"/>
      <c r="X34" s="122"/>
      <c r="Y34" s="122"/>
    </row>
    <row r="35" spans="1:26" hidden="1">
      <c r="A35" s="118"/>
      <c r="B35" s="118"/>
      <c r="C35" s="134"/>
      <c r="D35" s="134"/>
      <c r="E35" s="134"/>
      <c r="F35" s="135"/>
      <c r="G35" s="134"/>
      <c r="H35" s="136"/>
      <c r="I35" s="136"/>
      <c r="J35" s="136"/>
      <c r="K35" s="260"/>
      <c r="L35" s="130" t="s">
        <v>409</v>
      </c>
      <c r="M35" s="137"/>
      <c r="N35" s="138">
        <v>0</v>
      </c>
      <c r="O35" s="131" t="s">
        <v>407</v>
      </c>
      <c r="P35" s="139"/>
      <c r="Q35" s="131" t="s">
        <v>407</v>
      </c>
      <c r="R35" s="140">
        <f>데이터입력!$Y$8</f>
        <v>12</v>
      </c>
      <c r="S35" s="131"/>
      <c r="T35" s="131" t="s">
        <v>408</v>
      </c>
      <c r="U35" s="131"/>
      <c r="V35" s="141">
        <f>IF(P35=0,N35*R35,N35*P35*R35)</f>
        <v>0</v>
      </c>
      <c r="W35" s="141"/>
      <c r="X35" s="141"/>
      <c r="Y35" s="141"/>
    </row>
    <row r="36" spans="1:26">
      <c r="A36" s="117"/>
      <c r="B36" s="117"/>
      <c r="C36" s="108" t="s">
        <v>10</v>
      </c>
      <c r="D36" s="108" t="s">
        <v>10</v>
      </c>
      <c r="E36" s="108">
        <v>401010601</v>
      </c>
      <c r="F36" s="109" t="s">
        <v>83</v>
      </c>
      <c r="G36" s="108" t="s">
        <v>6</v>
      </c>
      <c r="H36" s="110">
        <f>IFERROR(IF(VLOOKUP(K36,데이터입력!$C$3:$L$40,5,FALSE)&lt;1000,ROUNDUP(VLOOKUP(K36,데이터입력!$C$3:$L$40,5,FALSE)*1/1000,0),ROUND(VLOOKUP(K36,데이터입력!$C$3:$L$40,5,FALSE)*1/1000,0)),0)</f>
        <v>1800</v>
      </c>
      <c r="I36" s="110">
        <f>IFERROR(IF(F36="06",IF(V36&lt;1000,ROUNDUP((V36)*1/1000,0),ROUND((V36)*1/1000,0)),IF(F36="07",IF(W36&lt;1000,ROUNDUP((W36)*1/1000,0),ROUND((W36)*1/1000,0)),IF(F36="05",IF(X36&lt;1000,ROUNDUP((X36)*1/1000,0),ROUND((X36)*1/1000,0))))),0)</f>
        <v>1800</v>
      </c>
      <c r="J36" s="111">
        <f>I36-H36</f>
        <v>0</v>
      </c>
      <c r="K36" s="111" t="str">
        <f>D36&amp;"("&amp;G36&amp;")"</f>
        <v>기타비급여수입(수익사업)</v>
      </c>
      <c r="L36" s="112" t="str">
        <f>D36</f>
        <v>기타비급여수입</v>
      </c>
      <c r="M36" s="113"/>
      <c r="N36" s="114"/>
      <c r="O36" s="115"/>
      <c r="P36" s="114"/>
      <c r="Q36" s="115"/>
      <c r="R36" s="114"/>
      <c r="S36" s="115"/>
      <c r="T36" s="115"/>
      <c r="U36" s="115"/>
      <c r="V36" s="116">
        <f>SUM(V37:V38)</f>
        <v>1800000</v>
      </c>
      <c r="W36" s="116">
        <f t="shared" ref="W36:X36" si="15">SUM(W37:W38)</f>
        <v>0</v>
      </c>
      <c r="X36" s="116">
        <f t="shared" si="15"/>
        <v>0</v>
      </c>
      <c r="Y36" s="116">
        <f>SUM(V36:X36)</f>
        <v>1800000</v>
      </c>
    </row>
    <row r="37" spans="1:26">
      <c r="A37" s="118"/>
      <c r="B37" s="118"/>
      <c r="C37" s="118"/>
      <c r="D37" s="118"/>
      <c r="E37" s="118"/>
      <c r="F37" s="132"/>
      <c r="G37" s="118"/>
      <c r="H37" s="133"/>
      <c r="I37" s="133"/>
      <c r="J37" s="133"/>
      <c r="K37" s="259"/>
      <c r="L37" s="127" t="str">
        <f>"    - "&amp;L36</f>
        <v xml:space="preserve">    - 기타비급여수입</v>
      </c>
      <c r="M37" s="263"/>
      <c r="N37" s="124">
        <f>IF(P37="",ROUNDUP(데이터입력!T34/R37,-3),ROUNDUP(데이터입력!T34/P37/R37,-3))</f>
        <v>150000</v>
      </c>
      <c r="O37" s="121" t="str">
        <f>IF(P37="","","x ")</f>
        <v/>
      </c>
      <c r="P37" s="125"/>
      <c r="Q37" s="121" t="s">
        <v>407</v>
      </c>
      <c r="R37" s="126">
        <f>IF(VLOOKUP(L36,데이터입력!$R$32:$U$53,4,FALSE)="",데이터입력!$Y$8,VLOOKUP(L36,데이터입력!$R$32:$U$53,4,FALSE))</f>
        <v>12</v>
      </c>
      <c r="S37" s="121"/>
      <c r="T37" s="121" t="s">
        <v>408</v>
      </c>
      <c r="U37" s="121"/>
      <c r="V37" s="122">
        <f>IF(P37=0,N37*R37,N37*P37*R37)</f>
        <v>1800000</v>
      </c>
      <c r="W37" s="122"/>
      <c r="X37" s="122"/>
      <c r="Y37" s="122"/>
    </row>
    <row r="38" spans="1:26" hidden="1">
      <c r="A38" s="134"/>
      <c r="B38" s="134"/>
      <c r="C38" s="134"/>
      <c r="D38" s="134"/>
      <c r="E38" s="134"/>
      <c r="F38" s="135"/>
      <c r="G38" s="134"/>
      <c r="H38" s="136"/>
      <c r="I38" s="136"/>
      <c r="J38" s="136"/>
      <c r="K38" s="260"/>
      <c r="L38" s="130" t="s">
        <v>409</v>
      </c>
      <c r="M38" s="137"/>
      <c r="N38" s="138">
        <v>0</v>
      </c>
      <c r="O38" s="131" t="s">
        <v>407</v>
      </c>
      <c r="P38" s="139"/>
      <c r="Q38" s="131" t="s">
        <v>407</v>
      </c>
      <c r="R38" s="140">
        <f>데이터입력!$Y$8</f>
        <v>12</v>
      </c>
      <c r="S38" s="131"/>
      <c r="T38" s="131" t="s">
        <v>408</v>
      </c>
      <c r="U38" s="131"/>
      <c r="V38" s="141">
        <f>IF(P38=0,N38*R38,N38*P38*R38)</f>
        <v>0</v>
      </c>
      <c r="W38" s="141"/>
      <c r="X38" s="141"/>
      <c r="Y38" s="141"/>
    </row>
    <row r="39" spans="1:26">
      <c r="A39" s="314" t="s">
        <v>11</v>
      </c>
      <c r="B39" s="315" t="s">
        <v>11</v>
      </c>
      <c r="C39" s="317"/>
      <c r="D39" s="317"/>
      <c r="E39" s="317"/>
      <c r="F39" s="317"/>
      <c r="G39" s="317"/>
      <c r="H39" s="305">
        <f>SUM(H40)</f>
        <v>0</v>
      </c>
      <c r="I39" s="305">
        <f>SUM(I40)</f>
        <v>0</v>
      </c>
      <c r="J39" s="305">
        <f>SUM(J40)</f>
        <v>0</v>
      </c>
      <c r="K39" s="305"/>
      <c r="L39" s="318"/>
      <c r="M39" s="318"/>
      <c r="N39" s="318"/>
      <c r="O39" s="318"/>
      <c r="P39" s="318"/>
      <c r="Q39" s="318"/>
      <c r="R39" s="318"/>
      <c r="S39" s="318"/>
      <c r="T39" s="318"/>
      <c r="U39" s="318"/>
      <c r="V39" s="328">
        <f>SUM(V40)</f>
        <v>0</v>
      </c>
      <c r="W39" s="328">
        <f t="shared" ref="W39:Y39" si="16">SUM(W40)</f>
        <v>0</v>
      </c>
      <c r="X39" s="328">
        <f t="shared" si="16"/>
        <v>0</v>
      </c>
      <c r="Y39" s="328">
        <f t="shared" si="16"/>
        <v>0</v>
      </c>
    </row>
    <row r="40" spans="1:26">
      <c r="A40" s="107"/>
      <c r="B40" s="108"/>
      <c r="C40" s="108" t="s">
        <v>11</v>
      </c>
      <c r="D40" s="108" t="s">
        <v>11</v>
      </c>
      <c r="E40" s="108">
        <v>402010101</v>
      </c>
      <c r="F40" s="109" t="s">
        <v>83</v>
      </c>
      <c r="G40" s="108" t="s">
        <v>6</v>
      </c>
      <c r="H40" s="110">
        <f>IFERROR(IF(VLOOKUP(K40,데이터입력!$C$3:$L$40,5,FALSE)&lt;1000,ROUNDUP(VLOOKUP(K40,데이터입력!$C$3:$L$40,5,FALSE)*1/1000,0),ROUND(VLOOKUP(K40,데이터입력!$C$3:$L$40,5,FALSE)*1/1000,0)),0)</f>
        <v>0</v>
      </c>
      <c r="I40" s="110">
        <f>IFERROR(IF(F40="06",IF(V40&lt;1000,ROUNDUP((V40)*1/1000,0),ROUND((V40)*1/1000,0)),IF(F40="07",IF(W40&lt;1000,ROUNDUP((W40)*1/1000,0),ROUND((W40)*1/1000,0)),IF(F40="05",IF(X40&lt;1000,ROUNDUP((X40)*1/1000,0),ROUND((X40)*1/1000,0))))),0)</f>
        <v>0</v>
      </c>
      <c r="J40" s="111">
        <f>I40-H40</f>
        <v>0</v>
      </c>
      <c r="K40" s="111" t="str">
        <f>D40&amp;"("&amp;G40&amp;")"</f>
        <v>사업수입(수익사업)</v>
      </c>
      <c r="L40" s="112" t="str">
        <f>D40</f>
        <v>사업수입</v>
      </c>
      <c r="M40" s="113"/>
      <c r="N40" s="114"/>
      <c r="O40" s="115"/>
      <c r="P40" s="114"/>
      <c r="Q40" s="115"/>
      <c r="R40" s="114"/>
      <c r="S40" s="115"/>
      <c r="T40" s="115"/>
      <c r="U40" s="115"/>
      <c r="V40" s="116">
        <f>SUM(V41:V42)</f>
        <v>0</v>
      </c>
      <c r="W40" s="116">
        <f t="shared" ref="W40:X40" si="17">SUM(W41:W42)</f>
        <v>0</v>
      </c>
      <c r="X40" s="116">
        <f t="shared" si="17"/>
        <v>0</v>
      </c>
      <c r="Y40" s="116">
        <f>SUM(V40:X40)</f>
        <v>0</v>
      </c>
    </row>
    <row r="41" spans="1:26">
      <c r="A41" s="118"/>
      <c r="B41" s="118"/>
      <c r="C41" s="118"/>
      <c r="D41" s="118"/>
      <c r="E41" s="118"/>
      <c r="F41" s="132"/>
      <c r="G41" s="118"/>
      <c r="H41" s="133"/>
      <c r="I41" s="133"/>
      <c r="J41" s="133"/>
      <c r="K41" s="259"/>
      <c r="L41" s="127" t="str">
        <f>"    - "&amp;L40</f>
        <v xml:space="preserve">    - 사업수입</v>
      </c>
      <c r="M41" s="263"/>
      <c r="N41" s="124">
        <v>0</v>
      </c>
      <c r="O41" s="121" t="str">
        <f>IF(P41="","","x ")</f>
        <v/>
      </c>
      <c r="P41" s="125"/>
      <c r="Q41" s="121" t="s">
        <v>407</v>
      </c>
      <c r="R41" s="126">
        <f>데이터입력!$Y$8</f>
        <v>12</v>
      </c>
      <c r="S41" s="121"/>
      <c r="T41" s="121" t="s">
        <v>408</v>
      </c>
      <c r="U41" s="121"/>
      <c r="V41" s="122">
        <f>IF(P41=0,N41*R41,N41*P41*R41)</f>
        <v>0</v>
      </c>
      <c r="W41" s="122"/>
      <c r="X41" s="122"/>
      <c r="Y41" s="122"/>
    </row>
    <row r="42" spans="1:26" hidden="1">
      <c r="A42" s="134"/>
      <c r="B42" s="134"/>
      <c r="C42" s="134"/>
      <c r="D42" s="134"/>
      <c r="E42" s="134"/>
      <c r="F42" s="135"/>
      <c r="G42" s="134"/>
      <c r="H42" s="136"/>
      <c r="I42" s="136"/>
      <c r="J42" s="136"/>
      <c r="K42" s="260"/>
      <c r="L42" s="130" t="s">
        <v>409</v>
      </c>
      <c r="M42" s="137"/>
      <c r="N42" s="138">
        <v>0</v>
      </c>
      <c r="O42" s="131" t="s">
        <v>407</v>
      </c>
      <c r="P42" s="139"/>
      <c r="Q42" s="131" t="s">
        <v>407</v>
      </c>
      <c r="R42" s="140">
        <f>데이터입력!$Y$8</f>
        <v>12</v>
      </c>
      <c r="S42" s="131"/>
      <c r="T42" s="131" t="s">
        <v>408</v>
      </c>
      <c r="U42" s="131"/>
      <c r="V42" s="141">
        <f>IF(P42=0,N42*R42,N42*P42*R42)</f>
        <v>0</v>
      </c>
      <c r="W42" s="141"/>
      <c r="X42" s="141"/>
      <c r="Y42" s="141"/>
    </row>
    <row r="43" spans="1:26">
      <c r="A43" s="314" t="s">
        <v>12</v>
      </c>
      <c r="B43" s="315" t="s">
        <v>12</v>
      </c>
      <c r="C43" s="317"/>
      <c r="D43" s="317"/>
      <c r="E43" s="317"/>
      <c r="F43" s="317"/>
      <c r="G43" s="317"/>
      <c r="H43" s="305">
        <f>SUM(H44)</f>
        <v>0</v>
      </c>
      <c r="I43" s="305">
        <f>SUM(I44)</f>
        <v>0</v>
      </c>
      <c r="J43" s="305">
        <f>SUM(J44)</f>
        <v>0</v>
      </c>
      <c r="K43" s="305"/>
      <c r="L43" s="318"/>
      <c r="M43" s="318"/>
      <c r="N43" s="318"/>
      <c r="O43" s="318"/>
      <c r="P43" s="318"/>
      <c r="Q43" s="318"/>
      <c r="R43" s="318"/>
      <c r="S43" s="318"/>
      <c r="T43" s="318"/>
      <c r="U43" s="318"/>
      <c r="V43" s="328">
        <f>SUM(V44)</f>
        <v>0</v>
      </c>
      <c r="W43" s="328">
        <f t="shared" ref="W43:Y43" si="18">SUM(W44)</f>
        <v>0</v>
      </c>
      <c r="X43" s="328">
        <f t="shared" si="18"/>
        <v>0</v>
      </c>
      <c r="Y43" s="328">
        <f t="shared" si="18"/>
        <v>0</v>
      </c>
    </row>
    <row r="44" spans="1:26">
      <c r="A44" s="107"/>
      <c r="B44" s="108"/>
      <c r="C44" s="108" t="s">
        <v>12</v>
      </c>
      <c r="D44" s="108" t="s">
        <v>12</v>
      </c>
      <c r="E44" s="108">
        <v>403010101</v>
      </c>
      <c r="F44" s="109" t="s">
        <v>83</v>
      </c>
      <c r="G44" s="108" t="s">
        <v>6</v>
      </c>
      <c r="H44" s="110">
        <f>IFERROR(IF(VLOOKUP(K44,데이터입력!$C$3:$L$40,5,FALSE)&lt;1000,ROUNDUP(VLOOKUP(K44,데이터입력!$C$3:$L$40,5,FALSE)*1/1000,0),ROUND(VLOOKUP(K44,데이터입력!$C$3:$L$40,5,FALSE)*1/1000,0)),0)</f>
        <v>0</v>
      </c>
      <c r="I44" s="110">
        <f>IFERROR(IF(F44="06",IF(V44&lt;1000,ROUNDUP((V44)*1/1000,0),ROUND((V44)*1/1000,0)),IF(F44="07",IF(W44&lt;1000,ROUNDUP((W44)*1/1000,0),ROUND((W44)*1/1000,0)),IF(F44="05",IF(X44&lt;1000,ROUNDUP((X44)*1/1000,0),ROUND((X44)*1/1000,0))))),0)</f>
        <v>0</v>
      </c>
      <c r="J44" s="111">
        <f>I44-H44</f>
        <v>0</v>
      </c>
      <c r="K44" s="111" t="str">
        <f>D44&amp;"("&amp;G44&amp;")"</f>
        <v>과년도수입(수익사업)</v>
      </c>
      <c r="L44" s="112" t="str">
        <f>D44</f>
        <v>과년도수입</v>
      </c>
      <c r="M44" s="113"/>
      <c r="N44" s="114"/>
      <c r="O44" s="115"/>
      <c r="P44" s="114"/>
      <c r="Q44" s="115"/>
      <c r="R44" s="114"/>
      <c r="S44" s="115"/>
      <c r="T44" s="115"/>
      <c r="U44" s="115"/>
      <c r="V44" s="116">
        <f>SUM(V45:V46)</f>
        <v>0</v>
      </c>
      <c r="W44" s="116">
        <f t="shared" ref="W44:X44" si="19">SUM(W45:W46)</f>
        <v>0</v>
      </c>
      <c r="X44" s="116">
        <f t="shared" si="19"/>
        <v>0</v>
      </c>
      <c r="Y44" s="116">
        <f>SUM(V44:X44)</f>
        <v>0</v>
      </c>
    </row>
    <row r="45" spans="1:26">
      <c r="A45" s="118"/>
      <c r="B45" s="118"/>
      <c r="C45" s="118"/>
      <c r="D45" s="118"/>
      <c r="E45" s="118"/>
      <c r="F45" s="132"/>
      <c r="G45" s="118"/>
      <c r="H45" s="133"/>
      <c r="I45" s="133"/>
      <c r="J45" s="133"/>
      <c r="K45" s="259"/>
      <c r="L45" s="127" t="str">
        <f>"    - "&amp;L44</f>
        <v xml:space="preserve">    - 과년도수입</v>
      </c>
      <c r="M45" s="263"/>
      <c r="N45" s="124">
        <f>IF(P45="",ROUNDUP(데이터입력!T35/R45,-3),ROUNDUP(데이터입력!T35/P45/R45,-3))</f>
        <v>0</v>
      </c>
      <c r="O45" s="121" t="str">
        <f>IF(P45="","","x ")</f>
        <v/>
      </c>
      <c r="P45" s="125"/>
      <c r="Q45" s="121" t="s">
        <v>407</v>
      </c>
      <c r="R45" s="126">
        <f>IF(VLOOKUP(L44,데이터입력!$R$32:$U$53,4,FALSE)="",데이터입력!$Y$8,VLOOKUP(L44,데이터입력!$R$32:$U$53,4,FALSE))</f>
        <v>12</v>
      </c>
      <c r="S45" s="121"/>
      <c r="T45" s="121" t="s">
        <v>408</v>
      </c>
      <c r="U45" s="121"/>
      <c r="V45" s="122">
        <f>IF(P45=0,N45*R45,N45*P45*R45)</f>
        <v>0</v>
      </c>
      <c r="W45" s="122"/>
      <c r="X45" s="122"/>
      <c r="Y45" s="122"/>
    </row>
    <row r="46" spans="1:26" hidden="1">
      <c r="A46" s="134"/>
      <c r="B46" s="134"/>
      <c r="C46" s="134"/>
      <c r="D46" s="134"/>
      <c r="E46" s="134"/>
      <c r="F46" s="135"/>
      <c r="G46" s="134"/>
      <c r="H46" s="136"/>
      <c r="I46" s="136"/>
      <c r="J46" s="136"/>
      <c r="K46" s="260"/>
      <c r="L46" s="130" t="s">
        <v>409</v>
      </c>
      <c r="M46" s="137"/>
      <c r="N46" s="138">
        <v>0</v>
      </c>
      <c r="O46" s="131" t="s">
        <v>407</v>
      </c>
      <c r="P46" s="139">
        <v>0</v>
      </c>
      <c r="Q46" s="131" t="s">
        <v>407</v>
      </c>
      <c r="R46" s="140">
        <f>데이터입력!$Y$8</f>
        <v>12</v>
      </c>
      <c r="S46" s="131"/>
      <c r="T46" s="131" t="s">
        <v>408</v>
      </c>
      <c r="U46" s="131"/>
      <c r="V46" s="141">
        <f>IF(P46=0,N46*R46,N46*P46*R46)</f>
        <v>0</v>
      </c>
      <c r="W46" s="141"/>
      <c r="X46" s="141"/>
      <c r="Y46" s="141"/>
    </row>
    <row r="47" spans="1:26">
      <c r="A47" s="314" t="s">
        <v>309</v>
      </c>
      <c r="B47" s="315" t="s">
        <v>309</v>
      </c>
      <c r="C47" s="317"/>
      <c r="D47" s="317"/>
      <c r="E47" s="317"/>
      <c r="F47" s="317"/>
      <c r="G47" s="317"/>
      <c r="H47" s="305">
        <f t="shared" ref="H47:J47" si="20">SUM(H48,H52,H56,H60,H64,H72,H76,H80)</f>
        <v>0</v>
      </c>
      <c r="I47" s="305">
        <f t="shared" si="20"/>
        <v>0</v>
      </c>
      <c r="J47" s="305">
        <f t="shared" si="20"/>
        <v>0</v>
      </c>
      <c r="K47" s="305"/>
      <c r="L47" s="318"/>
      <c r="M47" s="318"/>
      <c r="N47" s="318"/>
      <c r="O47" s="318"/>
      <c r="P47" s="318"/>
      <c r="Q47" s="318"/>
      <c r="R47" s="318"/>
      <c r="S47" s="318"/>
      <c r="T47" s="318"/>
      <c r="U47" s="318"/>
      <c r="V47" s="328">
        <f>SUM(V48,V52,V56,V60,V64,V72,V76,V80)</f>
        <v>0</v>
      </c>
      <c r="W47" s="328">
        <f t="shared" ref="W47:Y47" si="21">SUM(W48,W52,W56,W60,W64,W72,W76,W80)</f>
        <v>0</v>
      </c>
      <c r="X47" s="328">
        <f t="shared" si="21"/>
        <v>0</v>
      </c>
      <c r="Y47" s="328">
        <f t="shared" si="21"/>
        <v>0</v>
      </c>
    </row>
    <row r="48" spans="1:26">
      <c r="A48" s="118"/>
      <c r="B48" s="118"/>
      <c r="C48" s="108" t="s">
        <v>13</v>
      </c>
      <c r="D48" s="108" t="s">
        <v>13</v>
      </c>
      <c r="E48" s="108">
        <v>403010101</v>
      </c>
      <c r="F48" s="109" t="s">
        <v>84</v>
      </c>
      <c r="G48" s="108" t="s">
        <v>14</v>
      </c>
      <c r="H48" s="110">
        <f>IFERROR(IF(VLOOKUP(K48,데이터입력!$C$3:$L$40,5,FALSE)&lt;1000,ROUNDUP(VLOOKUP(K48,데이터입력!$C$3:$L$40,5,FALSE)*1/1000,0),ROUND(VLOOKUP(K48,데이터입력!$C$3:$L$40,5,FALSE)*1/1000,0)),0)</f>
        <v>0</v>
      </c>
      <c r="I48" s="110">
        <f>IFERROR(IF(F48="06",IF(V48&lt;1000,ROUNDUP((V48)*1/1000,0),ROUND((V48)*1/1000,0)),IF(F48="07",IF(W48&lt;1000,ROUNDUP((W48)*1/1000,0),ROUND((W48)*1/1000,0)),IF(F48="05",IF(X48&lt;1000,ROUNDUP((X48)*1/1000,0),ROUND((X48)*1/1000,0))))),0)</f>
        <v>0</v>
      </c>
      <c r="J48" s="111">
        <f>I48-H48</f>
        <v>0</v>
      </c>
      <c r="K48" s="111" t="str">
        <f>D48&amp;"("&amp;G48&amp;")"</f>
        <v>국고보조금(보조금)</v>
      </c>
      <c r="L48" s="112" t="str">
        <f>D48</f>
        <v>국고보조금</v>
      </c>
      <c r="M48" s="274"/>
      <c r="N48" s="114"/>
      <c r="O48" s="115"/>
      <c r="P48" s="114"/>
      <c r="Q48" s="115"/>
      <c r="R48" s="114"/>
      <c r="S48" s="115"/>
      <c r="T48" s="115"/>
      <c r="U48" s="115"/>
      <c r="V48" s="116"/>
      <c r="W48" s="116">
        <f>SUM(W49:W51)</f>
        <v>0</v>
      </c>
      <c r="X48" s="116"/>
      <c r="Y48" s="116">
        <f>SUM(V48:X48)</f>
        <v>0</v>
      </c>
      <c r="Z48" s="98">
        <f>IFERROR(VLOOKUP(L48,데이터입력!$R$54:$T$59,3,FALSE),0)</f>
        <v>0</v>
      </c>
    </row>
    <row r="49" spans="1:26">
      <c r="A49" s="118"/>
      <c r="B49" s="118"/>
      <c r="C49" s="118"/>
      <c r="D49" s="118"/>
      <c r="E49" s="118"/>
      <c r="F49" s="132"/>
      <c r="G49" s="118"/>
      <c r="H49" s="133"/>
      <c r="I49" s="133"/>
      <c r="J49" s="133"/>
      <c r="K49" s="259"/>
      <c r="L49" s="127" t="str">
        <f>"    - "&amp;데이터입력!X75</f>
        <v xml:space="preserve">    - 국고보조금</v>
      </c>
      <c r="M49" s="263"/>
      <c r="N49" s="124">
        <f>데이터입력!Y75</f>
        <v>0</v>
      </c>
      <c r="O49" s="121" t="str">
        <f>IF(P49="","","x ")</f>
        <v/>
      </c>
      <c r="P49" s="125"/>
      <c r="Q49" s="121" t="s">
        <v>407</v>
      </c>
      <c r="R49" s="126">
        <f>IF(VLOOKUP(L48,데이터입력!$R$54:$U$59,4,FALSE)="",데이터입력!$Y$8,VLOOKUP(L48,데이터입력!$R$54:$U$59,4,FALSE))</f>
        <v>12</v>
      </c>
      <c r="S49" s="121"/>
      <c r="T49" s="121" t="s">
        <v>408</v>
      </c>
      <c r="U49" s="121"/>
      <c r="V49" s="122"/>
      <c r="W49" s="122">
        <f>IF(P49="",N49*R49,N49*P49*R49)</f>
        <v>0</v>
      </c>
      <c r="X49" s="122"/>
      <c r="Y49" s="122"/>
    </row>
    <row r="50" spans="1:26">
      <c r="A50" s="118"/>
      <c r="B50" s="118"/>
      <c r="C50" s="118"/>
      <c r="D50" s="118"/>
      <c r="E50" s="118"/>
      <c r="F50" s="132"/>
      <c r="G50" s="118"/>
      <c r="H50" s="133"/>
      <c r="I50" s="133"/>
      <c r="J50" s="133"/>
      <c r="K50" s="259"/>
      <c r="L50" s="127" t="str">
        <f>"    - "&amp;데이터입력!X76</f>
        <v xml:space="preserve">    - </v>
      </c>
      <c r="M50" s="263"/>
      <c r="N50" s="124">
        <f>데이터입력!Y76</f>
        <v>0</v>
      </c>
      <c r="O50" s="121" t="str">
        <f>IF(P50="","","x ")</f>
        <v/>
      </c>
      <c r="P50" s="125"/>
      <c r="Q50" s="121" t="s">
        <v>407</v>
      </c>
      <c r="R50" s="126">
        <f>R49</f>
        <v>12</v>
      </c>
      <c r="S50" s="121"/>
      <c r="T50" s="121" t="s">
        <v>408</v>
      </c>
      <c r="U50" s="121"/>
      <c r="V50" s="122"/>
      <c r="W50" s="122">
        <f t="shared" ref="W50:W51" si="22">IF(P50="",N50*R50,N50*P50*R50)</f>
        <v>0</v>
      </c>
      <c r="X50" s="122"/>
      <c r="Y50" s="122"/>
    </row>
    <row r="51" spans="1:26" hidden="1">
      <c r="A51" s="118"/>
      <c r="B51" s="118"/>
      <c r="C51" s="118"/>
      <c r="D51" s="134"/>
      <c r="E51" s="134"/>
      <c r="F51" s="135"/>
      <c r="G51" s="134"/>
      <c r="H51" s="136"/>
      <c r="I51" s="136"/>
      <c r="J51" s="136"/>
      <c r="K51" s="260"/>
      <c r="L51" s="130" t="str">
        <f>"    - "&amp;데이터입력!X77</f>
        <v xml:space="preserve">    - </v>
      </c>
      <c r="M51" s="137"/>
      <c r="N51" s="138">
        <f>데이터입력!Y77</f>
        <v>0</v>
      </c>
      <c r="O51" s="131" t="s">
        <v>407</v>
      </c>
      <c r="P51" s="139"/>
      <c r="Q51" s="131" t="s">
        <v>407</v>
      </c>
      <c r="R51" s="140">
        <f>데이터입력!$Y$8</f>
        <v>12</v>
      </c>
      <c r="S51" s="131"/>
      <c r="T51" s="131" t="s">
        <v>408</v>
      </c>
      <c r="U51" s="131"/>
      <c r="V51" s="141"/>
      <c r="W51" s="141">
        <f t="shared" si="22"/>
        <v>0</v>
      </c>
      <c r="X51" s="141"/>
      <c r="Y51" s="141"/>
    </row>
    <row r="52" spans="1:26">
      <c r="A52" s="118"/>
      <c r="B52" s="118"/>
      <c r="C52" s="118"/>
      <c r="D52" s="108" t="s">
        <v>13</v>
      </c>
      <c r="E52" s="108">
        <v>403010101</v>
      </c>
      <c r="F52" s="109" t="s">
        <v>410</v>
      </c>
      <c r="G52" s="108" t="s">
        <v>411</v>
      </c>
      <c r="H52" s="110">
        <f>IFERROR(IF(VLOOKUP(K52,데이터입력!$C$3:$L$40,5,FALSE)&lt;1000,ROUNDUP(VLOOKUP(K52,데이터입력!$C$3:$L$40,5,FALSE)*1/1000,0),ROUND(VLOOKUP(K52,데이터입력!$C$3:$L$40,5,FALSE)*1/1000,0)),0)</f>
        <v>0</v>
      </c>
      <c r="I52" s="110">
        <f>IFERROR(IF(F52="06",IF(V52&lt;1000,ROUNDUP((V52)*1/1000,0),ROUND((V52)*1/1000,0)),IF(F52="07",IF(W52&lt;1000,ROUNDUP((W52)*1/1000,0),ROUND((W52)*1/1000,0)),IF(F52="05",IF(X52&lt;1000,ROUNDUP((X52)*1/1000,0),ROUND((X52)*1/1000,0))))),0)</f>
        <v>0</v>
      </c>
      <c r="J52" s="111">
        <f>I52-H52</f>
        <v>0</v>
      </c>
      <c r="K52" s="111" t="str">
        <f>D52&amp;"("&amp;G52&amp;")"</f>
        <v>국고보조금(수익사업)</v>
      </c>
      <c r="L52" s="275" t="str">
        <f>D52</f>
        <v>국고보조금</v>
      </c>
      <c r="M52" s="274"/>
      <c r="N52" s="114"/>
      <c r="O52" s="115"/>
      <c r="P52" s="114"/>
      <c r="Q52" s="115"/>
      <c r="R52" s="114"/>
      <c r="S52" s="115"/>
      <c r="T52" s="115"/>
      <c r="U52" s="115"/>
      <c r="V52" s="116">
        <f>SUM(V53:V55)</f>
        <v>0</v>
      </c>
      <c r="W52" s="116"/>
      <c r="X52" s="116"/>
      <c r="Y52" s="116">
        <f>SUM(V52:X52)</f>
        <v>0</v>
      </c>
      <c r="Z52" s="98">
        <f>IFERROR(VLOOKUP(L52,데이터입력!$R$32:$T$53,3,FALSE),0)</f>
        <v>0</v>
      </c>
    </row>
    <row r="53" spans="1:26">
      <c r="A53" s="118"/>
      <c r="B53" s="118"/>
      <c r="C53" s="118"/>
      <c r="D53" s="118"/>
      <c r="E53" s="118"/>
      <c r="F53" s="132"/>
      <c r="G53" s="118"/>
      <c r="H53" s="133"/>
      <c r="I53" s="133"/>
      <c r="J53" s="133"/>
      <c r="K53" s="259"/>
      <c r="L53" s="127" t="str">
        <f>"    - "&amp;데이터입력!Z25</f>
        <v xml:space="preserve">    - 국고보조금</v>
      </c>
      <c r="M53" s="263"/>
      <c r="N53" s="124">
        <f>데이터입력!AA25</f>
        <v>0</v>
      </c>
      <c r="O53" s="121" t="str">
        <f>IF(P53="","","x ")</f>
        <v/>
      </c>
      <c r="P53" s="125"/>
      <c r="Q53" s="121" t="s">
        <v>407</v>
      </c>
      <c r="R53" s="126">
        <f>IF(VLOOKUP(L52,데이터입력!$R$32:$U$53,4,FALSE)="",데이터입력!$Y$8,VLOOKUP(L52,데이터입력!$R$32:$U$53,4,FALSE))</f>
        <v>12</v>
      </c>
      <c r="S53" s="121"/>
      <c r="T53" s="121" t="s">
        <v>408</v>
      </c>
      <c r="U53" s="121"/>
      <c r="V53" s="122">
        <f>IF(P53=0,N53*R53,N53*P53*R53)</f>
        <v>0</v>
      </c>
      <c r="W53" s="122"/>
      <c r="X53" s="122"/>
      <c r="Y53" s="122"/>
    </row>
    <row r="54" spans="1:26">
      <c r="A54" s="118"/>
      <c r="B54" s="118"/>
      <c r="C54" s="118"/>
      <c r="D54" s="118"/>
      <c r="E54" s="118"/>
      <c r="F54" s="132"/>
      <c r="G54" s="118"/>
      <c r="H54" s="133"/>
      <c r="I54" s="133"/>
      <c r="J54" s="133"/>
      <c r="K54" s="259"/>
      <c r="L54" s="127" t="str">
        <f>"    - "&amp;데이터입력!Z26</f>
        <v xml:space="preserve">    - </v>
      </c>
      <c r="M54" s="263"/>
      <c r="N54" s="124">
        <f>데이터입력!AA26</f>
        <v>0</v>
      </c>
      <c r="O54" s="121" t="str">
        <f>IF(P54="","","x ")</f>
        <v/>
      </c>
      <c r="P54" s="125"/>
      <c r="Q54" s="121" t="s">
        <v>407</v>
      </c>
      <c r="R54" s="126">
        <f>R53</f>
        <v>12</v>
      </c>
      <c r="S54" s="121"/>
      <c r="T54" s="121" t="s">
        <v>408</v>
      </c>
      <c r="U54" s="121"/>
      <c r="V54" s="122">
        <f>IF(P54=0,N54*R54,N54*P54*R54)</f>
        <v>0</v>
      </c>
      <c r="W54" s="122"/>
      <c r="X54" s="122"/>
      <c r="Y54" s="122"/>
    </row>
    <row r="55" spans="1:26" hidden="1">
      <c r="A55" s="118"/>
      <c r="B55" s="118"/>
      <c r="C55" s="118"/>
      <c r="D55" s="134"/>
      <c r="E55" s="134"/>
      <c r="F55" s="135"/>
      <c r="G55" s="134"/>
      <c r="H55" s="136"/>
      <c r="I55" s="136"/>
      <c r="J55" s="136"/>
      <c r="K55" s="260"/>
      <c r="L55" s="130" t="str">
        <f>"    - "&amp;데이터입력!Z27</f>
        <v xml:space="preserve">    - </v>
      </c>
      <c r="M55" s="137"/>
      <c r="N55" s="138">
        <f>데이터입력!AA27</f>
        <v>0</v>
      </c>
      <c r="O55" s="131" t="s">
        <v>407</v>
      </c>
      <c r="P55" s="139"/>
      <c r="Q55" s="131" t="s">
        <v>407</v>
      </c>
      <c r="R55" s="140">
        <f>데이터입력!$Y$8</f>
        <v>12</v>
      </c>
      <c r="S55" s="131"/>
      <c r="T55" s="131" t="s">
        <v>408</v>
      </c>
      <c r="U55" s="131"/>
      <c r="V55" s="141">
        <f>IF(P55=0,N55*R55,N55*P55*R55)</f>
        <v>0</v>
      </c>
      <c r="W55" s="141"/>
      <c r="X55" s="141"/>
      <c r="Y55" s="141"/>
    </row>
    <row r="56" spans="1:26">
      <c r="A56" s="118"/>
      <c r="B56" s="118"/>
      <c r="C56" s="108" t="s">
        <v>15</v>
      </c>
      <c r="D56" s="108" t="s">
        <v>15</v>
      </c>
      <c r="E56" s="108">
        <v>404010101</v>
      </c>
      <c r="F56" s="109" t="s">
        <v>84</v>
      </c>
      <c r="G56" s="108" t="s">
        <v>14</v>
      </c>
      <c r="H56" s="110">
        <f>IFERROR(IF(VLOOKUP(K56,데이터입력!$C$3:$L$40,5,FALSE)&lt;1000,ROUNDUP(VLOOKUP(K56,데이터입력!$C$3:$L$40,5,FALSE)*1/1000,0),ROUND(VLOOKUP(K56,데이터입력!$C$3:$L$40,5,FALSE)*1/1000,0)),0)</f>
        <v>0</v>
      </c>
      <c r="I56" s="110">
        <f>IFERROR(IF(F56="06",IF(V56&lt;1000,ROUNDUP((V56)*1/1000,0),ROUND((V56)*1/1000,0)),IF(F56="07",IF(W56&lt;1000,ROUNDUP((W56)*1/1000,0),ROUND((W56)*1/1000,0)),IF(F56="05",IF(X56&lt;1000,ROUNDUP((X56)*1/1000,0),ROUND((X56)*1/1000,0))))),0)</f>
        <v>0</v>
      </c>
      <c r="J56" s="111">
        <f>I56-H56</f>
        <v>0</v>
      </c>
      <c r="K56" s="111" t="str">
        <f>D56&amp;"("&amp;G56&amp;")"</f>
        <v>시도보조금(보조금)</v>
      </c>
      <c r="L56" s="112" t="str">
        <f>D56</f>
        <v>시도보조금</v>
      </c>
      <c r="M56" s="274"/>
      <c r="N56" s="114"/>
      <c r="O56" s="115"/>
      <c r="P56" s="114"/>
      <c r="Q56" s="115"/>
      <c r="R56" s="114"/>
      <c r="S56" s="115"/>
      <c r="T56" s="115"/>
      <c r="U56" s="115"/>
      <c r="V56" s="116"/>
      <c r="W56" s="116">
        <f>SUM(W57:W59)</f>
        <v>0</v>
      </c>
      <c r="X56" s="116"/>
      <c r="Y56" s="116">
        <f>SUM(V56:X56)</f>
        <v>0</v>
      </c>
      <c r="Z56" s="98">
        <f>IFERROR(VLOOKUP(L56,데이터입력!$R$54:$T$59,3,FALSE),0)</f>
        <v>0</v>
      </c>
    </row>
    <row r="57" spans="1:26">
      <c r="A57" s="118"/>
      <c r="B57" s="118"/>
      <c r="C57" s="118"/>
      <c r="D57" s="118"/>
      <c r="E57" s="118"/>
      <c r="F57" s="132"/>
      <c r="G57" s="118"/>
      <c r="H57" s="133"/>
      <c r="I57" s="133"/>
      <c r="J57" s="133"/>
      <c r="K57" s="259"/>
      <c r="L57" s="127" t="str">
        <f>"    - "&amp;데이터입력!Z75</f>
        <v xml:space="preserve">    - 시도보조금</v>
      </c>
      <c r="M57" s="263"/>
      <c r="N57" s="124">
        <f>데이터입력!AA75</f>
        <v>0</v>
      </c>
      <c r="O57" s="121" t="str">
        <f>IF(P57="","","x ")</f>
        <v/>
      </c>
      <c r="P57" s="125"/>
      <c r="Q57" s="121" t="s">
        <v>407</v>
      </c>
      <c r="R57" s="126">
        <f>IF(VLOOKUP(L56,데이터입력!$R$54:$U$59,4,FALSE)="",데이터입력!$Y$8,VLOOKUP(L56,데이터입력!$R$54:$U$59,4,FALSE))</f>
        <v>12</v>
      </c>
      <c r="S57" s="121"/>
      <c r="T57" s="121" t="s">
        <v>408</v>
      </c>
      <c r="U57" s="121"/>
      <c r="V57" s="122"/>
      <c r="W57" s="122">
        <f>IF(P57="",N57*R57,N57*P57*R57)</f>
        <v>0</v>
      </c>
      <c r="X57" s="122"/>
      <c r="Y57" s="122"/>
    </row>
    <row r="58" spans="1:26">
      <c r="A58" s="118"/>
      <c r="B58" s="118"/>
      <c r="C58" s="118"/>
      <c r="D58" s="118"/>
      <c r="E58" s="118"/>
      <c r="F58" s="132"/>
      <c r="G58" s="118"/>
      <c r="H58" s="133"/>
      <c r="I58" s="133"/>
      <c r="J58" s="133"/>
      <c r="K58" s="259"/>
      <c r="L58" s="127" t="str">
        <f>"    - "&amp;데이터입력!Z76</f>
        <v xml:space="preserve">    - </v>
      </c>
      <c r="M58" s="263"/>
      <c r="N58" s="124">
        <f>데이터입력!AA76</f>
        <v>0</v>
      </c>
      <c r="O58" s="121" t="str">
        <f>IF(P58="","","x ")</f>
        <v/>
      </c>
      <c r="P58" s="125"/>
      <c r="Q58" s="121" t="s">
        <v>407</v>
      </c>
      <c r="R58" s="126">
        <f>R57</f>
        <v>12</v>
      </c>
      <c r="S58" s="121"/>
      <c r="T58" s="121" t="s">
        <v>408</v>
      </c>
      <c r="U58" s="121"/>
      <c r="V58" s="122"/>
      <c r="W58" s="122">
        <f t="shared" ref="W58:W59" si="23">IF(P58="",N58*R58,N58*P58*R58)</f>
        <v>0</v>
      </c>
      <c r="X58" s="122"/>
      <c r="Y58" s="122"/>
    </row>
    <row r="59" spans="1:26" hidden="1">
      <c r="A59" s="118"/>
      <c r="B59" s="118"/>
      <c r="C59" s="118"/>
      <c r="D59" s="134"/>
      <c r="E59" s="134"/>
      <c r="F59" s="135"/>
      <c r="G59" s="134"/>
      <c r="H59" s="136"/>
      <c r="I59" s="136"/>
      <c r="J59" s="136"/>
      <c r="K59" s="260"/>
      <c r="L59" s="130" t="str">
        <f>"    - "&amp;데이터입력!Z77</f>
        <v xml:space="preserve">    - </v>
      </c>
      <c r="M59" s="137"/>
      <c r="N59" s="138">
        <f>데이터입력!AA77</f>
        <v>0</v>
      </c>
      <c r="O59" s="131" t="s">
        <v>407</v>
      </c>
      <c r="P59" s="139"/>
      <c r="Q59" s="131" t="s">
        <v>407</v>
      </c>
      <c r="R59" s="140">
        <f>데이터입력!$Y$8</f>
        <v>12</v>
      </c>
      <c r="S59" s="131"/>
      <c r="T59" s="131" t="s">
        <v>408</v>
      </c>
      <c r="U59" s="131"/>
      <c r="V59" s="141"/>
      <c r="W59" s="141">
        <f t="shared" si="23"/>
        <v>0</v>
      </c>
      <c r="X59" s="141"/>
      <c r="Y59" s="141"/>
    </row>
    <row r="60" spans="1:26">
      <c r="A60" s="118"/>
      <c r="B60" s="118"/>
      <c r="C60" s="118"/>
      <c r="D60" s="108" t="s">
        <v>15</v>
      </c>
      <c r="E60" s="108">
        <v>404010101</v>
      </c>
      <c r="F60" s="109" t="s">
        <v>410</v>
      </c>
      <c r="G60" s="108" t="s">
        <v>411</v>
      </c>
      <c r="H60" s="110">
        <f>IFERROR(IF(VLOOKUP(K60,데이터입력!$C$3:$L$40,5,FALSE)&lt;1000,ROUNDUP(VLOOKUP(K60,데이터입력!$C$3:$L$40,5,FALSE)*1/1000,0),ROUND(VLOOKUP(K60,데이터입력!$C$3:$L$40,5,FALSE)*1/1000,0)),0)</f>
        <v>0</v>
      </c>
      <c r="I60" s="110">
        <f>IFERROR(IF(F60="06",IF(V60&lt;1000,ROUNDUP((V60)*1/1000,0),ROUND((V60)*1/1000,0)),IF(F60="07",IF(W60&lt;1000,ROUNDUP((W60)*1/1000,0),ROUND((W60)*1/1000,0)),IF(F60="05",IF(X60&lt;1000,ROUNDUP((X60)*1/1000,0),ROUND((X60)*1/1000,0))))),0)</f>
        <v>0</v>
      </c>
      <c r="J60" s="111">
        <f>I60-H60</f>
        <v>0</v>
      </c>
      <c r="K60" s="111" t="str">
        <f>D60&amp;"("&amp;G60&amp;")"</f>
        <v>시도보조금(수익사업)</v>
      </c>
      <c r="L60" s="275" t="str">
        <f>D60</f>
        <v>시도보조금</v>
      </c>
      <c r="M60" s="274"/>
      <c r="N60" s="114"/>
      <c r="O60" s="115"/>
      <c r="P60" s="114"/>
      <c r="Q60" s="115"/>
      <c r="R60" s="114"/>
      <c r="S60" s="115"/>
      <c r="T60" s="115"/>
      <c r="U60" s="115"/>
      <c r="V60" s="116">
        <f>SUM(V61:V63)</f>
        <v>0</v>
      </c>
      <c r="W60" s="116"/>
      <c r="X60" s="116"/>
      <c r="Y60" s="116">
        <f>SUM(V60:X60)</f>
        <v>0</v>
      </c>
      <c r="Z60" s="98">
        <f>IFERROR(VLOOKUP(L60,데이터입력!$R$32:$T$53,3,FALSE),0)</f>
        <v>0</v>
      </c>
    </row>
    <row r="61" spans="1:26">
      <c r="A61" s="118"/>
      <c r="B61" s="118"/>
      <c r="C61" s="118"/>
      <c r="D61" s="118"/>
      <c r="E61" s="118"/>
      <c r="F61" s="132"/>
      <c r="G61" s="118"/>
      <c r="H61" s="133"/>
      <c r="I61" s="133"/>
      <c r="J61" s="133"/>
      <c r="K61" s="259"/>
      <c r="L61" s="127" t="str">
        <f>"    - "&amp;데이터입력!AB25</f>
        <v xml:space="preserve">    - 시도보조금</v>
      </c>
      <c r="M61" s="263"/>
      <c r="N61" s="124">
        <f>데이터입력!AC25</f>
        <v>0</v>
      </c>
      <c r="O61" s="121" t="str">
        <f t="shared" ref="O61:O62" si="24">IF(P61="","","x ")</f>
        <v/>
      </c>
      <c r="P61" s="125"/>
      <c r="Q61" s="121" t="s">
        <v>407</v>
      </c>
      <c r="R61" s="126">
        <f>IF(VLOOKUP(L60,데이터입력!$R$32:$U$53,4,FALSE)="",데이터입력!$Y$8,VLOOKUP(L60,데이터입력!$R$32:$U$53,4,FALSE))</f>
        <v>12</v>
      </c>
      <c r="S61" s="121"/>
      <c r="T61" s="121" t="s">
        <v>408</v>
      </c>
      <c r="U61" s="121"/>
      <c r="V61" s="122">
        <f>IF(P61=0,N61*R61,N61*P61*R61)</f>
        <v>0</v>
      </c>
      <c r="W61" s="122"/>
      <c r="X61" s="122"/>
      <c r="Y61" s="122"/>
    </row>
    <row r="62" spans="1:26">
      <c r="A62" s="118"/>
      <c r="B62" s="118"/>
      <c r="C62" s="118"/>
      <c r="D62" s="118"/>
      <c r="E62" s="118"/>
      <c r="F62" s="132"/>
      <c r="G62" s="118"/>
      <c r="H62" s="133"/>
      <c r="I62" s="133"/>
      <c r="J62" s="133"/>
      <c r="K62" s="259"/>
      <c r="L62" s="127" t="str">
        <f>"    - "&amp;데이터입력!AB26</f>
        <v xml:space="preserve">    - </v>
      </c>
      <c r="M62" s="263"/>
      <c r="N62" s="124">
        <f>데이터입력!AC26</f>
        <v>0</v>
      </c>
      <c r="O62" s="121" t="str">
        <f t="shared" si="24"/>
        <v/>
      </c>
      <c r="P62" s="125"/>
      <c r="Q62" s="121" t="s">
        <v>407</v>
      </c>
      <c r="R62" s="126">
        <f>R61</f>
        <v>12</v>
      </c>
      <c r="S62" s="121"/>
      <c r="T62" s="121" t="s">
        <v>408</v>
      </c>
      <c r="U62" s="121"/>
      <c r="V62" s="122">
        <f>IF(P62=0,N62*R62,N62*P62*R62)</f>
        <v>0</v>
      </c>
      <c r="W62" s="122"/>
      <c r="X62" s="122"/>
      <c r="Y62" s="122"/>
    </row>
    <row r="63" spans="1:26" hidden="1">
      <c r="A63" s="118"/>
      <c r="B63" s="118"/>
      <c r="C63" s="118"/>
      <c r="D63" s="134"/>
      <c r="E63" s="134"/>
      <c r="F63" s="135"/>
      <c r="G63" s="134"/>
      <c r="H63" s="136"/>
      <c r="I63" s="136"/>
      <c r="J63" s="136"/>
      <c r="K63" s="260"/>
      <c r="L63" s="130" t="str">
        <f>"    - "&amp;데이터입력!AB27</f>
        <v xml:space="preserve">    - </v>
      </c>
      <c r="M63" s="137"/>
      <c r="N63" s="138">
        <f>데이터입력!AC27</f>
        <v>0</v>
      </c>
      <c r="O63" s="131" t="s">
        <v>407</v>
      </c>
      <c r="P63" s="139"/>
      <c r="Q63" s="131" t="s">
        <v>407</v>
      </c>
      <c r="R63" s="140">
        <f>데이터입력!$Y$8</f>
        <v>12</v>
      </c>
      <c r="S63" s="131"/>
      <c r="T63" s="131" t="s">
        <v>408</v>
      </c>
      <c r="U63" s="131"/>
      <c r="V63" s="141">
        <f>IF(P63=0,N63*R63,N63*P63*R63)</f>
        <v>0</v>
      </c>
      <c r="W63" s="141"/>
      <c r="X63" s="141"/>
      <c r="Y63" s="141"/>
    </row>
    <row r="64" spans="1:26">
      <c r="A64" s="118"/>
      <c r="B64" s="118"/>
      <c r="C64" s="108" t="s">
        <v>16</v>
      </c>
      <c r="D64" s="108" t="s">
        <v>16</v>
      </c>
      <c r="E64" s="108">
        <v>404010301</v>
      </c>
      <c r="F64" s="109" t="s">
        <v>84</v>
      </c>
      <c r="G64" s="108" t="s">
        <v>14</v>
      </c>
      <c r="H64" s="110">
        <f>IFERROR(IF(VLOOKUP(K64,데이터입력!$C$3:$L$40,5,FALSE)&lt;1000,ROUNDUP(VLOOKUP(K64,데이터입력!$C$3:$L$40,5,FALSE)*1/1000,0),ROUND(VLOOKUP(K64,데이터입력!$C$3:$L$40,5,FALSE)*1/1000,0)),0)</f>
        <v>0</v>
      </c>
      <c r="I64" s="110">
        <f>IFERROR(IF(F64="06",IF(V64&lt;1000,ROUNDUP((V64)*1/1000,0),ROUND((V64)*1/1000,0)),IF(F64="07",IF(W64&lt;1000,ROUNDUP((W64)*1/1000,0),ROUND((W64)*1/1000,0)),IF(F64="05",IF(X64&lt;1000,ROUNDUP((X64)*1/1000,0),ROUND((X64)*1/1000,0))))),0)</f>
        <v>0</v>
      </c>
      <c r="J64" s="111">
        <f>I64-H64</f>
        <v>0</v>
      </c>
      <c r="K64" s="111" t="str">
        <f>D64&amp;"("&amp;G64&amp;")"</f>
        <v>시군구보조금(보조금)</v>
      </c>
      <c r="L64" s="112" t="str">
        <f>D64</f>
        <v>시군구보조금</v>
      </c>
      <c r="M64" s="274"/>
      <c r="N64" s="114"/>
      <c r="O64" s="115"/>
      <c r="P64" s="114"/>
      <c r="Q64" s="115"/>
      <c r="R64" s="114"/>
      <c r="S64" s="115"/>
      <c r="T64" s="115"/>
      <c r="U64" s="115"/>
      <c r="V64" s="116"/>
      <c r="W64" s="116">
        <f>SUM(W65:W71)</f>
        <v>0</v>
      </c>
      <c r="X64" s="116"/>
      <c r="Y64" s="116">
        <f>SUM(V64:X64)</f>
        <v>0</v>
      </c>
      <c r="Z64" s="98">
        <f>IFERROR(VLOOKUP(L64,데이터입력!$R$54:$T$59,3,FALSE),0)</f>
        <v>0</v>
      </c>
    </row>
    <row r="65" spans="1:26">
      <c r="A65" s="118"/>
      <c r="B65" s="118"/>
      <c r="C65" s="118"/>
      <c r="D65" s="118"/>
      <c r="E65" s="118"/>
      <c r="F65" s="132"/>
      <c r="G65" s="118"/>
      <c r="H65" s="133"/>
      <c r="I65" s="133"/>
      <c r="J65" s="133"/>
      <c r="K65" s="259"/>
      <c r="L65" s="127" t="str">
        <f>"    - "&amp;데이터입력!R4</f>
        <v xml:space="preserve">    - 시군구보조금</v>
      </c>
      <c r="M65" s="263"/>
      <c r="N65" s="124">
        <f>데이터입력!$T$4</f>
        <v>303266</v>
      </c>
      <c r="O65" s="121" t="str">
        <f t="shared" ref="O65:O70" si="25">IF(P65="","","x ")</f>
        <v xml:space="preserve">x </v>
      </c>
      <c r="P65" s="125">
        <f>데이터입력!$U$4</f>
        <v>0</v>
      </c>
      <c r="Q65" s="121" t="s">
        <v>407</v>
      </c>
      <c r="R65" s="126">
        <f>데이터입력!$Y$8</f>
        <v>12</v>
      </c>
      <c r="S65" s="121"/>
      <c r="T65" s="121" t="s">
        <v>408</v>
      </c>
      <c r="U65" s="121"/>
      <c r="V65" s="122"/>
      <c r="W65" s="122">
        <f>IFERROR(N65*P65*R65,0)</f>
        <v>0</v>
      </c>
      <c r="X65" s="122"/>
      <c r="Y65" s="122"/>
    </row>
    <row r="66" spans="1:26">
      <c r="A66" s="118"/>
      <c r="B66" s="118"/>
      <c r="C66" s="118"/>
      <c r="D66" s="118"/>
      <c r="E66" s="118"/>
      <c r="F66" s="132"/>
      <c r="G66" s="118"/>
      <c r="H66" s="133"/>
      <c r="I66" s="133"/>
      <c r="J66" s="133"/>
      <c r="K66" s="259"/>
      <c r="L66" s="127" t="str">
        <f>"    - "&amp;데이터입력!R5</f>
        <v xml:space="preserve">    - 월동대책비</v>
      </c>
      <c r="M66" s="263"/>
      <c r="N66" s="124">
        <f>데이터입력!$T$5</f>
        <v>40000</v>
      </c>
      <c r="O66" s="121" t="str">
        <f t="shared" si="25"/>
        <v xml:space="preserve">x </v>
      </c>
      <c r="P66" s="125">
        <f>데이터입력!$U$4</f>
        <v>0</v>
      </c>
      <c r="Q66" s="121" t="s">
        <v>407</v>
      </c>
      <c r="R66" s="276">
        <f>데이터입력!$V$5</f>
        <v>1</v>
      </c>
      <c r="S66" s="121"/>
      <c r="T66" s="121" t="s">
        <v>408</v>
      </c>
      <c r="U66" s="121"/>
      <c r="V66" s="122"/>
      <c r="W66" s="122">
        <f t="shared" ref="W66:W67" si="26">IFERROR(N66*P66*R66,0)</f>
        <v>0</v>
      </c>
      <c r="X66" s="122"/>
      <c r="Y66" s="122"/>
    </row>
    <row r="67" spans="1:26">
      <c r="A67" s="118"/>
      <c r="B67" s="118"/>
      <c r="C67" s="118"/>
      <c r="D67" s="118"/>
      <c r="E67" s="118"/>
      <c r="F67" s="132"/>
      <c r="G67" s="118"/>
      <c r="H67" s="133"/>
      <c r="I67" s="133"/>
      <c r="J67" s="133"/>
      <c r="K67" s="259"/>
      <c r="L67" s="127" t="str">
        <f>"    - "&amp;데이터입력!R6</f>
        <v xml:space="preserve">    - 특별위로금</v>
      </c>
      <c r="M67" s="263"/>
      <c r="N67" s="124">
        <f>데이터입력!$T$6</f>
        <v>50000</v>
      </c>
      <c r="O67" s="121" t="str">
        <f t="shared" si="25"/>
        <v xml:space="preserve">x </v>
      </c>
      <c r="P67" s="125">
        <f>데이터입력!$U$4</f>
        <v>0</v>
      </c>
      <c r="Q67" s="121" t="s">
        <v>407</v>
      </c>
      <c r="R67" s="276">
        <f>데이터입력!$V$6</f>
        <v>2</v>
      </c>
      <c r="S67" s="121"/>
      <c r="T67" s="121" t="s">
        <v>408</v>
      </c>
      <c r="U67" s="121"/>
      <c r="V67" s="122"/>
      <c r="W67" s="122">
        <f t="shared" si="26"/>
        <v>0</v>
      </c>
      <c r="X67" s="122"/>
      <c r="Y67" s="122"/>
    </row>
    <row r="68" spans="1:26">
      <c r="A68" s="118"/>
      <c r="B68" s="118"/>
      <c r="C68" s="118"/>
      <c r="D68" s="118"/>
      <c r="E68" s="118"/>
      <c r="F68" s="132"/>
      <c r="G68" s="118"/>
      <c r="H68" s="133"/>
      <c r="I68" s="133"/>
      <c r="J68" s="133"/>
      <c r="K68" s="259"/>
      <c r="L68" s="127" t="str">
        <f>"    - "&amp;데이터입력!AD76</f>
        <v xml:space="preserve">    - </v>
      </c>
      <c r="M68" s="263"/>
      <c r="N68" s="124">
        <f>데이터입력!AE76</f>
        <v>0</v>
      </c>
      <c r="O68" s="121" t="str">
        <f t="shared" si="25"/>
        <v/>
      </c>
      <c r="P68" s="125"/>
      <c r="Q68" s="121" t="s">
        <v>407</v>
      </c>
      <c r="R68" s="126">
        <f>데이터입력!AF76</f>
        <v>1</v>
      </c>
      <c r="S68" s="121"/>
      <c r="T68" s="121" t="s">
        <v>408</v>
      </c>
      <c r="U68" s="121"/>
      <c r="V68" s="122"/>
      <c r="W68" s="122">
        <f t="shared" ref="W68:W70" si="27">IF(P68="",N68*R68,N68*P68*R68)</f>
        <v>0</v>
      </c>
      <c r="X68" s="122"/>
      <c r="Y68" s="122"/>
    </row>
    <row r="69" spans="1:26">
      <c r="A69" s="118"/>
      <c r="B69" s="118"/>
      <c r="C69" s="118"/>
      <c r="D69" s="118"/>
      <c r="E69" s="118"/>
      <c r="F69" s="132"/>
      <c r="G69" s="118"/>
      <c r="H69" s="133"/>
      <c r="I69" s="133"/>
      <c r="J69" s="133"/>
      <c r="K69" s="259"/>
      <c r="L69" s="127" t="str">
        <f>"    - "&amp;데이터입력!AD77</f>
        <v xml:space="preserve">    - </v>
      </c>
      <c r="M69" s="263"/>
      <c r="N69" s="124">
        <f>데이터입력!AE77</f>
        <v>0</v>
      </c>
      <c r="O69" s="121" t="str">
        <f t="shared" si="25"/>
        <v/>
      </c>
      <c r="P69" s="125"/>
      <c r="Q69" s="121" t="s">
        <v>407</v>
      </c>
      <c r="R69" s="126">
        <f>데이터입력!AF77</f>
        <v>1</v>
      </c>
      <c r="S69" s="121"/>
      <c r="T69" s="121" t="s">
        <v>408</v>
      </c>
      <c r="U69" s="121"/>
      <c r="V69" s="122"/>
      <c r="W69" s="122">
        <f t="shared" si="27"/>
        <v>0</v>
      </c>
      <c r="X69" s="122"/>
      <c r="Y69" s="122"/>
    </row>
    <row r="70" spans="1:26">
      <c r="A70" s="118"/>
      <c r="B70" s="118"/>
      <c r="C70" s="118"/>
      <c r="D70" s="118"/>
      <c r="E70" s="118"/>
      <c r="F70" s="132"/>
      <c r="G70" s="118"/>
      <c r="H70" s="133"/>
      <c r="I70" s="133"/>
      <c r="J70" s="133"/>
      <c r="K70" s="259"/>
      <c r="L70" s="127" t="str">
        <f>"    - "&amp;데이터입력!AD78</f>
        <v xml:space="preserve">    - </v>
      </c>
      <c r="M70" s="263"/>
      <c r="N70" s="124">
        <f>데이터입력!AE78</f>
        <v>0</v>
      </c>
      <c r="O70" s="121" t="str">
        <f t="shared" si="25"/>
        <v/>
      </c>
      <c r="P70" s="125"/>
      <c r="Q70" s="121" t="s">
        <v>407</v>
      </c>
      <c r="R70" s="126">
        <f>데이터입력!AF78</f>
        <v>1</v>
      </c>
      <c r="S70" s="121"/>
      <c r="T70" s="121" t="s">
        <v>408</v>
      </c>
      <c r="U70" s="121"/>
      <c r="V70" s="122"/>
      <c r="W70" s="122">
        <f t="shared" si="27"/>
        <v>0</v>
      </c>
      <c r="X70" s="122"/>
      <c r="Y70" s="122"/>
    </row>
    <row r="71" spans="1:26" hidden="1">
      <c r="A71" s="118"/>
      <c r="B71" s="118"/>
      <c r="C71" s="118"/>
      <c r="D71" s="118"/>
      <c r="E71" s="118"/>
      <c r="F71" s="132"/>
      <c r="G71" s="118"/>
      <c r="H71" s="133"/>
      <c r="I71" s="133"/>
      <c r="J71" s="133"/>
      <c r="K71" s="259"/>
      <c r="L71" s="127"/>
      <c r="M71" s="263"/>
      <c r="N71" s="124"/>
      <c r="O71" s="121"/>
      <c r="P71" s="125"/>
      <c r="Q71" s="121"/>
      <c r="R71" s="276"/>
      <c r="S71" s="121"/>
      <c r="T71" s="121"/>
      <c r="U71" s="121"/>
      <c r="V71" s="122"/>
      <c r="W71" s="122"/>
      <c r="X71" s="122"/>
      <c r="Y71" s="122"/>
    </row>
    <row r="72" spans="1:26">
      <c r="A72" s="118"/>
      <c r="B72" s="118"/>
      <c r="C72" s="118"/>
      <c r="D72" s="108" t="s">
        <v>16</v>
      </c>
      <c r="E72" s="108">
        <v>404010301</v>
      </c>
      <c r="F72" s="109" t="s">
        <v>410</v>
      </c>
      <c r="G72" s="108" t="s">
        <v>411</v>
      </c>
      <c r="H72" s="110">
        <f>IFERROR(IF(VLOOKUP(K72,데이터입력!$C$3:$L$40,5,FALSE)&lt;1000,ROUNDUP(VLOOKUP(K72,데이터입력!$C$3:$L$40,5,FALSE)*1/1000,0),ROUND(VLOOKUP(K72,데이터입력!$C$3:$L$40,5,FALSE)*1/1000,0)),0)</f>
        <v>0</v>
      </c>
      <c r="I72" s="110">
        <f>IFERROR(IF(F72="06",IF(V72&lt;1000,ROUNDUP((V72)*1/1000,0),ROUND((V72)*1/1000,0)),IF(F72="07",IF(W72&lt;1000,ROUNDUP((W72)*1/1000,0),ROUND((W72)*1/1000,0)),IF(F72="05",IF(X72&lt;1000,ROUNDUP((X72)*1/1000,0),ROUND((X72)*1/1000,0))))),0)</f>
        <v>0</v>
      </c>
      <c r="J72" s="111">
        <f>I72-H72</f>
        <v>0</v>
      </c>
      <c r="K72" s="111" t="str">
        <f>D72&amp;"("&amp;G72&amp;")"</f>
        <v>시군구보조금(수익사업)</v>
      </c>
      <c r="L72" s="275" t="str">
        <f>D72</f>
        <v>시군구보조금</v>
      </c>
      <c r="M72" s="274"/>
      <c r="N72" s="114"/>
      <c r="O72" s="115"/>
      <c r="P72" s="114"/>
      <c r="Q72" s="115"/>
      <c r="R72" s="114"/>
      <c r="S72" s="115"/>
      <c r="T72" s="115"/>
      <c r="U72" s="115"/>
      <c r="V72" s="116">
        <f>SUM(V73:V75)</f>
        <v>0</v>
      </c>
      <c r="W72" s="116"/>
      <c r="X72" s="116"/>
      <c r="Y72" s="116">
        <f>SUM(V72:X72)</f>
        <v>0</v>
      </c>
      <c r="Z72" s="98">
        <f>IFERROR(VLOOKUP(L72,데이터입력!$R$32:$T$53,3,FALSE),0)</f>
        <v>0</v>
      </c>
    </row>
    <row r="73" spans="1:26">
      <c r="A73" s="118"/>
      <c r="B73" s="118"/>
      <c r="C73" s="118"/>
      <c r="D73" s="118"/>
      <c r="E73" s="118"/>
      <c r="F73" s="132"/>
      <c r="G73" s="118"/>
      <c r="H73" s="133"/>
      <c r="I73" s="133"/>
      <c r="J73" s="133"/>
      <c r="K73" s="259"/>
      <c r="L73" s="127" t="str">
        <f>"    - "&amp;데이터입력!Z29</f>
        <v xml:space="preserve">    - 시군구보조금</v>
      </c>
      <c r="M73" s="263"/>
      <c r="N73" s="124">
        <f>데이터입력!AA29</f>
        <v>0</v>
      </c>
      <c r="O73" s="121" t="str">
        <f t="shared" ref="O73:O74" si="28">IF(P73="","","x ")</f>
        <v/>
      </c>
      <c r="P73" s="125"/>
      <c r="Q73" s="121" t="s">
        <v>407</v>
      </c>
      <c r="R73" s="126">
        <f>IF(VLOOKUP(L72,데이터입력!$R$32:$U$53,4,FALSE)="",데이터입력!$Y$8,VLOOKUP(L72,데이터입력!$R$32:$U$53,4,FALSE))</f>
        <v>12</v>
      </c>
      <c r="S73" s="121"/>
      <c r="T73" s="121" t="s">
        <v>408</v>
      </c>
      <c r="U73" s="121"/>
      <c r="V73" s="122">
        <f>IF(P73=0,N73*R73,N73*P73*R73)</f>
        <v>0</v>
      </c>
      <c r="W73" s="122"/>
      <c r="X73" s="122"/>
      <c r="Y73" s="122"/>
    </row>
    <row r="74" spans="1:26">
      <c r="A74" s="118"/>
      <c r="B74" s="118"/>
      <c r="C74" s="118"/>
      <c r="D74" s="118"/>
      <c r="E74" s="118"/>
      <c r="F74" s="132"/>
      <c r="G74" s="118"/>
      <c r="H74" s="133"/>
      <c r="I74" s="133"/>
      <c r="J74" s="133"/>
      <c r="K74" s="259"/>
      <c r="L74" s="127" t="str">
        <f>"    - "&amp;데이터입력!Z30</f>
        <v xml:space="preserve">    - </v>
      </c>
      <c r="M74" s="263"/>
      <c r="N74" s="124">
        <f>데이터입력!AA30</f>
        <v>0</v>
      </c>
      <c r="O74" s="121" t="str">
        <f t="shared" si="28"/>
        <v/>
      </c>
      <c r="P74" s="125"/>
      <c r="Q74" s="121" t="s">
        <v>407</v>
      </c>
      <c r="R74" s="126">
        <f>R73</f>
        <v>12</v>
      </c>
      <c r="S74" s="121"/>
      <c r="T74" s="121" t="s">
        <v>408</v>
      </c>
      <c r="U74" s="121"/>
      <c r="V74" s="122">
        <f>IF(P74=0,N74*R74,N74*P74*R74)</f>
        <v>0</v>
      </c>
      <c r="W74" s="122"/>
      <c r="X74" s="122"/>
      <c r="Y74" s="122"/>
    </row>
    <row r="75" spans="1:26" hidden="1">
      <c r="A75" s="118"/>
      <c r="B75" s="118"/>
      <c r="C75" s="118"/>
      <c r="D75" s="134"/>
      <c r="E75" s="134"/>
      <c r="F75" s="135"/>
      <c r="G75" s="134"/>
      <c r="H75" s="136"/>
      <c r="I75" s="136"/>
      <c r="J75" s="136"/>
      <c r="K75" s="260"/>
      <c r="L75" s="130" t="str">
        <f>"    - "&amp;데이터입력!Z31</f>
        <v xml:space="preserve">    - </v>
      </c>
      <c r="M75" s="137"/>
      <c r="N75" s="138">
        <f>데이터입력!AA31</f>
        <v>0</v>
      </c>
      <c r="O75" s="131" t="s">
        <v>407</v>
      </c>
      <c r="P75" s="139"/>
      <c r="Q75" s="131" t="s">
        <v>407</v>
      </c>
      <c r="R75" s="140">
        <f>데이터입력!$Y$8</f>
        <v>12</v>
      </c>
      <c r="S75" s="131"/>
      <c r="T75" s="131" t="s">
        <v>408</v>
      </c>
      <c r="U75" s="131"/>
      <c r="V75" s="141">
        <f>IF(P75=0,N75*R75,N75*P75*R75)</f>
        <v>0</v>
      </c>
      <c r="W75" s="141"/>
      <c r="X75" s="141"/>
      <c r="Y75" s="141"/>
    </row>
    <row r="76" spans="1:26">
      <c r="A76" s="118"/>
      <c r="B76" s="118"/>
      <c r="C76" s="108" t="s">
        <v>17</v>
      </c>
      <c r="D76" s="108" t="s">
        <v>17</v>
      </c>
      <c r="E76" s="108">
        <v>404010401</v>
      </c>
      <c r="F76" s="109" t="s">
        <v>84</v>
      </c>
      <c r="G76" s="108" t="s">
        <v>14</v>
      </c>
      <c r="H76" s="110">
        <f>IFERROR(IF(VLOOKUP(K76,데이터입력!$C$3:$L$40,5,FALSE)&lt;1000,ROUNDUP(VLOOKUP(K76,데이터입력!$C$3:$L$40,5,FALSE)*1/1000,0),ROUND(VLOOKUP(K76,데이터입력!$C$3:$L$40,5,FALSE)*1/1000,0)),0)</f>
        <v>0</v>
      </c>
      <c r="I76" s="110">
        <f>IFERROR(IF(F76="06",IF(V76&lt;1000,ROUNDUP((V76)*1/1000,0),ROUND((V76)*1/1000,0)),IF(F76="07",IF(W76&lt;1000,ROUNDUP((W76)*1/1000,0),ROUND((W76)*1/1000,0)),IF(F76="05",IF(X76&lt;1000,ROUNDUP((X76)*1/1000,0),ROUND((X76)*1/1000,0))))),0)</f>
        <v>0</v>
      </c>
      <c r="J76" s="111">
        <f>I76-H76</f>
        <v>0</v>
      </c>
      <c r="K76" s="111" t="str">
        <f>D76&amp;"("&amp;G76&amp;")"</f>
        <v>기타보조금(보조금)</v>
      </c>
      <c r="L76" s="112" t="str">
        <f>D76</f>
        <v>기타보조금</v>
      </c>
      <c r="M76" s="274"/>
      <c r="N76" s="114"/>
      <c r="O76" s="115"/>
      <c r="P76" s="114"/>
      <c r="Q76" s="115"/>
      <c r="R76" s="114"/>
      <c r="S76" s="115"/>
      <c r="T76" s="115"/>
      <c r="U76" s="115"/>
      <c r="V76" s="116"/>
      <c r="W76" s="116">
        <f>SUM(W77:W79)</f>
        <v>0</v>
      </c>
      <c r="X76" s="116"/>
      <c r="Y76" s="116">
        <f>SUM(V76:X76)</f>
        <v>0</v>
      </c>
      <c r="Z76" s="98">
        <f>IFERROR(VLOOKUP(L76,데이터입력!$R$54:$T$59,3,FALSE),0)</f>
        <v>0</v>
      </c>
    </row>
    <row r="77" spans="1:26">
      <c r="A77" s="118"/>
      <c r="B77" s="118"/>
      <c r="C77" s="118"/>
      <c r="D77" s="118"/>
      <c r="E77" s="118"/>
      <c r="F77" s="132"/>
      <c r="G77" s="118"/>
      <c r="H77" s="133"/>
      <c r="I77" s="133"/>
      <c r="J77" s="133"/>
      <c r="K77" s="259"/>
      <c r="L77" s="127" t="str">
        <f>"    - "&amp;데이터입력!AB75</f>
        <v xml:space="preserve">    - 기타보조금</v>
      </c>
      <c r="M77" s="263"/>
      <c r="N77" s="124">
        <f>데이터입력!AC75</f>
        <v>0</v>
      </c>
      <c r="O77" s="121" t="str">
        <f t="shared" ref="O77:O78" si="29">IF(P77="","","x ")</f>
        <v/>
      </c>
      <c r="P77" s="125"/>
      <c r="Q77" s="121" t="s">
        <v>407</v>
      </c>
      <c r="R77" s="126">
        <f>IF(VLOOKUP(L76,데이터입력!$R$54:$U$59,4,FALSE)="",데이터입력!$Y$8,VLOOKUP(L76,데이터입력!$R$54:$U$59,4,FALSE))</f>
        <v>12</v>
      </c>
      <c r="S77" s="121"/>
      <c r="T77" s="121" t="s">
        <v>408</v>
      </c>
      <c r="U77" s="121"/>
      <c r="V77" s="122"/>
      <c r="W77" s="122">
        <f t="shared" ref="W77:W79" si="30">IF(P77="",N77*R77,N77*P77*R77)</f>
        <v>0</v>
      </c>
      <c r="X77" s="122"/>
      <c r="Y77" s="122"/>
    </row>
    <row r="78" spans="1:26">
      <c r="A78" s="118"/>
      <c r="B78" s="118"/>
      <c r="C78" s="118"/>
      <c r="D78" s="118"/>
      <c r="E78" s="118"/>
      <c r="F78" s="132"/>
      <c r="G78" s="118"/>
      <c r="H78" s="133"/>
      <c r="I78" s="133"/>
      <c r="J78" s="133"/>
      <c r="K78" s="259"/>
      <c r="L78" s="127" t="str">
        <f>"    - "&amp;데이터입력!AB76</f>
        <v xml:space="preserve">    - </v>
      </c>
      <c r="M78" s="263"/>
      <c r="N78" s="124">
        <f>데이터입력!AC76</f>
        <v>0</v>
      </c>
      <c r="O78" s="121" t="str">
        <f t="shared" si="29"/>
        <v/>
      </c>
      <c r="P78" s="125"/>
      <c r="Q78" s="121" t="s">
        <v>407</v>
      </c>
      <c r="R78" s="126">
        <f>R77</f>
        <v>12</v>
      </c>
      <c r="S78" s="121"/>
      <c r="T78" s="121" t="s">
        <v>408</v>
      </c>
      <c r="U78" s="121"/>
      <c r="V78" s="122"/>
      <c r="W78" s="122">
        <f t="shared" si="30"/>
        <v>0</v>
      </c>
      <c r="X78" s="122"/>
      <c r="Y78" s="122"/>
    </row>
    <row r="79" spans="1:26" hidden="1">
      <c r="A79" s="118"/>
      <c r="B79" s="118"/>
      <c r="C79" s="118"/>
      <c r="D79" s="134"/>
      <c r="E79" s="134"/>
      <c r="F79" s="135"/>
      <c r="G79" s="134"/>
      <c r="H79" s="136"/>
      <c r="I79" s="136"/>
      <c r="J79" s="136"/>
      <c r="K79" s="260"/>
      <c r="L79" s="130" t="str">
        <f>"    - "&amp;데이터입력!AB77</f>
        <v xml:space="preserve">    - </v>
      </c>
      <c r="M79" s="137"/>
      <c r="N79" s="138">
        <f>데이터입력!AC77</f>
        <v>0</v>
      </c>
      <c r="O79" s="131" t="s">
        <v>407</v>
      </c>
      <c r="P79" s="139"/>
      <c r="Q79" s="131" t="s">
        <v>407</v>
      </c>
      <c r="R79" s="140">
        <f>데이터입력!$Y$8</f>
        <v>12</v>
      </c>
      <c r="S79" s="131"/>
      <c r="T79" s="131" t="s">
        <v>408</v>
      </c>
      <c r="U79" s="131"/>
      <c r="V79" s="141"/>
      <c r="W79" s="141">
        <f t="shared" si="30"/>
        <v>0</v>
      </c>
      <c r="X79" s="141"/>
      <c r="Y79" s="141"/>
    </row>
    <row r="80" spans="1:26">
      <c r="A80" s="118"/>
      <c r="B80" s="118"/>
      <c r="C80" s="118"/>
      <c r="D80" s="108" t="s">
        <v>17</v>
      </c>
      <c r="E80" s="108">
        <v>404010401</v>
      </c>
      <c r="F80" s="109" t="s">
        <v>410</v>
      </c>
      <c r="G80" s="108" t="s">
        <v>411</v>
      </c>
      <c r="H80" s="110">
        <f>IFERROR(IF(VLOOKUP(K80,데이터입력!$C$3:$L$40,5,FALSE)&lt;1000,ROUNDUP(VLOOKUP(K80,데이터입력!$C$3:$L$40,5,FALSE)*1/1000,0),ROUND(VLOOKUP(K80,데이터입력!$C$3:$L$40,5,FALSE)*1/1000,0)),0)</f>
        <v>0</v>
      </c>
      <c r="I80" s="110">
        <f>IFERROR(IF(F80="06",IF(V80&lt;1000,ROUNDUP((V80)*1/1000,0),ROUND((V80)*1/1000,0)),IF(F80="07",IF(W80&lt;1000,ROUNDUP((W80)*1/1000,0),ROUND((W80)*1/1000,0)),IF(F80="05",IF(X80&lt;1000,ROUNDUP((X80)*1/1000,0),ROUND((X80)*1/1000,0))))),0)</f>
        <v>0</v>
      </c>
      <c r="J80" s="111">
        <f>I80-H80</f>
        <v>0</v>
      </c>
      <c r="K80" s="111" t="str">
        <f>D80&amp;"("&amp;G80&amp;")"</f>
        <v>기타보조금(수익사업)</v>
      </c>
      <c r="L80" s="275" t="str">
        <f>D80</f>
        <v>기타보조금</v>
      </c>
      <c r="M80" s="274"/>
      <c r="N80" s="114"/>
      <c r="O80" s="115"/>
      <c r="P80" s="114"/>
      <c r="Q80" s="115"/>
      <c r="R80" s="114"/>
      <c r="S80" s="115"/>
      <c r="T80" s="115"/>
      <c r="U80" s="115"/>
      <c r="V80" s="116">
        <f>SUM(V81:V83)</f>
        <v>0</v>
      </c>
      <c r="W80" s="116"/>
      <c r="X80" s="116"/>
      <c r="Y80" s="116">
        <f>SUM(V80:X80)</f>
        <v>0</v>
      </c>
      <c r="Z80" s="98">
        <f>IFERROR(VLOOKUP(L80,데이터입력!$R$32:$T$53,3,FALSE),0)</f>
        <v>0</v>
      </c>
    </row>
    <row r="81" spans="1:38">
      <c r="A81" s="118"/>
      <c r="B81" s="118"/>
      <c r="C81" s="118"/>
      <c r="D81" s="118"/>
      <c r="E81" s="118"/>
      <c r="F81" s="132"/>
      <c r="G81" s="118"/>
      <c r="H81" s="133"/>
      <c r="I81" s="133"/>
      <c r="J81" s="133"/>
      <c r="K81" s="259"/>
      <c r="L81" s="127" t="str">
        <f>"    - "&amp;데이터입력!AB29</f>
        <v xml:space="preserve">    - 기타보조금</v>
      </c>
      <c r="M81" s="263"/>
      <c r="N81" s="124">
        <f>데이터입력!AC29</f>
        <v>0</v>
      </c>
      <c r="O81" s="121" t="str">
        <f t="shared" ref="O81:O82" si="31">IF(P81="","","x ")</f>
        <v/>
      </c>
      <c r="P81" s="125"/>
      <c r="Q81" s="121" t="s">
        <v>407</v>
      </c>
      <c r="R81" s="126">
        <f>IF(VLOOKUP(L80,데이터입력!$R$32:$U$53,4,FALSE)="",데이터입력!$Y$8,VLOOKUP(L80,데이터입력!$R$32:$U$53,4,FALSE))</f>
        <v>12</v>
      </c>
      <c r="S81" s="121"/>
      <c r="T81" s="121" t="s">
        <v>408</v>
      </c>
      <c r="U81" s="121"/>
      <c r="V81" s="122">
        <f>IF(P81=0,N81*R81,N81*P81*R81)</f>
        <v>0</v>
      </c>
      <c r="W81" s="122"/>
      <c r="X81" s="122"/>
      <c r="Y81" s="122"/>
    </row>
    <row r="82" spans="1:38">
      <c r="A82" s="118"/>
      <c r="B82" s="118"/>
      <c r="C82" s="118"/>
      <c r="D82" s="118"/>
      <c r="E82" s="118"/>
      <c r="F82" s="132"/>
      <c r="G82" s="118"/>
      <c r="H82" s="133"/>
      <c r="I82" s="133"/>
      <c r="J82" s="133"/>
      <c r="K82" s="259"/>
      <c r="L82" s="127" t="str">
        <f>"    - "&amp;데이터입력!AB30</f>
        <v xml:space="preserve">    - </v>
      </c>
      <c r="M82" s="263"/>
      <c r="N82" s="124">
        <f>데이터입력!AC30</f>
        <v>0</v>
      </c>
      <c r="O82" s="121" t="str">
        <f t="shared" si="31"/>
        <v/>
      </c>
      <c r="P82" s="125"/>
      <c r="Q82" s="121" t="s">
        <v>407</v>
      </c>
      <c r="R82" s="126">
        <f>R81</f>
        <v>12</v>
      </c>
      <c r="S82" s="121"/>
      <c r="T82" s="121" t="s">
        <v>408</v>
      </c>
      <c r="U82" s="121"/>
      <c r="V82" s="122">
        <f>IF(P82=0,N82*R82,N82*P82*R82)</f>
        <v>0</v>
      </c>
      <c r="W82" s="122"/>
      <c r="X82" s="122"/>
      <c r="Y82" s="122"/>
    </row>
    <row r="83" spans="1:38" hidden="1">
      <c r="A83" s="118"/>
      <c r="B83" s="118"/>
      <c r="C83" s="118"/>
      <c r="D83" s="134"/>
      <c r="E83" s="134"/>
      <c r="F83" s="135"/>
      <c r="G83" s="134"/>
      <c r="H83" s="136"/>
      <c r="I83" s="136"/>
      <c r="J83" s="136"/>
      <c r="K83" s="260"/>
      <c r="L83" s="130" t="str">
        <f>"    - "&amp;데이터입력!AB31</f>
        <v xml:space="preserve">    - </v>
      </c>
      <c r="M83" s="137"/>
      <c r="N83" s="138">
        <f>데이터입력!AC31</f>
        <v>0</v>
      </c>
      <c r="O83" s="131" t="s">
        <v>407</v>
      </c>
      <c r="P83" s="139"/>
      <c r="Q83" s="131" t="s">
        <v>407</v>
      </c>
      <c r="R83" s="140">
        <f>데이터입력!$Y$8</f>
        <v>12</v>
      </c>
      <c r="S83" s="131"/>
      <c r="T83" s="131" t="s">
        <v>408</v>
      </c>
      <c r="U83" s="131"/>
      <c r="V83" s="141">
        <f>IF(P83=0,N83*R83,N83*P83*R83)</f>
        <v>0</v>
      </c>
      <c r="W83" s="141"/>
      <c r="X83" s="141"/>
      <c r="Y83" s="141"/>
    </row>
    <row r="84" spans="1:38">
      <c r="A84" s="314" t="s">
        <v>313</v>
      </c>
      <c r="B84" s="315" t="s">
        <v>313</v>
      </c>
      <c r="C84" s="317"/>
      <c r="D84" s="317"/>
      <c r="E84" s="317"/>
      <c r="F84" s="317"/>
      <c r="G84" s="317"/>
      <c r="H84" s="305">
        <f>SUM(H85,H88)</f>
        <v>0</v>
      </c>
      <c r="I84" s="305">
        <f>SUM(I85,I88)</f>
        <v>0</v>
      </c>
      <c r="J84" s="305">
        <f>SUM(J85,J88)</f>
        <v>0</v>
      </c>
      <c r="K84" s="305"/>
      <c r="L84" s="318"/>
      <c r="M84" s="318"/>
      <c r="N84" s="318"/>
      <c r="O84" s="318"/>
      <c r="P84" s="318"/>
      <c r="Q84" s="318"/>
      <c r="R84" s="318"/>
      <c r="S84" s="318"/>
      <c r="T84" s="318"/>
      <c r="U84" s="318"/>
      <c r="V84" s="328">
        <f>SUM(V85,V88)</f>
        <v>0</v>
      </c>
      <c r="W84" s="328">
        <f t="shared" ref="W84:Y84" si="32">SUM(W85,W88)</f>
        <v>0</v>
      </c>
      <c r="X84" s="328">
        <f t="shared" si="32"/>
        <v>0</v>
      </c>
      <c r="Y84" s="328">
        <f t="shared" si="32"/>
        <v>0</v>
      </c>
    </row>
    <row r="85" spans="1:38">
      <c r="A85" s="108"/>
      <c r="B85" s="108"/>
      <c r="C85" s="108" t="s">
        <v>18</v>
      </c>
      <c r="D85" s="108" t="s">
        <v>18</v>
      </c>
      <c r="E85" s="108">
        <v>405010101</v>
      </c>
      <c r="F85" s="109" t="s">
        <v>85</v>
      </c>
      <c r="G85" s="108" t="s">
        <v>19</v>
      </c>
      <c r="H85" s="110">
        <f>IFERROR(IF(VLOOKUP(K85,데이터입력!$C$3:$L$40,5,FALSE)&lt;1000,ROUNDUP(VLOOKUP(K85,데이터입력!$C$3:$L$40,5,FALSE)*1/1000,0),ROUND(VLOOKUP(K85,데이터입력!$C$3:$L$40,5,FALSE)*1/1000,0)),0)</f>
        <v>0</v>
      </c>
      <c r="I85" s="110">
        <f>IFERROR(IF(F85="06",IF(V85&lt;1000,ROUNDUP((V85)*1/1000,0),ROUND((V85)*1/1000,0)),IF(F85="07",IF(W85&lt;1000,ROUNDUP((W85)*1/1000,0),ROUND((W85)*1/1000,0)),IF(F85="05",IF(X85&lt;1000,ROUNDUP((X85)*1/1000,0),ROUND((X85)*1/1000,0))))),0)</f>
        <v>0</v>
      </c>
      <c r="J85" s="111">
        <f>I85-H85</f>
        <v>0</v>
      </c>
      <c r="K85" s="111" t="str">
        <f>D85&amp;"("&amp;G85&amp;")"</f>
        <v>지정후원금(후원금)</v>
      </c>
      <c r="L85" s="112" t="str">
        <f>D85</f>
        <v>지정후원금</v>
      </c>
      <c r="M85" s="113"/>
      <c r="N85" s="114"/>
      <c r="O85" s="115"/>
      <c r="P85" s="114"/>
      <c r="Q85" s="115"/>
      <c r="R85" s="114"/>
      <c r="S85" s="115"/>
      <c r="T85" s="115"/>
      <c r="U85" s="115"/>
      <c r="V85" s="116"/>
      <c r="W85" s="116"/>
      <c r="X85" s="116">
        <f t="shared" ref="X85" si="33">SUM(X86:X87)</f>
        <v>0</v>
      </c>
      <c r="Y85" s="116">
        <f>SUM(V85:X85)</f>
        <v>0</v>
      </c>
      <c r="Z85" s="98">
        <f>IFERROR(VLOOKUP(L85,데이터입력!$R$60:$T$65,3,FALSE),0)</f>
        <v>0</v>
      </c>
    </row>
    <row r="86" spans="1:38">
      <c r="A86" s="118"/>
      <c r="B86" s="118"/>
      <c r="C86" s="118"/>
      <c r="D86" s="118"/>
      <c r="E86" s="118"/>
      <c r="F86" s="132"/>
      <c r="G86" s="118"/>
      <c r="H86" s="133"/>
      <c r="I86" s="133"/>
      <c r="J86" s="133"/>
      <c r="K86" s="259"/>
      <c r="L86" s="127" t="str">
        <f>"    - "&amp;데이터입력!AD81</f>
        <v xml:space="preserve">    - 지정후원금</v>
      </c>
      <c r="M86" s="263"/>
      <c r="N86" s="124">
        <f>데이터입력!AE81</f>
        <v>0</v>
      </c>
      <c r="O86" s="121" t="str">
        <f t="shared" ref="O86:O87" si="34">IF(P86="","","x ")</f>
        <v/>
      </c>
      <c r="P86" s="125"/>
      <c r="Q86" s="121" t="s">
        <v>407</v>
      </c>
      <c r="R86" s="126">
        <f>IF(VLOOKUP(L85,데이터입력!$R$60:$U$65,4,FALSE)="",데이터입력!$Y$8,VLOOKUP(L85,데이터입력!$R$60:$U$65,4,FALSE))</f>
        <v>12</v>
      </c>
      <c r="S86" s="121"/>
      <c r="T86" s="121" t="s">
        <v>408</v>
      </c>
      <c r="U86" s="121"/>
      <c r="V86" s="122"/>
      <c r="W86" s="122"/>
      <c r="X86" s="122">
        <f>IF(P86="",N86*R86,N86*P86*R86)</f>
        <v>0</v>
      </c>
      <c r="Y86" s="122"/>
    </row>
    <row r="87" spans="1:38">
      <c r="A87" s="118"/>
      <c r="B87" s="118"/>
      <c r="C87" s="134"/>
      <c r="D87" s="134"/>
      <c r="E87" s="134"/>
      <c r="F87" s="135"/>
      <c r="G87" s="134"/>
      <c r="H87" s="136"/>
      <c r="I87" s="136"/>
      <c r="J87" s="136"/>
      <c r="K87" s="260"/>
      <c r="L87" s="130" t="str">
        <f>"    - "&amp;데이터입력!AD82</f>
        <v xml:space="preserve">    - </v>
      </c>
      <c r="M87" s="137"/>
      <c r="N87" s="138">
        <f>데이터입력!AE82</f>
        <v>0</v>
      </c>
      <c r="O87" s="121" t="str">
        <f t="shared" si="34"/>
        <v/>
      </c>
      <c r="P87" s="139"/>
      <c r="Q87" s="131" t="s">
        <v>407</v>
      </c>
      <c r="R87" s="140">
        <f>데이터입력!AF82</f>
        <v>12</v>
      </c>
      <c r="S87" s="131"/>
      <c r="T87" s="131" t="s">
        <v>408</v>
      </c>
      <c r="U87" s="131"/>
      <c r="V87" s="141"/>
      <c r="W87" s="141"/>
      <c r="X87" s="141">
        <f>IF(P87="",N87*R87,N87*P87*R87)</f>
        <v>0</v>
      </c>
      <c r="Y87" s="141"/>
    </row>
    <row r="88" spans="1:38">
      <c r="A88" s="118"/>
      <c r="B88" s="118"/>
      <c r="C88" s="108" t="s">
        <v>20</v>
      </c>
      <c r="D88" s="108" t="s">
        <v>20</v>
      </c>
      <c r="E88" s="108">
        <v>405010201</v>
      </c>
      <c r="F88" s="109" t="s">
        <v>85</v>
      </c>
      <c r="G88" s="108" t="s">
        <v>19</v>
      </c>
      <c r="H88" s="110">
        <f>IFERROR(IF(VLOOKUP(K88,데이터입력!$C$3:$L$40,5,FALSE)&lt;1000,ROUNDUP(VLOOKUP(K88,데이터입력!$C$3:$L$40,5,FALSE)*1/1000,0),ROUND(VLOOKUP(K88,데이터입력!$C$3:$L$40,5,FALSE)*1/1000,0)),0)</f>
        <v>0</v>
      </c>
      <c r="I88" s="110">
        <f>IFERROR(IF(F88="06",IF(V88&lt;1000,ROUNDUP((V88)*1/1000,0),ROUND((V88)*1/1000,0)),IF(F88="07",IF(W88&lt;1000,ROUNDUP((W88)*1/1000,0),ROUND((W88)*1/1000,0)),IF(F88="05",IF(X88&lt;1000,ROUNDUP((X88)*1/1000,0),ROUND((X88)*1/1000,0))))),0)</f>
        <v>0</v>
      </c>
      <c r="J88" s="111">
        <f>I88-H88</f>
        <v>0</v>
      </c>
      <c r="K88" s="111" t="str">
        <f>D88&amp;"("&amp;G88&amp;")"</f>
        <v>비지정후원금(후원금)</v>
      </c>
      <c r="L88" s="112" t="str">
        <f>D88</f>
        <v>비지정후원금</v>
      </c>
      <c r="M88" s="113"/>
      <c r="N88" s="114"/>
      <c r="O88" s="115"/>
      <c r="P88" s="114"/>
      <c r="Q88" s="115"/>
      <c r="R88" s="114"/>
      <c r="S88" s="115"/>
      <c r="T88" s="115"/>
      <c r="U88" s="115"/>
      <c r="V88" s="116"/>
      <c r="W88" s="116"/>
      <c r="X88" s="116">
        <f t="shared" ref="X88" si="35">SUM(X89:X90)</f>
        <v>0</v>
      </c>
      <c r="Y88" s="116">
        <f>SUM(V88:X88)</f>
        <v>0</v>
      </c>
      <c r="Z88" s="98">
        <f>IFERROR(VLOOKUP(L88,데이터입력!$R$60:$T$65,3,FALSE),0)</f>
        <v>0</v>
      </c>
    </row>
    <row r="89" spans="1:38">
      <c r="A89" s="118"/>
      <c r="B89" s="118"/>
      <c r="C89" s="118"/>
      <c r="D89" s="118"/>
      <c r="E89" s="118"/>
      <c r="F89" s="132"/>
      <c r="G89" s="118"/>
      <c r="H89" s="133"/>
      <c r="I89" s="133"/>
      <c r="J89" s="133"/>
      <c r="K89" s="259"/>
      <c r="L89" s="127" t="str">
        <f>"    - "&amp;데이터입력!AD84</f>
        <v xml:space="preserve">    - 비지정후원금</v>
      </c>
      <c r="M89" s="263"/>
      <c r="N89" s="124">
        <f>데이터입력!AE84</f>
        <v>0</v>
      </c>
      <c r="O89" s="121" t="str">
        <f t="shared" ref="O89:O90" si="36">IF(P89="","","x ")</f>
        <v/>
      </c>
      <c r="P89" s="125"/>
      <c r="Q89" s="121" t="s">
        <v>407</v>
      </c>
      <c r="R89" s="126">
        <f>IF(VLOOKUP(L88,데이터입력!$R$60:$U$65,4,FALSE)="",데이터입력!$Y$8,VLOOKUP(L88,데이터입력!$R$60:$U$65,4,FALSE))</f>
        <v>12</v>
      </c>
      <c r="S89" s="121"/>
      <c r="T89" s="121" t="s">
        <v>408</v>
      </c>
      <c r="U89" s="121"/>
      <c r="V89" s="122"/>
      <c r="W89" s="122"/>
      <c r="X89" s="122">
        <f>IF(P89="",N89*R89,N89*P89*R89)</f>
        <v>0</v>
      </c>
      <c r="Y89" s="122"/>
    </row>
    <row r="90" spans="1:38">
      <c r="A90" s="134"/>
      <c r="B90" s="134"/>
      <c r="C90" s="134"/>
      <c r="D90" s="134"/>
      <c r="E90" s="134"/>
      <c r="F90" s="135"/>
      <c r="G90" s="134"/>
      <c r="H90" s="136"/>
      <c r="I90" s="136"/>
      <c r="J90" s="136"/>
      <c r="K90" s="260"/>
      <c r="L90" s="130" t="str">
        <f>"    - "&amp;데이터입력!AD85</f>
        <v xml:space="preserve">    - </v>
      </c>
      <c r="M90" s="137"/>
      <c r="N90" s="138">
        <f>데이터입력!AE85</f>
        <v>0</v>
      </c>
      <c r="O90" s="121" t="str">
        <f t="shared" si="36"/>
        <v/>
      </c>
      <c r="P90" s="139"/>
      <c r="Q90" s="131" t="s">
        <v>407</v>
      </c>
      <c r="R90" s="140">
        <f>데이터입력!AF85</f>
        <v>12</v>
      </c>
      <c r="S90" s="131"/>
      <c r="T90" s="131" t="s">
        <v>408</v>
      </c>
      <c r="U90" s="131"/>
      <c r="V90" s="141"/>
      <c r="W90" s="141"/>
      <c r="X90" s="141">
        <f>IF(P90="",N90*R90,N90*P90*R90)</f>
        <v>0</v>
      </c>
      <c r="Y90" s="141"/>
    </row>
    <row r="91" spans="1:38">
      <c r="A91" s="314" t="s">
        <v>317</v>
      </c>
      <c r="B91" s="315" t="s">
        <v>317</v>
      </c>
      <c r="C91" s="317"/>
      <c r="D91" s="317"/>
      <c r="E91" s="317"/>
      <c r="F91" s="317"/>
      <c r="G91" s="317"/>
      <c r="H91" s="305">
        <f>SUM(H92:H122)</f>
        <v>246993</v>
      </c>
      <c r="I91" s="305">
        <f t="shared" ref="I91:J91" si="37">SUM(I92:I122)</f>
        <v>263167</v>
      </c>
      <c r="J91" s="305">
        <f t="shared" si="37"/>
        <v>16174</v>
      </c>
      <c r="K91" s="305"/>
      <c r="L91" s="318"/>
      <c r="M91" s="318"/>
      <c r="N91" s="318"/>
      <c r="O91" s="318"/>
      <c r="P91" s="318"/>
      <c r="Q91" s="318"/>
      <c r="R91" s="318"/>
      <c r="S91" s="318"/>
      <c r="T91" s="318"/>
      <c r="U91" s="318"/>
      <c r="V91" s="328">
        <f>SUM(V92,V114,V117,V120)</f>
        <v>263167152</v>
      </c>
      <c r="W91" s="328">
        <f t="shared" ref="W91:Y91" si="38">SUM(W92,W114,W117,W120)</f>
        <v>0</v>
      </c>
      <c r="X91" s="328">
        <f t="shared" si="38"/>
        <v>0</v>
      </c>
      <c r="Y91" s="328">
        <f t="shared" si="38"/>
        <v>263167152</v>
      </c>
    </row>
    <row r="92" spans="1:38" ht="27">
      <c r="A92" s="108"/>
      <c r="B92" s="108"/>
      <c r="C92" s="108" t="s">
        <v>412</v>
      </c>
      <c r="D92" s="108" t="s">
        <v>413</v>
      </c>
      <c r="E92" s="108">
        <v>406010101</v>
      </c>
      <c r="F92" s="109" t="s">
        <v>83</v>
      </c>
      <c r="G92" s="108" t="s">
        <v>6</v>
      </c>
      <c r="H92" s="110">
        <f>IFERROR(IF(VLOOKUP(K92,데이터입력!$C$3:$L$40,5,FALSE)&lt;1000,ROUNDUP(VLOOKUP(K92,데이터입력!$C$3:$L$40,5,FALSE)*1/1000,0),ROUND(VLOOKUP(K92,데이터입력!$C$3:$L$40,5,FALSE)*1/1000,0)),0)</f>
        <v>192993</v>
      </c>
      <c r="I92" s="110">
        <f>IFERROR(IF(F92="06",IF(V92&lt;1000,ROUNDUP((V92)*1/1000,0),ROUND((V92)*1/1000,0)),IF(F92="07",IF(W92&lt;1000,ROUNDUP((W92)*1/1000,0),ROUND((W92)*1/1000,0)),IF(F92="05",IF(X92&lt;1000,ROUNDUP((X92)*1/1000,0),ROUND((X92)*1/1000,0))))),0)</f>
        <v>191167</v>
      </c>
      <c r="J92" s="111">
        <f>I92-H92</f>
        <v>-1826</v>
      </c>
      <c r="K92" s="111" t="str">
        <f>D92&amp;"("&amp;G92&amp;")"</f>
        <v>장기요양급여수입(인건비비율 반영)(수익사업)</v>
      </c>
      <c r="L92" s="113" t="str">
        <f>D92</f>
        <v>장기요양급여수입(인건비비율 반영)</v>
      </c>
      <c r="M92" s="277"/>
      <c r="N92" s="114"/>
      <c r="O92" s="115"/>
      <c r="P92" s="114"/>
      <c r="Q92" s="115"/>
      <c r="R92" s="114"/>
      <c r="S92" s="115"/>
      <c r="T92" s="115"/>
      <c r="U92" s="115"/>
      <c r="V92" s="116">
        <f>SUM(V93:V113)</f>
        <v>191167152</v>
      </c>
      <c r="W92" s="116"/>
      <c r="X92" s="116"/>
      <c r="Y92" s="116">
        <f>SUM(V92:X92)</f>
        <v>191167152</v>
      </c>
    </row>
    <row r="93" spans="1:38">
      <c r="A93" s="117"/>
      <c r="B93" s="117"/>
      <c r="C93" s="118"/>
      <c r="D93" s="119"/>
      <c r="E93" s="120"/>
      <c r="F93" s="120"/>
      <c r="G93" s="120"/>
      <c r="H93" s="120"/>
      <c r="I93" s="120"/>
      <c r="J93" s="120"/>
      <c r="K93" s="1052">
        <v>1</v>
      </c>
      <c r="L93" s="263" t="str">
        <f>IFERROR(VLOOKUP($K93,$Z$93:$AL$116,3,FALSE),"")</f>
        <v xml:space="preserve">    - 주야간보호(3등급, 8시간)</v>
      </c>
      <c r="M93" s="265">
        <f>IFERROR(VLOOKUP($L93,$AB$92:$AL$117,2,FALSE),"")</f>
        <v>0.85</v>
      </c>
      <c r="N93" s="124">
        <f t="shared" ref="N93:N102" si="39">IFERROR(VLOOKUP($L93,$AB$92:$AL$117,3,FALSE),"")</f>
        <v>983178</v>
      </c>
      <c r="O93" s="267" t="str">
        <f>IFERROR(VLOOKUP($L93,$AB$92:$AL$117,4,FALSE),"")</f>
        <v xml:space="preserve"> x  </v>
      </c>
      <c r="P93" s="268">
        <f t="shared" ref="P93:P102" si="40">IFERROR(VLOOKUP($L93,$AB$92:$AL$117,5,FALSE),"")</f>
        <v>1</v>
      </c>
      <c r="Q93" s="267" t="str">
        <f t="shared" ref="Q93:Q102" si="41">IFERROR(VLOOKUP($L93,$AB$92:$AL$117,6,FALSE),"")</f>
        <v xml:space="preserve"> x  </v>
      </c>
      <c r="R93" s="269">
        <f t="shared" ref="R93:R102" si="42">IFERROR(VLOOKUP($L93,$AB$92:$AL$117,7,FALSE),"")</f>
        <v>12</v>
      </c>
      <c r="S93" s="269"/>
      <c r="T93" s="270" t="str">
        <f t="shared" ref="T93:T102" si="43">IFERROR(VLOOKUP($L93,$AB$92:$AL$117,9,FALSE),"")</f>
        <v xml:space="preserve"> = </v>
      </c>
      <c r="U93" s="121"/>
      <c r="V93" s="122">
        <f>IFERROR(N93*P93*R93,"")</f>
        <v>11798136</v>
      </c>
      <c r="W93" s="122"/>
      <c r="X93" s="122"/>
      <c r="Y93" s="122"/>
      <c r="Z93" s="98" t="str">
        <f>IF(AA93="","",SUBTOTAL(2,$AA$93:AA93))</f>
        <v/>
      </c>
      <c r="AA93" s="1053" t="str">
        <f>IF(AF93=0,"",IF(데이터입력!$X$5=TRUE,1,""))</f>
        <v/>
      </c>
      <c r="AB93" s="98" t="s">
        <v>386</v>
      </c>
      <c r="AC93" s="123">
        <v>0.8</v>
      </c>
      <c r="AD93" s="124">
        <f>IF(데이터입력!V7="",ROUND(데이터입력!T7*AC93,0),ROUND(데이터입력!T7*데이터입력!V7*AC93,0))</f>
        <v>1988160</v>
      </c>
      <c r="AE93" s="98" t="s">
        <v>387</v>
      </c>
      <c r="AF93" s="125">
        <f>데이터입력!U7</f>
        <v>0</v>
      </c>
      <c r="AG93" s="98" t="s">
        <v>387</v>
      </c>
      <c r="AH93" s="126">
        <f>데이터입력!$Y$8</f>
        <v>12</v>
      </c>
      <c r="AJ93" s="98" t="s">
        <v>388</v>
      </c>
      <c r="AL93" s="122">
        <f>AD93*AF93*AH93</f>
        <v>0</v>
      </c>
    </row>
    <row r="94" spans="1:38">
      <c r="A94" s="117"/>
      <c r="B94" s="117"/>
      <c r="C94" s="120"/>
      <c r="D94" s="120"/>
      <c r="E94" s="120"/>
      <c r="F94" s="120"/>
      <c r="G94" s="120"/>
      <c r="H94" s="120"/>
      <c r="I94" s="120"/>
      <c r="J94" s="120"/>
      <c r="K94" s="1052">
        <v>2</v>
      </c>
      <c r="L94" s="263" t="str">
        <f t="shared" ref="L94:L102" si="44">IFERROR(VLOOKUP($K94,$Z$93:$AL$116,3,FALSE),"")</f>
        <v xml:space="preserve">    - 주야간보호(4등급, 8시간)</v>
      </c>
      <c r="M94" s="265">
        <f t="shared" ref="M94:M102" si="45">IFERROR(VLOOKUP($L94,$AB$92:$AL$117,2,FALSE),"")</f>
        <v>0.85</v>
      </c>
      <c r="N94" s="124">
        <f t="shared" si="39"/>
        <v>956403</v>
      </c>
      <c r="O94" s="267" t="str">
        <f t="shared" ref="O94:O102" si="46">IFERROR(VLOOKUP($L94,$AB$92:$AL$117,4,FALSE),"")</f>
        <v xml:space="preserve"> x  </v>
      </c>
      <c r="P94" s="268">
        <f t="shared" si="40"/>
        <v>3</v>
      </c>
      <c r="Q94" s="267" t="str">
        <f t="shared" si="41"/>
        <v xml:space="preserve"> x  </v>
      </c>
      <c r="R94" s="269">
        <f t="shared" si="42"/>
        <v>12</v>
      </c>
      <c r="S94" s="269"/>
      <c r="T94" s="270" t="str">
        <f t="shared" si="43"/>
        <v xml:space="preserve"> = </v>
      </c>
      <c r="U94" s="121"/>
      <c r="V94" s="122">
        <f t="shared" ref="V94:V102" si="47">IFERROR(N94*P94*R94,"")</f>
        <v>34430508</v>
      </c>
      <c r="W94" s="122"/>
      <c r="X94" s="122"/>
      <c r="Y94" s="122"/>
      <c r="Z94" s="98" t="str">
        <f>IF(AA94="","",SUBTOTAL(2,$AA$93:AA94))</f>
        <v/>
      </c>
      <c r="AA94" s="1053" t="str">
        <f>IF(AF94=0,"",IF(데이터입력!$X$5=TRUE,1,""))</f>
        <v/>
      </c>
      <c r="AB94" s="98" t="s">
        <v>389</v>
      </c>
      <c r="AC94" s="123">
        <v>0.8</v>
      </c>
      <c r="AD94" s="124">
        <f>IF(데이터입력!V8="",ROUND(데이터입력!T8*AC94,0),ROUND(데이터입력!T8*데이터입력!V8*AC94,0))</f>
        <v>1844429</v>
      </c>
      <c r="AE94" s="98" t="s">
        <v>387</v>
      </c>
      <c r="AF94" s="125">
        <f>데이터입력!U8</f>
        <v>0</v>
      </c>
      <c r="AG94" s="98" t="s">
        <v>387</v>
      </c>
      <c r="AH94" s="126">
        <f>데이터입력!$Y$8</f>
        <v>12</v>
      </c>
      <c r="AJ94" s="98" t="s">
        <v>388</v>
      </c>
      <c r="AL94" s="122">
        <f t="shared" ref="AL94:AL115" si="48">AD94*AF94*AH94</f>
        <v>0</v>
      </c>
    </row>
    <row r="95" spans="1:38">
      <c r="A95" s="117"/>
      <c r="B95" s="117"/>
      <c r="C95" s="120"/>
      <c r="D95" s="120"/>
      <c r="E95" s="120"/>
      <c r="F95" s="120"/>
      <c r="G95" s="120"/>
      <c r="H95" s="120"/>
      <c r="I95" s="120"/>
      <c r="J95" s="120"/>
      <c r="K95" s="1052">
        <v>3</v>
      </c>
      <c r="L95" s="263" t="str">
        <f t="shared" si="44"/>
        <v xml:space="preserve">    - 주야간보호(5등급, 8시간)</v>
      </c>
      <c r="M95" s="265">
        <f t="shared" si="45"/>
        <v>0.85</v>
      </c>
      <c r="N95" s="124">
        <f t="shared" si="39"/>
        <v>929093</v>
      </c>
      <c r="O95" s="267" t="str">
        <f t="shared" si="46"/>
        <v xml:space="preserve"> x  </v>
      </c>
      <c r="P95" s="268">
        <f t="shared" si="40"/>
        <v>13</v>
      </c>
      <c r="Q95" s="267" t="str">
        <f t="shared" si="41"/>
        <v xml:space="preserve"> x  </v>
      </c>
      <c r="R95" s="269">
        <f t="shared" si="42"/>
        <v>12</v>
      </c>
      <c r="S95" s="269"/>
      <c r="T95" s="270" t="str">
        <f t="shared" si="43"/>
        <v xml:space="preserve"> = </v>
      </c>
      <c r="U95" s="121"/>
      <c r="V95" s="122">
        <f t="shared" si="47"/>
        <v>144938508</v>
      </c>
      <c r="W95" s="122"/>
      <c r="X95" s="122"/>
      <c r="Y95" s="122"/>
      <c r="Z95" s="98" t="str">
        <f>IF(AA95="","",SUBTOTAL(2,$AA$93:AA95))</f>
        <v/>
      </c>
      <c r="AA95" s="1053" t="str">
        <f>IF(AF95=0,"",IF(데이터입력!$X$5=TRUE,1,""))</f>
        <v/>
      </c>
      <c r="AB95" s="98" t="s">
        <v>390</v>
      </c>
      <c r="AC95" s="123">
        <v>0.8</v>
      </c>
      <c r="AD95" s="124">
        <f>IF(데이터입력!V9="",ROUND(데이터입력!T9*AC95,0),ROUND(데이터입력!T9*데이터입력!V9*AC95,0))</f>
        <v>1741798</v>
      </c>
      <c r="AE95" s="98" t="s">
        <v>387</v>
      </c>
      <c r="AF95" s="125">
        <f>데이터입력!U9</f>
        <v>0</v>
      </c>
      <c r="AG95" s="98" t="s">
        <v>387</v>
      </c>
      <c r="AH95" s="126">
        <f>데이터입력!$Y$8</f>
        <v>12</v>
      </c>
      <c r="AJ95" s="98" t="s">
        <v>388</v>
      </c>
      <c r="AL95" s="122">
        <f t="shared" si="48"/>
        <v>0</v>
      </c>
    </row>
    <row r="96" spans="1:38">
      <c r="A96" s="117"/>
      <c r="B96" s="117"/>
      <c r="C96" s="120"/>
      <c r="D96" s="120"/>
      <c r="E96" s="120"/>
      <c r="F96" s="120"/>
      <c r="G96" s="120"/>
      <c r="H96" s="120"/>
      <c r="I96" s="120"/>
      <c r="J96" s="120"/>
      <c r="K96" s="1052">
        <v>4</v>
      </c>
      <c r="L96" s="263" t="str">
        <f t="shared" si="44"/>
        <v/>
      </c>
      <c r="M96" s="265" t="str">
        <f t="shared" si="45"/>
        <v/>
      </c>
      <c r="N96" s="124" t="str">
        <f t="shared" si="39"/>
        <v/>
      </c>
      <c r="O96" s="267" t="str">
        <f t="shared" si="46"/>
        <v/>
      </c>
      <c r="P96" s="268" t="str">
        <f t="shared" si="40"/>
        <v/>
      </c>
      <c r="Q96" s="267" t="str">
        <f t="shared" si="41"/>
        <v/>
      </c>
      <c r="R96" s="269" t="str">
        <f t="shared" si="42"/>
        <v/>
      </c>
      <c r="S96" s="269"/>
      <c r="T96" s="270" t="str">
        <f t="shared" si="43"/>
        <v/>
      </c>
      <c r="U96" s="121"/>
      <c r="V96" s="122" t="str">
        <f t="shared" si="47"/>
        <v/>
      </c>
      <c r="W96" s="122"/>
      <c r="X96" s="122"/>
      <c r="Y96" s="122"/>
      <c r="Z96" s="98" t="str">
        <f>IF(AA96="","",SUBTOTAL(2,$AA$93:AA96))</f>
        <v/>
      </c>
      <c r="AA96" s="1053" t="str">
        <f>IF(AF96=0,"",IF(데이터입력!$Y$5=TRUE,1,""))</f>
        <v/>
      </c>
      <c r="AB96" s="98" t="s">
        <v>391</v>
      </c>
      <c r="AC96" s="123">
        <v>0.8</v>
      </c>
      <c r="AD96" s="124">
        <f>IF(데이터입력!V10="",ROUND(데이터입력!T10*AC96,0),ROUND(데이터입력!T10*데이터입력!V10*AC96,0))</f>
        <v>1672730</v>
      </c>
      <c r="AE96" s="98" t="s">
        <v>387</v>
      </c>
      <c r="AF96" s="125">
        <f>데이터입력!U10</f>
        <v>0</v>
      </c>
      <c r="AG96" s="98" t="s">
        <v>387</v>
      </c>
      <c r="AH96" s="126">
        <f>데이터입력!$Y$8</f>
        <v>12</v>
      </c>
      <c r="AJ96" s="98" t="s">
        <v>388</v>
      </c>
      <c r="AL96" s="122">
        <f t="shared" si="48"/>
        <v>0</v>
      </c>
    </row>
    <row r="97" spans="1:38">
      <c r="A97" s="117"/>
      <c r="B97" s="117"/>
      <c r="C97" s="120"/>
      <c r="D97" s="128"/>
      <c r="E97" s="120"/>
      <c r="F97" s="120"/>
      <c r="G97" s="120"/>
      <c r="H97" s="120"/>
      <c r="I97" s="120"/>
      <c r="J97" s="120"/>
      <c r="K97" s="1052">
        <v>5</v>
      </c>
      <c r="L97" s="263" t="str">
        <f t="shared" si="44"/>
        <v/>
      </c>
      <c r="M97" s="265" t="str">
        <f t="shared" si="45"/>
        <v/>
      </c>
      <c r="N97" s="124" t="str">
        <f t="shared" si="39"/>
        <v/>
      </c>
      <c r="O97" s="267" t="str">
        <f t="shared" si="46"/>
        <v/>
      </c>
      <c r="P97" s="268" t="str">
        <f t="shared" si="40"/>
        <v/>
      </c>
      <c r="Q97" s="267" t="str">
        <f t="shared" si="41"/>
        <v/>
      </c>
      <c r="R97" s="269" t="str">
        <f t="shared" si="42"/>
        <v/>
      </c>
      <c r="S97" s="269"/>
      <c r="T97" s="270" t="str">
        <f t="shared" si="43"/>
        <v/>
      </c>
      <c r="U97" s="121"/>
      <c r="V97" s="122" t="str">
        <f t="shared" si="47"/>
        <v/>
      </c>
      <c r="W97" s="122"/>
      <c r="X97" s="122"/>
      <c r="Y97" s="122"/>
      <c r="Z97" s="98" t="str">
        <f>IF(AA97="","",SUBTOTAL(2,$AA$93:AA97))</f>
        <v/>
      </c>
      <c r="AA97" s="1053" t="str">
        <f>IF(AF97=0,"",IF(데이터입력!$Y$5=TRUE,1,""))</f>
        <v/>
      </c>
      <c r="AB97" s="98" t="s">
        <v>392</v>
      </c>
      <c r="AC97" s="123">
        <v>0.8</v>
      </c>
      <c r="AD97" s="124">
        <f>IF(데이터입력!V11="",ROUND(데이터입력!T11*AC97,0),ROUND(데이터입력!T11*데이터입력!V11*AC97,0))</f>
        <v>1552102</v>
      </c>
      <c r="AE97" s="98" t="s">
        <v>387</v>
      </c>
      <c r="AF97" s="125">
        <f>데이터입력!U11</f>
        <v>0</v>
      </c>
      <c r="AG97" s="98" t="s">
        <v>387</v>
      </c>
      <c r="AH97" s="126">
        <f>데이터입력!$Y$8</f>
        <v>12</v>
      </c>
      <c r="AJ97" s="98" t="s">
        <v>388</v>
      </c>
      <c r="AL97" s="122">
        <f t="shared" si="48"/>
        <v>0</v>
      </c>
    </row>
    <row r="98" spans="1:38">
      <c r="A98" s="117"/>
      <c r="B98" s="117"/>
      <c r="C98" s="120"/>
      <c r="D98" s="128"/>
      <c r="E98" s="120"/>
      <c r="F98" s="120"/>
      <c r="G98" s="120"/>
      <c r="H98" s="120"/>
      <c r="I98" s="120"/>
      <c r="J98" s="120"/>
      <c r="K98" s="1052">
        <v>6</v>
      </c>
      <c r="L98" s="263" t="str">
        <f t="shared" si="44"/>
        <v/>
      </c>
      <c r="M98" s="265" t="str">
        <f t="shared" si="45"/>
        <v/>
      </c>
      <c r="N98" s="124" t="str">
        <f t="shared" si="39"/>
        <v/>
      </c>
      <c r="O98" s="267" t="str">
        <f t="shared" si="46"/>
        <v/>
      </c>
      <c r="P98" s="268" t="str">
        <f t="shared" si="40"/>
        <v/>
      </c>
      <c r="Q98" s="267" t="str">
        <f t="shared" si="41"/>
        <v/>
      </c>
      <c r="R98" s="269" t="str">
        <f t="shared" si="42"/>
        <v/>
      </c>
      <c r="S98" s="269"/>
      <c r="T98" s="270" t="str">
        <f t="shared" si="43"/>
        <v/>
      </c>
      <c r="U98" s="121"/>
      <c r="V98" s="122" t="str">
        <f t="shared" si="47"/>
        <v/>
      </c>
      <c r="W98" s="122"/>
      <c r="X98" s="122"/>
      <c r="Y98" s="122"/>
      <c r="Z98" s="98" t="str">
        <f>IF(AA98="","",SUBTOTAL(2,$AA$93:AA98))</f>
        <v/>
      </c>
      <c r="AA98" s="1053" t="str">
        <f>IF(AF98=0,"",IF(데이터입력!$Y$5=TRUE,1,""))</f>
        <v/>
      </c>
      <c r="AB98" s="98" t="s">
        <v>393</v>
      </c>
      <c r="AC98" s="123">
        <v>0.8</v>
      </c>
      <c r="AD98" s="124">
        <f>IF(데이터입력!V12="",ROUND(데이터입력!T12*AC98,0),ROUND(데이터입력!T12*데이터입력!V12*AC98,0))</f>
        <v>1430746</v>
      </c>
      <c r="AE98" s="98" t="s">
        <v>387</v>
      </c>
      <c r="AF98" s="125">
        <f>데이터입력!U12</f>
        <v>0</v>
      </c>
      <c r="AG98" s="98" t="s">
        <v>387</v>
      </c>
      <c r="AH98" s="126">
        <f>데이터입력!$Y$8</f>
        <v>12</v>
      </c>
      <c r="AJ98" s="98" t="s">
        <v>388</v>
      </c>
      <c r="AL98" s="122">
        <f t="shared" si="48"/>
        <v>0</v>
      </c>
    </row>
    <row r="99" spans="1:38">
      <c r="A99" s="117"/>
      <c r="B99" s="117"/>
      <c r="C99" s="120"/>
      <c r="D99" s="128"/>
      <c r="E99" s="120"/>
      <c r="F99" s="120"/>
      <c r="G99" s="120"/>
      <c r="H99" s="120"/>
      <c r="I99" s="120"/>
      <c r="J99" s="120"/>
      <c r="K99" s="1052">
        <v>7</v>
      </c>
      <c r="L99" s="263" t="str">
        <f t="shared" si="44"/>
        <v/>
      </c>
      <c r="M99" s="265" t="str">
        <f t="shared" si="45"/>
        <v/>
      </c>
      <c r="N99" s="124" t="str">
        <f t="shared" si="39"/>
        <v/>
      </c>
      <c r="O99" s="267" t="str">
        <f t="shared" si="46"/>
        <v/>
      </c>
      <c r="P99" s="268" t="str">
        <f t="shared" si="40"/>
        <v/>
      </c>
      <c r="Q99" s="267" t="str">
        <f t="shared" si="41"/>
        <v/>
      </c>
      <c r="R99" s="269" t="str">
        <f t="shared" si="42"/>
        <v/>
      </c>
      <c r="S99" s="269"/>
      <c r="T99" s="270" t="str">
        <f t="shared" si="43"/>
        <v/>
      </c>
      <c r="U99" s="121"/>
      <c r="V99" s="122" t="str">
        <f t="shared" si="47"/>
        <v/>
      </c>
      <c r="W99" s="122"/>
      <c r="X99" s="122"/>
      <c r="Y99" s="122"/>
      <c r="Z99" s="98" t="str">
        <f>IF(AA99="","",SUBTOTAL(2,$AA$93:AA99))</f>
        <v/>
      </c>
      <c r="AA99" s="1053" t="str">
        <f>IF(AF99=0,"",IF(데이터입력!$Z$5=TRUE,1,""))</f>
        <v/>
      </c>
      <c r="AB99" s="98" t="s">
        <v>508</v>
      </c>
      <c r="AC99" s="123">
        <v>0.85</v>
      </c>
      <c r="AD99" s="124">
        <f>IF(데이터입력!V13="",ROUND(데이터입력!T13*AC99,0),ROUND(데이터입력!T13*데이터입력!V13*AC99,0))</f>
        <v>1149540</v>
      </c>
      <c r="AE99" s="98" t="s">
        <v>387</v>
      </c>
      <c r="AF99" s="125">
        <f>데이터입력!U13</f>
        <v>0</v>
      </c>
      <c r="AG99" s="98" t="s">
        <v>387</v>
      </c>
      <c r="AH99" s="126">
        <f>데이터입력!$Y$8</f>
        <v>12</v>
      </c>
      <c r="AJ99" s="98" t="s">
        <v>388</v>
      </c>
      <c r="AL99" s="122">
        <f t="shared" si="48"/>
        <v>0</v>
      </c>
    </row>
    <row r="100" spans="1:38" hidden="1">
      <c r="A100" s="117"/>
      <c r="B100" s="117"/>
      <c r="C100" s="120"/>
      <c r="D100" s="128"/>
      <c r="E100" s="120"/>
      <c r="F100" s="120"/>
      <c r="G100" s="120"/>
      <c r="H100" s="120"/>
      <c r="I100" s="120"/>
      <c r="J100" s="120"/>
      <c r="K100" s="1052">
        <v>8</v>
      </c>
      <c r="L100" s="263" t="str">
        <f t="shared" si="44"/>
        <v/>
      </c>
      <c r="M100" s="265" t="str">
        <f t="shared" si="45"/>
        <v/>
      </c>
      <c r="N100" s="124" t="str">
        <f t="shared" si="39"/>
        <v/>
      </c>
      <c r="O100" s="267" t="str">
        <f t="shared" si="46"/>
        <v/>
      </c>
      <c r="P100" s="268" t="str">
        <f t="shared" si="40"/>
        <v/>
      </c>
      <c r="Q100" s="267" t="str">
        <f t="shared" si="41"/>
        <v/>
      </c>
      <c r="R100" s="269" t="str">
        <f t="shared" si="42"/>
        <v/>
      </c>
      <c r="S100" s="269"/>
      <c r="T100" s="270" t="str">
        <f t="shared" si="43"/>
        <v/>
      </c>
      <c r="U100" s="121"/>
      <c r="V100" s="122" t="str">
        <f t="shared" si="47"/>
        <v/>
      </c>
      <c r="W100" s="122"/>
      <c r="X100" s="122"/>
      <c r="Y100" s="122"/>
      <c r="Z100" s="98" t="str">
        <f>IF(AA100="","",SUBTOTAL(2,$AA$93:AA100))</f>
        <v/>
      </c>
      <c r="AA100" s="1053" t="str">
        <f>IF(AF100=0,"",IF(데이터입력!$Z$5=TRUE,1,""))</f>
        <v/>
      </c>
      <c r="AB100" s="98" t="s">
        <v>509</v>
      </c>
      <c r="AC100" s="123">
        <v>0.85</v>
      </c>
      <c r="AD100" s="124">
        <f>IF(데이터입력!V14="",ROUND(데이터입력!T14*AC100,0),ROUND(데이터입력!T14*데이터입력!V14*AC100,0))</f>
        <v>1064931</v>
      </c>
      <c r="AE100" s="98" t="s">
        <v>387</v>
      </c>
      <c r="AF100" s="125">
        <f>데이터입력!U14</f>
        <v>0</v>
      </c>
      <c r="AG100" s="98" t="s">
        <v>387</v>
      </c>
      <c r="AH100" s="126">
        <f>데이터입력!$Y$8</f>
        <v>12</v>
      </c>
      <c r="AJ100" s="98" t="s">
        <v>388</v>
      </c>
      <c r="AL100" s="122">
        <f t="shared" si="48"/>
        <v>0</v>
      </c>
    </row>
    <row r="101" spans="1:38" hidden="1">
      <c r="A101" s="117"/>
      <c r="B101" s="117"/>
      <c r="C101" s="120"/>
      <c r="D101" s="128"/>
      <c r="E101" s="120"/>
      <c r="F101" s="120"/>
      <c r="G101" s="120"/>
      <c r="H101" s="120"/>
      <c r="I101" s="120"/>
      <c r="J101" s="120"/>
      <c r="K101" s="1052">
        <v>9</v>
      </c>
      <c r="L101" s="263" t="str">
        <f t="shared" si="44"/>
        <v/>
      </c>
      <c r="M101" s="265" t="str">
        <f t="shared" si="45"/>
        <v/>
      </c>
      <c r="N101" s="124" t="str">
        <f t="shared" si="39"/>
        <v/>
      </c>
      <c r="O101" s="267" t="str">
        <f t="shared" si="46"/>
        <v/>
      </c>
      <c r="P101" s="268" t="str">
        <f t="shared" si="40"/>
        <v/>
      </c>
      <c r="Q101" s="267" t="str">
        <f t="shared" si="41"/>
        <v/>
      </c>
      <c r="R101" s="269" t="str">
        <f t="shared" si="42"/>
        <v/>
      </c>
      <c r="S101" s="269"/>
      <c r="T101" s="270" t="str">
        <f t="shared" si="43"/>
        <v/>
      </c>
      <c r="U101" s="121"/>
      <c r="V101" s="122" t="str">
        <f t="shared" si="47"/>
        <v/>
      </c>
      <c r="W101" s="122"/>
      <c r="X101" s="122"/>
      <c r="Y101" s="122"/>
      <c r="Z101" s="98">
        <f>IF(AA101="","",SUBTOTAL(2,$AA$93:AA101))</f>
        <v>1</v>
      </c>
      <c r="AA101" s="1053">
        <f>IF(AF101=0,"",IF(데이터입력!$Z$5=TRUE,1,""))</f>
        <v>1</v>
      </c>
      <c r="AB101" s="98" t="s">
        <v>394</v>
      </c>
      <c r="AC101" s="123">
        <v>0.85</v>
      </c>
      <c r="AD101" s="124">
        <f>IF(데이터입력!V15="",ROUND(데이터입력!T15*AC101,0),ROUND(데이터입력!T15*데이터입력!V15*AC101,0))</f>
        <v>983178</v>
      </c>
      <c r="AE101" s="98" t="s">
        <v>387</v>
      </c>
      <c r="AF101" s="125">
        <f>데이터입력!U15</f>
        <v>1</v>
      </c>
      <c r="AG101" s="98" t="s">
        <v>387</v>
      </c>
      <c r="AH101" s="126">
        <f>데이터입력!$Y$8</f>
        <v>12</v>
      </c>
      <c r="AJ101" s="98" t="s">
        <v>388</v>
      </c>
      <c r="AL101" s="122">
        <f t="shared" si="48"/>
        <v>11798136</v>
      </c>
    </row>
    <row r="102" spans="1:38" hidden="1">
      <c r="A102" s="117"/>
      <c r="B102" s="117"/>
      <c r="C102" s="120"/>
      <c r="D102" s="128"/>
      <c r="E102" s="120"/>
      <c r="F102" s="120"/>
      <c r="G102" s="120"/>
      <c r="H102" s="120"/>
      <c r="I102" s="120"/>
      <c r="J102" s="120"/>
      <c r="K102" s="1052">
        <v>10</v>
      </c>
      <c r="L102" s="263" t="str">
        <f t="shared" si="44"/>
        <v/>
      </c>
      <c r="M102" s="265" t="str">
        <f t="shared" si="45"/>
        <v/>
      </c>
      <c r="N102" s="124" t="str">
        <f t="shared" si="39"/>
        <v/>
      </c>
      <c r="O102" s="267" t="str">
        <f t="shared" si="46"/>
        <v/>
      </c>
      <c r="P102" s="268" t="str">
        <f t="shared" si="40"/>
        <v/>
      </c>
      <c r="Q102" s="267" t="str">
        <f t="shared" si="41"/>
        <v/>
      </c>
      <c r="R102" s="269" t="str">
        <f t="shared" si="42"/>
        <v/>
      </c>
      <c r="S102" s="269"/>
      <c r="T102" s="270" t="str">
        <f t="shared" si="43"/>
        <v/>
      </c>
      <c r="U102" s="121"/>
      <c r="V102" s="122" t="str">
        <f t="shared" si="47"/>
        <v/>
      </c>
      <c r="W102" s="122"/>
      <c r="X102" s="122"/>
      <c r="Y102" s="122"/>
      <c r="Z102" s="98">
        <f>IF(AA102="","",SUBTOTAL(2,$AA$93:AA102))</f>
        <v>2</v>
      </c>
      <c r="AA102" s="1053">
        <f>IF(AF102=0,"",IF(데이터입력!$Z$5=TRUE,1,""))</f>
        <v>1</v>
      </c>
      <c r="AB102" s="98" t="s">
        <v>395</v>
      </c>
      <c r="AC102" s="123">
        <v>0.85</v>
      </c>
      <c r="AD102" s="124">
        <f>IF(데이터입력!V16="",ROUND(데이터입력!T16*AC102,0),ROUND(데이터입력!T16*데이터입력!V16*AC102,0))</f>
        <v>956403</v>
      </c>
      <c r="AE102" s="98" t="s">
        <v>387</v>
      </c>
      <c r="AF102" s="125">
        <f>데이터입력!U16</f>
        <v>3</v>
      </c>
      <c r="AG102" s="98" t="s">
        <v>387</v>
      </c>
      <c r="AH102" s="126">
        <f>데이터입력!$Y$8</f>
        <v>12</v>
      </c>
      <c r="AJ102" s="98" t="s">
        <v>388</v>
      </c>
      <c r="AL102" s="122">
        <f t="shared" si="48"/>
        <v>34430508</v>
      </c>
    </row>
    <row r="103" spans="1:38" hidden="1">
      <c r="A103" s="117"/>
      <c r="B103" s="117"/>
      <c r="C103" s="120"/>
      <c r="D103" s="128"/>
      <c r="E103" s="120"/>
      <c r="F103" s="120"/>
      <c r="G103" s="120"/>
      <c r="H103" s="120"/>
      <c r="I103" s="120"/>
      <c r="J103" s="120"/>
      <c r="K103" s="120"/>
      <c r="L103" s="127" t="str">
        <f>IF(데이터입력!$U$27&gt;0,세입예산서!$AB$116,"")</f>
        <v/>
      </c>
      <c r="M103" s="265" t="str">
        <f>IFERROR(VLOOKUP($L103,$AB$92:$AH$116,2,FALSE),"")</f>
        <v/>
      </c>
      <c r="N103" s="266" t="str">
        <f t="shared" ref="N103" si="49">IFERROR(VLOOKUP($L103,$AB$92:$AL$114,3,FALSE),"")</f>
        <v/>
      </c>
      <c r="O103" s="267" t="str">
        <f t="shared" ref="O103" si="50">IFERROR(VLOOKUP($L103,$AB$92:$AL$114,4,FALSE),"")</f>
        <v/>
      </c>
      <c r="P103" s="268" t="str">
        <f t="shared" ref="P103" si="51">IFERROR(VLOOKUP($L103,$AB$92:$AL$114,5,FALSE),"")</f>
        <v/>
      </c>
      <c r="Q103" s="267" t="str">
        <f t="shared" ref="Q103" si="52">IFERROR(VLOOKUP($L103,$AB$92:$AL$114,6,FALSE),"")</f>
        <v/>
      </c>
      <c r="R103" s="269" t="str">
        <f t="shared" ref="R103" si="53">IFERROR(VLOOKUP($L103,$AB$92:$AL$114,7,FALSE),"")</f>
        <v/>
      </c>
      <c r="S103" s="269"/>
      <c r="T103" s="270" t="str">
        <f t="shared" ref="T103" si="54">IFERROR(VLOOKUP($L103,$AB$92:$AL$114,9,FALSE),"")</f>
        <v/>
      </c>
      <c r="U103" s="121"/>
      <c r="V103" s="122" t="str">
        <f t="shared" ref="V103" si="55">IFERROR(N103*P103*R103,"")</f>
        <v/>
      </c>
      <c r="W103" s="122"/>
      <c r="X103" s="122"/>
      <c r="Y103" s="122"/>
      <c r="Z103" s="98">
        <f>IF(AA103="","",SUBTOTAL(2,$AA$93:AA103))</f>
        <v>3</v>
      </c>
      <c r="AA103" s="1053">
        <f>IF(AF103=0,"",IF(데이터입력!$Z$5=TRUE,1,""))</f>
        <v>1</v>
      </c>
      <c r="AB103" s="98" t="s">
        <v>396</v>
      </c>
      <c r="AC103" s="123">
        <v>0.85</v>
      </c>
      <c r="AD103" s="124">
        <f>IF(데이터입력!V17="",ROUND(데이터입력!T17*AC103,0),ROUND(데이터입력!T17*데이터입력!V17*AC103,0))</f>
        <v>929093</v>
      </c>
      <c r="AE103" s="98" t="s">
        <v>387</v>
      </c>
      <c r="AF103" s="125">
        <f>데이터입력!U17</f>
        <v>13</v>
      </c>
      <c r="AG103" s="98" t="s">
        <v>387</v>
      </c>
      <c r="AH103" s="126">
        <f>데이터입력!$Y$8</f>
        <v>12</v>
      </c>
      <c r="AJ103" s="98" t="s">
        <v>388</v>
      </c>
      <c r="AL103" s="122">
        <f t="shared" si="48"/>
        <v>144938508</v>
      </c>
    </row>
    <row r="104" spans="1:38" hidden="1">
      <c r="A104" s="117"/>
      <c r="B104" s="117"/>
      <c r="C104" s="120"/>
      <c r="D104" s="120"/>
      <c r="E104" s="120"/>
      <c r="F104" s="120"/>
      <c r="G104" s="120"/>
      <c r="H104" s="120"/>
      <c r="I104" s="120"/>
      <c r="J104" s="120"/>
      <c r="K104" s="120"/>
      <c r="L104" s="127"/>
      <c r="M104" s="271"/>
      <c r="N104" s="124"/>
      <c r="O104" s="121"/>
      <c r="P104" s="125"/>
      <c r="Q104" s="121"/>
      <c r="R104" s="126"/>
      <c r="S104" s="121"/>
      <c r="T104" s="121"/>
      <c r="U104" s="121"/>
      <c r="V104" s="122"/>
      <c r="W104" s="122"/>
      <c r="X104" s="122"/>
      <c r="Y104" s="122"/>
      <c r="Z104" s="98" t="str">
        <f>IF(AA104="","",SUBTOTAL(2,$AA$93:AA104))</f>
        <v/>
      </c>
      <c r="AA104" s="1053" t="str">
        <f>IF(AF104=0,"",IF(데이터입력!$Z$5=TRUE,1,""))</f>
        <v/>
      </c>
      <c r="AB104" s="98" t="s">
        <v>510</v>
      </c>
      <c r="AC104" s="123">
        <v>0.85</v>
      </c>
      <c r="AD104" s="124">
        <f>IF(데이터입력!V18="",ROUND(데이터입력!T18*AC104,0),ROUND(데이터입력!T18*데이터입력!V18*AC104,0))</f>
        <v>929093</v>
      </c>
      <c r="AE104" s="98" t="s">
        <v>387</v>
      </c>
      <c r="AF104" s="125">
        <f>데이터입력!U18</f>
        <v>0</v>
      </c>
      <c r="AG104" s="98" t="s">
        <v>387</v>
      </c>
      <c r="AH104" s="126">
        <f>데이터입력!$Y$8</f>
        <v>12</v>
      </c>
      <c r="AJ104" s="98" t="s">
        <v>388</v>
      </c>
      <c r="AL104" s="122">
        <f t="shared" si="48"/>
        <v>0</v>
      </c>
    </row>
    <row r="105" spans="1:38" hidden="1">
      <c r="A105" s="117"/>
      <c r="B105" s="117"/>
      <c r="C105" s="120"/>
      <c r="D105" s="120"/>
      <c r="E105" s="120"/>
      <c r="F105" s="120"/>
      <c r="G105" s="120"/>
      <c r="H105" s="120"/>
      <c r="I105" s="120"/>
      <c r="J105" s="120"/>
      <c r="K105" s="120"/>
      <c r="L105" s="127"/>
      <c r="M105" s="271"/>
      <c r="N105" s="124"/>
      <c r="O105" s="121"/>
      <c r="P105" s="125"/>
      <c r="Q105" s="121"/>
      <c r="R105" s="126"/>
      <c r="S105" s="121"/>
      <c r="T105" s="121"/>
      <c r="U105" s="121"/>
      <c r="V105" s="122"/>
      <c r="W105" s="122"/>
      <c r="X105" s="122"/>
      <c r="Y105" s="122"/>
      <c r="Z105" s="98" t="str">
        <f>IF(AA105="","",SUBTOTAL(2,$AA$93:AA105))</f>
        <v/>
      </c>
      <c r="AA105" s="1053" t="str">
        <f>IF(AF105=0,"",IF(데이터입력!$AA$5=TRUE,1,""))</f>
        <v/>
      </c>
      <c r="AB105" s="98" t="s">
        <v>397</v>
      </c>
      <c r="AC105" s="123">
        <v>0.85</v>
      </c>
      <c r="AD105" s="124">
        <f>IF(데이터입력!V19="",ROUND(데이터입력!T19*AC105,0),ROUND(데이터입력!T19*데이터입력!V19*AC105,0))</f>
        <v>806438</v>
      </c>
      <c r="AE105" s="98" t="s">
        <v>387</v>
      </c>
      <c r="AF105" s="125">
        <f>데이터입력!U19</f>
        <v>0</v>
      </c>
      <c r="AG105" s="98" t="s">
        <v>387</v>
      </c>
      <c r="AH105" s="126">
        <f>데이터입력!$Y$8</f>
        <v>12</v>
      </c>
      <c r="AJ105" s="98" t="s">
        <v>388</v>
      </c>
      <c r="AL105" s="122">
        <f t="shared" si="48"/>
        <v>0</v>
      </c>
    </row>
    <row r="106" spans="1:38" hidden="1">
      <c r="A106" s="117"/>
      <c r="B106" s="117"/>
      <c r="C106" s="120"/>
      <c r="D106" s="120"/>
      <c r="E106" s="120"/>
      <c r="F106" s="120"/>
      <c r="G106" s="120"/>
      <c r="H106" s="120"/>
      <c r="I106" s="120"/>
      <c r="J106" s="120"/>
      <c r="K106" s="120"/>
      <c r="L106" s="127"/>
      <c r="M106" s="271"/>
      <c r="N106" s="124"/>
      <c r="O106" s="121"/>
      <c r="P106" s="125"/>
      <c r="Q106" s="121"/>
      <c r="R106" s="126"/>
      <c r="S106" s="121"/>
      <c r="T106" s="121"/>
      <c r="U106" s="121"/>
      <c r="V106" s="122"/>
      <c r="W106" s="122"/>
      <c r="X106" s="122"/>
      <c r="Y106" s="122"/>
      <c r="Z106" s="98" t="str">
        <f>IF(AA106="","",SUBTOTAL(2,$AA$93:AA106))</f>
        <v/>
      </c>
      <c r="AA106" s="1053" t="str">
        <f>IF(AF106=0,"",IF(데이터입력!$AA$5=TRUE,1,""))</f>
        <v/>
      </c>
      <c r="AB106" s="98" t="s">
        <v>398</v>
      </c>
      <c r="AC106" s="123">
        <v>0.85</v>
      </c>
      <c r="AD106" s="124">
        <f>IF(데이터입력!V20="",ROUND(데이터입력!T20*AC106,0),ROUND(데이터입력!T20*데이터입력!V20*AC106,0))</f>
        <v>746768</v>
      </c>
      <c r="AE106" s="98" t="s">
        <v>387</v>
      </c>
      <c r="AF106" s="125">
        <f>데이터입력!U20</f>
        <v>0</v>
      </c>
      <c r="AG106" s="98" t="s">
        <v>387</v>
      </c>
      <c r="AH106" s="126">
        <f>데이터입력!$Y$8</f>
        <v>12</v>
      </c>
      <c r="AJ106" s="98" t="s">
        <v>388</v>
      </c>
      <c r="AL106" s="122">
        <f t="shared" si="48"/>
        <v>0</v>
      </c>
    </row>
    <row r="107" spans="1:38" hidden="1">
      <c r="A107" s="117"/>
      <c r="B107" s="117"/>
      <c r="C107" s="120"/>
      <c r="D107" s="120"/>
      <c r="E107" s="120"/>
      <c r="F107" s="120"/>
      <c r="G107" s="120"/>
      <c r="H107" s="120"/>
      <c r="I107" s="120"/>
      <c r="J107" s="120"/>
      <c r="K107" s="120"/>
      <c r="L107" s="127"/>
      <c r="M107" s="271"/>
      <c r="N107" s="124"/>
      <c r="O107" s="121"/>
      <c r="P107" s="125"/>
      <c r="Q107" s="121"/>
      <c r="R107" s="126"/>
      <c r="S107" s="121"/>
      <c r="T107" s="121"/>
      <c r="U107" s="121"/>
      <c r="V107" s="122"/>
      <c r="W107" s="122"/>
      <c r="X107" s="122"/>
      <c r="Y107" s="122"/>
      <c r="Z107" s="98" t="str">
        <f>IF(AA107="","",SUBTOTAL(2,$AA$93:AA107))</f>
        <v/>
      </c>
      <c r="AA107" s="1053" t="str">
        <f>IF(AF107=0,"",IF(데이터입력!$AA$5=TRUE,1,""))</f>
        <v/>
      </c>
      <c r="AB107" s="98" t="s">
        <v>399</v>
      </c>
      <c r="AC107" s="123">
        <v>0.85</v>
      </c>
      <c r="AD107" s="124">
        <f>IF(데이터입력!V21="",ROUND(데이터입력!T21*AC107,0),ROUND(데이터입력!T21*데이터입력!V21*AC107,0))</f>
        <v>689903</v>
      </c>
      <c r="AE107" s="98" t="s">
        <v>387</v>
      </c>
      <c r="AF107" s="125">
        <f>데이터입력!U21</f>
        <v>0</v>
      </c>
      <c r="AG107" s="98" t="s">
        <v>387</v>
      </c>
      <c r="AH107" s="126">
        <f>데이터입력!$Y$8</f>
        <v>12</v>
      </c>
      <c r="AJ107" s="98" t="s">
        <v>388</v>
      </c>
      <c r="AL107" s="122">
        <f t="shared" si="48"/>
        <v>0</v>
      </c>
    </row>
    <row r="108" spans="1:38" hidden="1">
      <c r="A108" s="117"/>
      <c r="B108" s="117"/>
      <c r="C108" s="120"/>
      <c r="D108" s="120"/>
      <c r="E108" s="120"/>
      <c r="F108" s="120"/>
      <c r="G108" s="120"/>
      <c r="H108" s="120"/>
      <c r="I108" s="120"/>
      <c r="J108" s="120"/>
      <c r="K108" s="120"/>
      <c r="L108" s="127"/>
      <c r="M108" s="271"/>
      <c r="N108" s="124"/>
      <c r="O108" s="121"/>
      <c r="P108" s="125"/>
      <c r="Q108" s="121"/>
      <c r="R108" s="126"/>
      <c r="S108" s="121"/>
      <c r="T108" s="121"/>
      <c r="U108" s="121"/>
      <c r="V108" s="122"/>
      <c r="W108" s="122"/>
      <c r="X108" s="122"/>
      <c r="Y108" s="122"/>
      <c r="Z108" s="98" t="str">
        <f>IF(AA108="","",SUBTOTAL(2,$AA$93:AA108))</f>
        <v/>
      </c>
      <c r="AA108" s="1053" t="str">
        <f>IF(AF108=0,"",IF(데이터입력!$AB$5=TRUE,1,""))</f>
        <v/>
      </c>
      <c r="AB108" s="98" t="s">
        <v>400</v>
      </c>
      <c r="AC108" s="123">
        <v>0.85</v>
      </c>
      <c r="AD108" s="124">
        <f>IF(데이터입력!V22="",ROUND(데이터입력!T22*AC108,0),ROUND(데이터입력!T22*데이터입력!V22*AC108,0))</f>
        <v>943908</v>
      </c>
      <c r="AE108" s="98" t="s">
        <v>387</v>
      </c>
      <c r="AF108" s="125">
        <f>데이터입력!U22</f>
        <v>0</v>
      </c>
      <c r="AG108" s="98" t="s">
        <v>387</v>
      </c>
      <c r="AH108" s="126">
        <f>데이터입력!$Y$8</f>
        <v>12</v>
      </c>
      <c r="AJ108" s="98" t="s">
        <v>388</v>
      </c>
      <c r="AL108" s="122">
        <f t="shared" si="48"/>
        <v>0</v>
      </c>
    </row>
    <row r="109" spans="1:38" hidden="1">
      <c r="A109" s="117"/>
      <c r="B109" s="117"/>
      <c r="C109" s="120"/>
      <c r="D109" s="120"/>
      <c r="E109" s="120"/>
      <c r="F109" s="120"/>
      <c r="G109" s="120"/>
      <c r="H109" s="120"/>
      <c r="I109" s="120"/>
      <c r="J109" s="120"/>
      <c r="K109" s="120"/>
      <c r="L109" s="127"/>
      <c r="M109" s="271"/>
      <c r="N109" s="124"/>
      <c r="O109" s="121"/>
      <c r="P109" s="125"/>
      <c r="Q109" s="121"/>
      <c r="R109" s="126"/>
      <c r="S109" s="121"/>
      <c r="T109" s="121"/>
      <c r="U109" s="121"/>
      <c r="V109" s="122"/>
      <c r="W109" s="122"/>
      <c r="X109" s="122"/>
      <c r="Y109" s="122"/>
      <c r="Z109" s="98" t="str">
        <f>IF(AA109="","",SUBTOTAL(2,$AA$93:AA109))</f>
        <v/>
      </c>
      <c r="AA109" s="1053" t="str">
        <f>IF(AF109=0,"",IF(데이터입력!$AB$5=TRUE,1,""))</f>
        <v/>
      </c>
      <c r="AB109" s="98" t="s">
        <v>402</v>
      </c>
      <c r="AC109" s="123">
        <v>0.85</v>
      </c>
      <c r="AD109" s="124">
        <f>IF(데이터입력!V23="",ROUND(데이터입력!T23*AC109,0),ROUND(데이터입력!T23*데이터입력!V23*AC109,0))</f>
        <v>564953</v>
      </c>
      <c r="AE109" s="98" t="s">
        <v>387</v>
      </c>
      <c r="AF109" s="125">
        <f>데이터입력!U23</f>
        <v>0</v>
      </c>
      <c r="AG109" s="98" t="s">
        <v>387</v>
      </c>
      <c r="AH109" s="126">
        <f>데이터입력!$Y$8</f>
        <v>12</v>
      </c>
      <c r="AJ109" s="98" t="s">
        <v>388</v>
      </c>
      <c r="AL109" s="122">
        <f t="shared" si="48"/>
        <v>0</v>
      </c>
    </row>
    <row r="110" spans="1:38" hidden="1">
      <c r="A110" s="117"/>
      <c r="B110" s="117"/>
      <c r="C110" s="120"/>
      <c r="D110" s="120"/>
      <c r="E110" s="120"/>
      <c r="F110" s="120"/>
      <c r="G110" s="120"/>
      <c r="H110" s="120"/>
      <c r="I110" s="120"/>
      <c r="J110" s="120"/>
      <c r="K110" s="120"/>
      <c r="L110" s="127"/>
      <c r="M110" s="271"/>
      <c r="N110" s="124"/>
      <c r="O110" s="121"/>
      <c r="P110" s="125"/>
      <c r="Q110" s="121"/>
      <c r="R110" s="126"/>
      <c r="S110" s="121"/>
      <c r="T110" s="121"/>
      <c r="U110" s="121"/>
      <c r="V110" s="122"/>
      <c r="W110" s="122"/>
      <c r="X110" s="122"/>
      <c r="Y110" s="122"/>
      <c r="Z110" s="98" t="str">
        <f>IF(AA110="","",SUBTOTAL(2,$AA$93:AA110))</f>
        <v/>
      </c>
      <c r="AA110" s="1053" t="str">
        <f>IF(AF110=0,"",IF(데이터입력!$AB$5=TRUE,1,""))</f>
        <v/>
      </c>
      <c r="AB110" s="98" t="s">
        <v>401</v>
      </c>
      <c r="AC110" s="123">
        <v>0.85</v>
      </c>
      <c r="AD110" s="124">
        <f>IF(데이터입력!V24="",ROUND(데이터입력!T24*AC110,0),ROUND(데이터입력!T24*데이터입력!V24*AC110,0))</f>
        <v>419118</v>
      </c>
      <c r="AE110" s="98" t="s">
        <v>387</v>
      </c>
      <c r="AF110" s="125">
        <f>데이터입력!U24</f>
        <v>0</v>
      </c>
      <c r="AG110" s="98" t="s">
        <v>387</v>
      </c>
      <c r="AH110" s="126">
        <f>데이터입력!$Y$8</f>
        <v>12</v>
      </c>
      <c r="AJ110" s="98" t="s">
        <v>388</v>
      </c>
      <c r="AL110" s="122">
        <f t="shared" si="48"/>
        <v>0</v>
      </c>
    </row>
    <row r="111" spans="1:38" hidden="1">
      <c r="A111" s="117"/>
      <c r="B111" s="117"/>
      <c r="C111" s="120"/>
      <c r="D111" s="120"/>
      <c r="E111" s="120"/>
      <c r="F111" s="120"/>
      <c r="G111" s="120"/>
      <c r="H111" s="120"/>
      <c r="I111" s="120"/>
      <c r="J111" s="120"/>
      <c r="K111" s="120"/>
      <c r="L111" s="127"/>
      <c r="M111" s="271"/>
      <c r="N111" s="124"/>
      <c r="O111" s="121"/>
      <c r="P111" s="125"/>
      <c r="Q111" s="121"/>
      <c r="R111" s="126"/>
      <c r="S111" s="121"/>
      <c r="T111" s="121"/>
      <c r="U111" s="121"/>
      <c r="V111" s="122"/>
      <c r="W111" s="122"/>
      <c r="X111" s="122"/>
      <c r="Y111" s="122"/>
      <c r="Z111" s="98" t="str">
        <f>IF(AA111="","",SUBTOTAL(2,$AA$93:AA111))</f>
        <v/>
      </c>
      <c r="AA111" s="1053" t="str">
        <f>IF(AF111=0,"",IF(데이터입력!$AC$5=TRUE,1,""))</f>
        <v/>
      </c>
      <c r="AB111" s="98" t="s">
        <v>403</v>
      </c>
      <c r="AC111" s="123">
        <v>0.85</v>
      </c>
      <c r="AD111" s="124">
        <f>IF(데이터입력!V25="",ROUND(데이터입력!T25*AC111,0),ROUND(데이터입력!T25*데이터입력!V25*AC111,0))</f>
        <v>69836</v>
      </c>
      <c r="AE111" s="98" t="s">
        <v>387</v>
      </c>
      <c r="AF111" s="1050">
        <f>데이터입력!U25</f>
        <v>0</v>
      </c>
      <c r="AG111" s="98" t="s">
        <v>387</v>
      </c>
      <c r="AH111" s="126">
        <f>데이터입력!$Y$8</f>
        <v>12</v>
      </c>
      <c r="AJ111" s="98" t="s">
        <v>388</v>
      </c>
      <c r="AL111" s="122">
        <f t="shared" si="48"/>
        <v>0</v>
      </c>
    </row>
    <row r="112" spans="1:38" hidden="1">
      <c r="A112" s="117"/>
      <c r="B112" s="117"/>
      <c r="C112" s="120"/>
      <c r="D112" s="120"/>
      <c r="E112" s="120"/>
      <c r="F112" s="120"/>
      <c r="G112" s="120"/>
      <c r="H112" s="120"/>
      <c r="I112" s="120"/>
      <c r="J112" s="120"/>
      <c r="K112" s="120"/>
      <c r="L112" s="127"/>
      <c r="M112" s="271"/>
      <c r="N112" s="124"/>
      <c r="O112" s="121"/>
      <c r="P112" s="125"/>
      <c r="Q112" s="121"/>
      <c r="R112" s="126"/>
      <c r="S112" s="121"/>
      <c r="T112" s="121"/>
      <c r="U112" s="121"/>
      <c r="V112" s="122"/>
      <c r="W112" s="122"/>
      <c r="X112" s="122"/>
      <c r="Y112" s="122"/>
      <c r="Z112" s="98" t="str">
        <f>IF(AA112="","",SUBTOTAL(2,$AA$93:AA112))</f>
        <v/>
      </c>
      <c r="AA112" s="1053" t="str">
        <f>IF(AF112=0,"",IF(데이터입력!$AD$5=TRUE,1,""))</f>
        <v/>
      </c>
      <c r="AB112" s="98" t="s">
        <v>404</v>
      </c>
      <c r="AC112" s="123">
        <v>0.85</v>
      </c>
      <c r="AD112" s="124">
        <f>IF(데이터입력!V26="",ROUND(데이터입력!T26*AC112,0),ROUND(데이터입력!T26*데이터입력!V26*AC112,0))</f>
        <v>39313</v>
      </c>
      <c r="AE112" s="98" t="s">
        <v>387</v>
      </c>
      <c r="AF112" s="1050">
        <f>데이터입력!U26</f>
        <v>0</v>
      </c>
      <c r="AG112" s="98" t="s">
        <v>387</v>
      </c>
      <c r="AH112" s="126">
        <f>데이터입력!$Y$8</f>
        <v>12</v>
      </c>
      <c r="AJ112" s="98" t="s">
        <v>388</v>
      </c>
      <c r="AL112" s="122">
        <f t="shared" si="48"/>
        <v>0</v>
      </c>
    </row>
    <row r="113" spans="1:38" hidden="1">
      <c r="A113" s="117"/>
      <c r="B113" s="117"/>
      <c r="C113" s="120"/>
      <c r="D113" s="129"/>
      <c r="E113" s="129"/>
      <c r="F113" s="129"/>
      <c r="G113" s="129"/>
      <c r="H113" s="129"/>
      <c r="I113" s="129"/>
      <c r="J113" s="129"/>
      <c r="K113" s="129"/>
      <c r="L113" s="130"/>
      <c r="M113" s="272"/>
      <c r="N113" s="138"/>
      <c r="O113" s="131"/>
      <c r="P113" s="139"/>
      <c r="Q113" s="131"/>
      <c r="R113" s="140"/>
      <c r="S113" s="131"/>
      <c r="T113" s="131"/>
      <c r="U113" s="131"/>
      <c r="V113" s="141"/>
      <c r="W113" s="141"/>
      <c r="X113" s="141"/>
      <c r="Y113" s="141"/>
      <c r="Z113" s="98" t="str">
        <f>IF(AA113="","",SUBTOTAL(2,$AA$93:AA113))</f>
        <v/>
      </c>
      <c r="AA113" s="1053" t="str">
        <f>IF(AF113=0,"",IF(데이터입력!$AE$5=TRUE,1,""))</f>
        <v/>
      </c>
      <c r="AB113" s="98" t="s">
        <v>405</v>
      </c>
      <c r="AC113" s="123">
        <v>0.85</v>
      </c>
      <c r="AD113" s="124">
        <f>IF(데이터입력!V27="",ROUND(데이터입력!T27*AC113,0),ROUND(데이터입력!T27*데이터입력!V27*AC113,0))</f>
        <v>50575</v>
      </c>
      <c r="AE113" s="98" t="s">
        <v>387</v>
      </c>
      <c r="AF113" s="1050">
        <f>데이터입력!U27</f>
        <v>0</v>
      </c>
      <c r="AG113" s="98" t="s">
        <v>387</v>
      </c>
      <c r="AH113" s="126">
        <f>데이터입력!$Y$8</f>
        <v>12</v>
      </c>
      <c r="AJ113" s="98" t="s">
        <v>388</v>
      </c>
      <c r="AL113" s="122">
        <f t="shared" si="48"/>
        <v>0</v>
      </c>
    </row>
    <row r="114" spans="1:38" ht="36">
      <c r="A114" s="117"/>
      <c r="B114" s="117"/>
      <c r="C114" s="120"/>
      <c r="D114" s="108" t="s">
        <v>416</v>
      </c>
      <c r="E114" s="108">
        <v>406010102</v>
      </c>
      <c r="F114" s="109" t="s">
        <v>83</v>
      </c>
      <c r="G114" s="108" t="s">
        <v>6</v>
      </c>
      <c r="H114" s="110">
        <f>IFERROR(IF(VLOOKUP(K114,데이터입력!$C$3:$L$40,5,FALSE)&lt;1000,ROUNDUP(VLOOKUP(K114,데이터입력!$C$3:$L$40,5,FALSE)*1/1000,0),ROUND(VLOOKUP(K114,데이터입력!$C$3:$L$40,5,FALSE)*1/1000,0)),0)</f>
        <v>0</v>
      </c>
      <c r="I114" s="110">
        <f>IFERROR(IF(F114="06",IF(V114&lt;1000,ROUNDUP((V114)*1/1000,0),ROUND((V114)*1/1000,0)),IF(F114="07",IF(W114&lt;1000,ROUNDUP((W114)*1/1000,0),ROUND((W114)*1/1000,0)),IF(F114="05",IF(X114&lt;1000,ROUNDUP((X114)*1/1000,0),ROUND((X114)*1/1000,0))))),0)</f>
        <v>0</v>
      </c>
      <c r="J114" s="111">
        <f>I114-H114</f>
        <v>0</v>
      </c>
      <c r="K114" s="111" t="str">
        <f>D114&amp;"("&amp;G114&amp;")"</f>
        <v>장기요양급여수입(인건비비율 미반영)(수익사업)</v>
      </c>
      <c r="L114" s="112" t="str">
        <f>D114</f>
        <v>장기요양급여수입(인건비비율 미반영)</v>
      </c>
      <c r="M114" s="277"/>
      <c r="N114" s="114"/>
      <c r="O114" s="115"/>
      <c r="P114" s="114"/>
      <c r="Q114" s="115"/>
      <c r="R114" s="114"/>
      <c r="S114" s="115"/>
      <c r="T114" s="115"/>
      <c r="U114" s="278"/>
      <c r="V114" s="116">
        <f>SUM(V115:V115)</f>
        <v>0</v>
      </c>
      <c r="W114" s="116"/>
      <c r="X114" s="116"/>
      <c r="Y114" s="116">
        <f>SUM(V114:X114)</f>
        <v>0</v>
      </c>
      <c r="Z114" s="98" t="str">
        <f>IF(AA114="","",SUBTOTAL(2,$AA$93:AA114))</f>
        <v/>
      </c>
      <c r="AA114" s="1053" t="str">
        <f>IF(AF114=0,"",IF(OR(데이터입력!$X$5=TRUE,데이터입력!$Y$5=TRUE),1,""))</f>
        <v/>
      </c>
      <c r="AB114" s="98" t="s">
        <v>414</v>
      </c>
      <c r="AC114" s="123">
        <v>1</v>
      </c>
      <c r="AD114" s="124">
        <f>IF(데이터입력!V28="",ROUND(데이터입력!T28*AC114,0),ROUND(데이터입력!T28*데이터입력!V28*AC114,0))</f>
        <v>2177248</v>
      </c>
      <c r="AE114" s="98" t="s">
        <v>387</v>
      </c>
      <c r="AF114" s="125">
        <f>데이터입력!U28</f>
        <v>0</v>
      </c>
      <c r="AG114" s="98" t="s">
        <v>387</v>
      </c>
      <c r="AH114" s="126">
        <f>데이터입력!$Y$8</f>
        <v>12</v>
      </c>
      <c r="AJ114" s="98" t="s">
        <v>388</v>
      </c>
      <c r="AL114" s="122">
        <f t="shared" si="48"/>
        <v>0</v>
      </c>
    </row>
    <row r="115" spans="1:38">
      <c r="A115" s="117"/>
      <c r="B115" s="117"/>
      <c r="C115" s="120"/>
      <c r="D115" s="120"/>
      <c r="E115" s="120"/>
      <c r="F115" s="120"/>
      <c r="G115" s="120"/>
      <c r="H115" s="120"/>
      <c r="I115" s="120"/>
      <c r="J115" s="120"/>
      <c r="K115" s="120"/>
      <c r="L115" s="127" t="str">
        <f>"    - "&amp;L114</f>
        <v xml:space="preserve">    - 장기요양급여수입(인건비비율 미반영)</v>
      </c>
      <c r="M115" s="271"/>
      <c r="N115" s="124">
        <f>데이터입력!T40</f>
        <v>0</v>
      </c>
      <c r="O115" s="121" t="str">
        <f>IF(P115="","","x ")</f>
        <v/>
      </c>
      <c r="P115" s="125"/>
      <c r="Q115" s="121" t="s">
        <v>407</v>
      </c>
      <c r="R115" s="126">
        <f>IF(VLOOKUP(L114,데이터입력!$R$32:$U$53,4,FALSE)="",데이터입력!$Y$8,VLOOKUP(L114,데이터입력!$R$32:$U$53,4,FALSE))</f>
        <v>12</v>
      </c>
      <c r="S115" s="121"/>
      <c r="T115" s="121" t="s">
        <v>408</v>
      </c>
      <c r="U115" s="279"/>
      <c r="V115" s="122">
        <f>IF(P115=0,N115*R115,N115*P115*R115)</f>
        <v>0</v>
      </c>
      <c r="W115" s="122"/>
      <c r="X115" s="122"/>
      <c r="Y115" s="122"/>
      <c r="Z115" s="98" t="str">
        <f>IF(AA115="","",SUBTOTAL(2,$AA$93:AA115))</f>
        <v/>
      </c>
      <c r="AA115" s="98" t="str">
        <f>IF(AF115=0,"",IF(데이터입력!$AF$5=TRUE,1,""))</f>
        <v/>
      </c>
      <c r="AB115" s="98" t="s">
        <v>415</v>
      </c>
      <c r="AC115" s="123">
        <v>0.85</v>
      </c>
      <c r="AD115" s="124">
        <f>IF(데이터입력!V29="",ROUND(데이터입력!T29*AC115,0),ROUND(데이터입력!T29*데이터입력!V29*AC115,0))</f>
        <v>0</v>
      </c>
      <c r="AE115" s="98" t="s">
        <v>387</v>
      </c>
      <c r="AF115" s="1051">
        <f>데이터입력!U29</f>
        <v>1</v>
      </c>
      <c r="AG115" s="98" t="s">
        <v>387</v>
      </c>
      <c r="AH115" s="126">
        <f>데이터입력!$Y$8</f>
        <v>12</v>
      </c>
      <c r="AJ115" s="98" t="s">
        <v>388</v>
      </c>
      <c r="AL115" s="122">
        <f t="shared" si="48"/>
        <v>0</v>
      </c>
    </row>
    <row r="116" spans="1:38" hidden="1">
      <c r="A116" s="117"/>
      <c r="B116" s="117"/>
      <c r="C116" s="120"/>
      <c r="D116" s="129"/>
      <c r="E116" s="129"/>
      <c r="F116" s="129"/>
      <c r="G116" s="129"/>
      <c r="H116" s="129"/>
      <c r="I116" s="129"/>
      <c r="J116" s="129"/>
      <c r="K116" s="129"/>
      <c r="L116" s="130"/>
      <c r="M116" s="272"/>
      <c r="N116" s="138"/>
      <c r="O116" s="131"/>
      <c r="P116" s="139"/>
      <c r="Q116" s="131"/>
      <c r="R116" s="140"/>
      <c r="S116" s="131"/>
      <c r="T116" s="131"/>
      <c r="U116" s="280"/>
      <c r="V116" s="141"/>
      <c r="W116" s="141"/>
      <c r="X116" s="141"/>
      <c r="Y116" s="141"/>
      <c r="Z116" s="98" t="str">
        <f>IF(AA116="","",SUBTOTAL(2,$AA$93:AA116))</f>
        <v/>
      </c>
      <c r="AA116" s="98" t="str">
        <f>IF(AF116=0,"",1)</f>
        <v/>
      </c>
      <c r="AB116" s="98" t="s">
        <v>417</v>
      </c>
      <c r="AC116" s="123">
        <v>1</v>
      </c>
      <c r="AD116" s="124">
        <f>IF(데이터입력!V30="",ROUND(데이터입력!T30*AC116,0),ROUND(데이터입력!T30*데이터입력!V30*AC116,0))</f>
        <v>60000</v>
      </c>
      <c r="AE116" s="98" t="s">
        <v>387</v>
      </c>
      <c r="AF116" s="125">
        <f>데이터입력!U30</f>
        <v>0</v>
      </c>
      <c r="AG116" s="98" t="s">
        <v>387</v>
      </c>
      <c r="AH116" s="126">
        <f>데이터입력!$Y$8</f>
        <v>12</v>
      </c>
      <c r="AJ116" s="98" t="s">
        <v>388</v>
      </c>
      <c r="AL116" s="122">
        <f>AD116*AF116*AH116</f>
        <v>0</v>
      </c>
    </row>
    <row r="117" spans="1:38" ht="27">
      <c r="A117" s="118"/>
      <c r="B117" s="118"/>
      <c r="C117" s="108" t="s">
        <v>418</v>
      </c>
      <c r="D117" s="108" t="s">
        <v>419</v>
      </c>
      <c r="E117" s="108">
        <v>406010201</v>
      </c>
      <c r="F117" s="109" t="s">
        <v>83</v>
      </c>
      <c r="G117" s="108" t="s">
        <v>6</v>
      </c>
      <c r="H117" s="110">
        <f>IFERROR(IF(VLOOKUP(K117,데이터입력!$C$3:$L$40,5,FALSE)&lt;1000,ROUNDUP(VLOOKUP(K117,데이터입력!$C$3:$L$40,5,FALSE)*1/1000,0),ROUND(VLOOKUP(K117,데이터입력!$C$3:$L$40,5,FALSE)*1/1000,0)),0)</f>
        <v>54000</v>
      </c>
      <c r="I117" s="110">
        <f>IFERROR(IF(F117="06",IF(V117&lt;1000,ROUNDUP((V117)*1/1000,0),ROUND((V117)*1/1000,0)),IF(F117="07",IF(W117&lt;1000,ROUNDUP((W117)*1/1000,0),ROUND((W117)*1/1000,0)),IF(F117="05",IF(X117&lt;1000,ROUNDUP((X117)*1/1000,0),ROUND((X117)*1/1000,0))))),0)</f>
        <v>72000</v>
      </c>
      <c r="J117" s="111">
        <f>I117-H117</f>
        <v>18000</v>
      </c>
      <c r="K117" s="111" t="str">
        <f>D117&amp;"("&amp;G117&amp;")"</f>
        <v>가산금수입(인건비비율 반영)(수익사업)</v>
      </c>
      <c r="L117" s="112" t="str">
        <f>D117</f>
        <v>가산금수입(인건비비율 반영)</v>
      </c>
      <c r="M117" s="113"/>
      <c r="N117" s="114"/>
      <c r="O117" s="115"/>
      <c r="P117" s="114"/>
      <c r="Q117" s="115"/>
      <c r="R117" s="114"/>
      <c r="S117" s="115"/>
      <c r="T117" s="115"/>
      <c r="U117" s="115"/>
      <c r="V117" s="116">
        <f>SUM(V118:V119)</f>
        <v>72000000</v>
      </c>
      <c r="W117" s="116"/>
      <c r="X117" s="116"/>
      <c r="Y117" s="116">
        <f>SUM(V117:X117)</f>
        <v>72000000</v>
      </c>
    </row>
    <row r="118" spans="1:38">
      <c r="A118" s="118"/>
      <c r="B118" s="118"/>
      <c r="C118" s="118"/>
      <c r="D118" s="118"/>
      <c r="E118" s="118"/>
      <c r="F118" s="132"/>
      <c r="G118" s="118"/>
      <c r="H118" s="133"/>
      <c r="I118" s="133"/>
      <c r="J118" s="133"/>
      <c r="K118" s="259"/>
      <c r="L118" s="127" t="str">
        <f>"    - "&amp;L117</f>
        <v xml:space="preserve">    - 가산금수입(인건비비율 반영)</v>
      </c>
      <c r="M118" s="263"/>
      <c r="N118" s="124">
        <f>데이터입력!T41</f>
        <v>6000000</v>
      </c>
      <c r="O118" s="121" t="str">
        <f>IF(P118="","","x ")</f>
        <v/>
      </c>
      <c r="P118" s="125"/>
      <c r="Q118" s="121" t="s">
        <v>407</v>
      </c>
      <c r="R118" s="126">
        <f>IF(VLOOKUP(L117,데이터입력!$R$32:$U$53,4,FALSE)="",데이터입력!$Y$8,VLOOKUP(L117,데이터입력!$R$32:$U$53,4,FALSE))</f>
        <v>12</v>
      </c>
      <c r="S118" s="121"/>
      <c r="T118" s="121" t="s">
        <v>408</v>
      </c>
      <c r="U118" s="121"/>
      <c r="V118" s="122">
        <f>IF(P118=0,N118*R118,N118*P118*R118)</f>
        <v>72000000</v>
      </c>
      <c r="W118" s="122"/>
      <c r="X118" s="122"/>
      <c r="Y118" s="122"/>
    </row>
    <row r="119" spans="1:38" hidden="1">
      <c r="A119" s="118"/>
      <c r="B119" s="118"/>
      <c r="C119" s="118"/>
      <c r="D119" s="134"/>
      <c r="E119" s="134"/>
      <c r="F119" s="135"/>
      <c r="G119" s="134"/>
      <c r="H119" s="136"/>
      <c r="I119" s="136"/>
      <c r="J119" s="136"/>
      <c r="K119" s="260"/>
      <c r="L119" s="130"/>
      <c r="M119" s="137"/>
      <c r="N119" s="138"/>
      <c r="O119" s="131"/>
      <c r="P119" s="139"/>
      <c r="Q119" s="131"/>
      <c r="R119" s="140"/>
      <c r="S119" s="131"/>
      <c r="T119" s="131"/>
      <c r="U119" s="131"/>
      <c r="V119" s="141"/>
      <c r="W119" s="141"/>
      <c r="X119" s="141"/>
      <c r="Y119" s="141"/>
    </row>
    <row r="120" spans="1:38" ht="27">
      <c r="A120" s="118"/>
      <c r="B120" s="118"/>
      <c r="C120" s="118"/>
      <c r="D120" s="108" t="s">
        <v>420</v>
      </c>
      <c r="E120" s="108">
        <v>406010202</v>
      </c>
      <c r="F120" s="109" t="s">
        <v>83</v>
      </c>
      <c r="G120" s="108" t="s">
        <v>6</v>
      </c>
      <c r="H120" s="110">
        <f>IFERROR(IF(VLOOKUP(K120,데이터입력!$C$3:$L$40,5,FALSE)&lt;1000,ROUNDUP(VLOOKUP(K120,데이터입력!$C$3:$L$40,5,FALSE)*1/1000,0),ROUND(VLOOKUP(K120,데이터입력!$C$3:$L$40,5,FALSE)*1/1000,0)),0)</f>
        <v>0</v>
      </c>
      <c r="I120" s="110">
        <f>IFERROR(IF(F120="06",IF(V120&lt;1000,ROUNDUP((V120)*1/1000,0),ROUND((V120)*1/1000,0)),IF(F120="07",IF(W120&lt;1000,ROUNDUP((W120)*1/1000,0),ROUND((W120)*1/1000,0)),IF(F120="05",IF(X120&lt;1000,ROUNDUP((X120)*1/1000,0),ROUND((X120)*1/1000,0))))),0)</f>
        <v>0</v>
      </c>
      <c r="J120" s="111">
        <f>I120-H120</f>
        <v>0</v>
      </c>
      <c r="K120" s="111" t="str">
        <f>D120&amp;"("&amp;G120&amp;")"</f>
        <v>가산금수입(인건비비율 미반영)(수익사업)</v>
      </c>
      <c r="L120" s="112" t="str">
        <f>D120</f>
        <v>가산금수입(인건비비율 미반영)</v>
      </c>
      <c r="M120" s="113"/>
      <c r="N120" s="114"/>
      <c r="O120" s="115"/>
      <c r="P120" s="114"/>
      <c r="Q120" s="115"/>
      <c r="R120" s="114"/>
      <c r="S120" s="115"/>
      <c r="T120" s="115"/>
      <c r="U120" s="115"/>
      <c r="V120" s="116">
        <f>SUM(V121:V122)</f>
        <v>0</v>
      </c>
      <c r="W120" s="116"/>
      <c r="X120" s="116"/>
      <c r="Y120" s="116">
        <f>SUM(V120:X120)</f>
        <v>0</v>
      </c>
    </row>
    <row r="121" spans="1:38">
      <c r="A121" s="117"/>
      <c r="B121" s="117"/>
      <c r="C121" s="120"/>
      <c r="D121" s="120"/>
      <c r="E121" s="120"/>
      <c r="F121" s="120"/>
      <c r="G121" s="120"/>
      <c r="H121" s="120"/>
      <c r="I121" s="120"/>
      <c r="J121" s="120"/>
      <c r="K121" s="257"/>
      <c r="L121" s="127" t="str">
        <f>"    - "&amp;L120</f>
        <v xml:space="preserve">    - 가산금수입(인건비비율 미반영)</v>
      </c>
      <c r="M121" s="271"/>
      <c r="N121" s="124">
        <f>데이터입력!T42</f>
        <v>0</v>
      </c>
      <c r="O121" s="121" t="str">
        <f>IF(P121="","","x ")</f>
        <v/>
      </c>
      <c r="P121" s="125"/>
      <c r="Q121" s="121" t="s">
        <v>407</v>
      </c>
      <c r="R121" s="126">
        <f>IF(VLOOKUP(L120,데이터입력!$R$32:$U$53,4,FALSE)="",데이터입력!$Y$8,VLOOKUP(L120,데이터입력!$R$32:$U$53,4,FALSE))</f>
        <v>12</v>
      </c>
      <c r="S121" s="121"/>
      <c r="T121" s="121" t="s">
        <v>408</v>
      </c>
      <c r="U121" s="121"/>
      <c r="V121" s="122">
        <f>IF(P121=0,N121*R121,N121*P121*R121)</f>
        <v>0</v>
      </c>
      <c r="W121" s="122"/>
      <c r="X121" s="122"/>
      <c r="Y121" s="122"/>
    </row>
    <row r="122" spans="1:38" hidden="1">
      <c r="A122" s="118"/>
      <c r="B122" s="118"/>
      <c r="C122" s="118"/>
      <c r="D122" s="134"/>
      <c r="E122" s="134"/>
      <c r="F122" s="135"/>
      <c r="G122" s="134"/>
      <c r="H122" s="136"/>
      <c r="I122" s="136"/>
      <c r="J122" s="136"/>
      <c r="K122" s="260"/>
      <c r="L122" s="130"/>
      <c r="M122" s="137"/>
      <c r="N122" s="138"/>
      <c r="O122" s="131"/>
      <c r="P122" s="139"/>
      <c r="Q122" s="131"/>
      <c r="R122" s="140"/>
      <c r="S122" s="131"/>
      <c r="T122" s="131"/>
      <c r="U122" s="131"/>
      <c r="V122" s="141"/>
      <c r="W122" s="141"/>
      <c r="X122" s="141"/>
      <c r="Y122" s="141"/>
    </row>
    <row r="123" spans="1:38">
      <c r="A123" s="314" t="s">
        <v>320</v>
      </c>
      <c r="B123" s="315" t="s">
        <v>320</v>
      </c>
      <c r="C123" s="317"/>
      <c r="D123" s="317"/>
      <c r="E123" s="317"/>
      <c r="F123" s="317"/>
      <c r="G123" s="317"/>
      <c r="H123" s="305">
        <f>SUM(H124,H127)</f>
        <v>0</v>
      </c>
      <c r="I123" s="305">
        <f>SUM(I124,I127)</f>
        <v>0</v>
      </c>
      <c r="J123" s="305">
        <f>SUM(J124,J127)</f>
        <v>0</v>
      </c>
      <c r="K123" s="305"/>
      <c r="L123" s="318"/>
      <c r="M123" s="318"/>
      <c r="N123" s="318"/>
      <c r="O123" s="318"/>
      <c r="P123" s="318"/>
      <c r="Q123" s="318"/>
      <c r="R123" s="318"/>
      <c r="S123" s="318"/>
      <c r="T123" s="318"/>
      <c r="U123" s="318"/>
      <c r="V123" s="307">
        <f>SUM(V124,V127)</f>
        <v>0</v>
      </c>
      <c r="W123" s="307">
        <f t="shared" ref="W123:Y123" si="56">SUM(W124,W127)</f>
        <v>0</v>
      </c>
      <c r="X123" s="307">
        <f t="shared" si="56"/>
        <v>0</v>
      </c>
      <c r="Y123" s="307">
        <f t="shared" si="56"/>
        <v>0</v>
      </c>
    </row>
    <row r="124" spans="1:38">
      <c r="A124" s="108"/>
      <c r="B124" s="108"/>
      <c r="C124" s="108" t="s">
        <v>25</v>
      </c>
      <c r="D124" s="108" t="s">
        <v>25</v>
      </c>
      <c r="E124" s="108">
        <v>407010101</v>
      </c>
      <c r="F124" s="109" t="s">
        <v>83</v>
      </c>
      <c r="G124" s="108" t="s">
        <v>6</v>
      </c>
      <c r="H124" s="110">
        <f>IFERROR(IF(VLOOKUP(K124,데이터입력!$C$3:$L$40,5,FALSE)&lt;1000,ROUNDUP(VLOOKUP(K124,데이터입력!$C$3:$L$40,5,FALSE)*1/1000,0),ROUND(VLOOKUP(K124,데이터입력!$C$3:$L$40,5,FALSE)*1/1000,0)),0)</f>
        <v>0</v>
      </c>
      <c r="I124" s="110">
        <f>IFERROR(IF(F124="06",IF(V124&lt;1000,ROUNDUP((V124)*1/1000,0),ROUND((V124)*1/1000,0)),IF(F124="07",IF(W124&lt;1000,ROUNDUP((W124)*1/1000,0),ROUND((W124)*1/1000,0)),IF(F124="05",IF(X124&lt;1000,ROUNDUP((X124)*1/1000,0),ROUND((X124)*1/1000,0))))),0)</f>
        <v>0</v>
      </c>
      <c r="J124" s="111">
        <f>I124-H124</f>
        <v>0</v>
      </c>
      <c r="K124" s="111" t="str">
        <f>D124&amp;"("&amp;G124&amp;")"</f>
        <v>금융기관차입금(수익사업)</v>
      </c>
      <c r="L124" s="112" t="str">
        <f>D124</f>
        <v>금융기관차입금</v>
      </c>
      <c r="M124" s="113"/>
      <c r="N124" s="114"/>
      <c r="O124" s="115"/>
      <c r="P124" s="114"/>
      <c r="Q124" s="115"/>
      <c r="R124" s="114"/>
      <c r="S124" s="115"/>
      <c r="T124" s="115"/>
      <c r="U124" s="115"/>
      <c r="V124" s="116">
        <f>SUM(V125:V126)</f>
        <v>0</v>
      </c>
      <c r="W124" s="116">
        <f t="shared" ref="W124:X124" si="57">SUM(W125:W126)</f>
        <v>0</v>
      </c>
      <c r="X124" s="116">
        <f t="shared" si="57"/>
        <v>0</v>
      </c>
      <c r="Y124" s="116">
        <f>SUM(V124:X124)</f>
        <v>0</v>
      </c>
    </row>
    <row r="125" spans="1:38">
      <c r="A125" s="118"/>
      <c r="B125" s="118"/>
      <c r="C125" s="118"/>
      <c r="D125" s="118"/>
      <c r="E125" s="118"/>
      <c r="F125" s="132"/>
      <c r="G125" s="118"/>
      <c r="H125" s="133"/>
      <c r="I125" s="133"/>
      <c r="J125" s="133"/>
      <c r="K125" s="259"/>
      <c r="L125" s="127" t="str">
        <f>"    - "&amp;L124</f>
        <v xml:space="preserve">    - 금융기관차입금</v>
      </c>
      <c r="M125" s="263"/>
      <c r="N125" s="124">
        <f>IF(P125="",ROUNDUP(데이터입력!T43/R125,-3),ROUNDUP(데이터입력!T43/P125/R125,-3))</f>
        <v>0</v>
      </c>
      <c r="O125" s="121" t="str">
        <f>IF(P125="","","x ")</f>
        <v/>
      </c>
      <c r="P125" s="125"/>
      <c r="Q125" s="121" t="s">
        <v>407</v>
      </c>
      <c r="R125" s="126">
        <f>IF(VLOOKUP(L124,데이터입력!$R$32:$U$53,4,FALSE)="",데이터입력!$Y$8,VLOOKUP(L124,데이터입력!$R$32:$U$53,4,FALSE))</f>
        <v>12</v>
      </c>
      <c r="S125" s="121"/>
      <c r="T125" s="121" t="s">
        <v>408</v>
      </c>
      <c r="U125" s="121"/>
      <c r="V125" s="122">
        <f>IF(P125="",N125*R125,N125*P125*R125)</f>
        <v>0</v>
      </c>
      <c r="W125" s="122"/>
      <c r="X125" s="122"/>
      <c r="Y125" s="122"/>
    </row>
    <row r="126" spans="1:38" hidden="1">
      <c r="A126" s="118"/>
      <c r="B126" s="118"/>
      <c r="C126" s="134"/>
      <c r="D126" s="134"/>
      <c r="E126" s="134"/>
      <c r="F126" s="135"/>
      <c r="G126" s="134"/>
      <c r="H126" s="136"/>
      <c r="I126" s="136"/>
      <c r="J126" s="136"/>
      <c r="K126" s="260"/>
      <c r="L126" s="130" t="s">
        <v>409</v>
      </c>
      <c r="M126" s="137"/>
      <c r="N126" s="138"/>
      <c r="O126" s="131"/>
      <c r="P126" s="139"/>
      <c r="Q126" s="131"/>
      <c r="R126" s="140"/>
      <c r="S126" s="131"/>
      <c r="T126" s="131" t="s">
        <v>408</v>
      </c>
      <c r="U126" s="131"/>
      <c r="V126" s="141">
        <f>IF(P126=0,N126*R126,N126*P126*R126)</f>
        <v>0</v>
      </c>
      <c r="W126" s="141"/>
      <c r="X126" s="141"/>
      <c r="Y126" s="141"/>
    </row>
    <row r="127" spans="1:38">
      <c r="A127" s="118"/>
      <c r="B127" s="118"/>
      <c r="C127" s="108" t="s">
        <v>26</v>
      </c>
      <c r="D127" s="108" t="s">
        <v>26</v>
      </c>
      <c r="E127" s="108">
        <v>407010201</v>
      </c>
      <c r="F127" s="109" t="s">
        <v>83</v>
      </c>
      <c r="G127" s="108" t="s">
        <v>6</v>
      </c>
      <c r="H127" s="110">
        <f>IFERROR(IF(VLOOKUP(K127,데이터입력!$C$3:$L$40,5,FALSE)&lt;1000,ROUNDUP(VLOOKUP(K127,데이터입력!$C$3:$L$40,5,FALSE)*1/1000,0),ROUND(VLOOKUP(K127,데이터입력!$C$3:$L$40,5,FALSE)*1/1000,0)),0)</f>
        <v>0</v>
      </c>
      <c r="I127" s="110">
        <f>IFERROR(IF(F127="06",IF(V127&lt;1000,ROUNDUP((V127)*1/1000,0),ROUND((V127)*1/1000,0)),IF(F127="07",IF(W127&lt;1000,ROUNDUP((W127)*1/1000,0),ROUND((W127)*1/1000,0)),IF(F127="05",IF(X127&lt;1000,ROUNDUP((X127)*1/1000,0),ROUND((X127)*1/1000,0))))),0)</f>
        <v>0</v>
      </c>
      <c r="J127" s="111">
        <f>I127-H127</f>
        <v>0</v>
      </c>
      <c r="K127" s="111" t="str">
        <f>D127&amp;"("&amp;G127&amp;")"</f>
        <v>기타차입금(수익사업)</v>
      </c>
      <c r="L127" s="112" t="str">
        <f>D127</f>
        <v>기타차입금</v>
      </c>
      <c r="M127" s="113"/>
      <c r="N127" s="114"/>
      <c r="O127" s="115"/>
      <c r="P127" s="114"/>
      <c r="Q127" s="115"/>
      <c r="R127" s="114"/>
      <c r="S127" s="115"/>
      <c r="T127" s="115"/>
      <c r="U127" s="115"/>
      <c r="V127" s="116">
        <f>SUM(V128:V129)</f>
        <v>0</v>
      </c>
      <c r="W127" s="116">
        <f t="shared" ref="W127:X127" si="58">SUM(W128:W129)</f>
        <v>0</v>
      </c>
      <c r="X127" s="116">
        <f t="shared" si="58"/>
        <v>0</v>
      </c>
      <c r="Y127" s="116">
        <f>SUM(V127:X127)</f>
        <v>0</v>
      </c>
    </row>
    <row r="128" spans="1:38">
      <c r="A128" s="118"/>
      <c r="B128" s="118"/>
      <c r="C128" s="118"/>
      <c r="D128" s="118"/>
      <c r="E128" s="118"/>
      <c r="F128" s="132"/>
      <c r="G128" s="118"/>
      <c r="H128" s="133"/>
      <c r="I128" s="133"/>
      <c r="J128" s="133"/>
      <c r="K128" s="259"/>
      <c r="L128" s="127" t="str">
        <f>"    - "&amp;L127</f>
        <v xml:space="preserve">    - 기타차입금</v>
      </c>
      <c r="M128" s="263"/>
      <c r="N128" s="124">
        <f>IF(P128="",ROUNDUP(데이터입력!T44/R128,-3),ROUNDUP(데이터입력!T44/P128/R128,-3))</f>
        <v>0</v>
      </c>
      <c r="O128" s="121" t="str">
        <f>IF(P128="","","x ")</f>
        <v/>
      </c>
      <c r="P128" s="125"/>
      <c r="Q128" s="121" t="s">
        <v>407</v>
      </c>
      <c r="R128" s="126">
        <f>IF(VLOOKUP(L127,데이터입력!$R$32:$U$53,4,FALSE)="",데이터입력!$Y$8,VLOOKUP(L127,데이터입력!$R$32:$U$53,4,FALSE))</f>
        <v>12</v>
      </c>
      <c r="S128" s="121"/>
      <c r="T128" s="121" t="s">
        <v>408</v>
      </c>
      <c r="U128" s="121"/>
      <c r="V128" s="122">
        <f>IF(P128="",N128*R128,N128*P128*R128)</f>
        <v>0</v>
      </c>
      <c r="W128" s="122"/>
      <c r="X128" s="122"/>
      <c r="Y128" s="122"/>
    </row>
    <row r="129" spans="1:25" hidden="1">
      <c r="A129" s="134"/>
      <c r="B129" s="134"/>
      <c r="C129" s="134"/>
      <c r="D129" s="134"/>
      <c r="E129" s="134"/>
      <c r="F129" s="135"/>
      <c r="G129" s="134"/>
      <c r="H129" s="136"/>
      <c r="I129" s="136"/>
      <c r="J129" s="136"/>
      <c r="K129" s="260"/>
      <c r="L129" s="130" t="s">
        <v>409</v>
      </c>
      <c r="M129" s="137"/>
      <c r="N129" s="138">
        <v>0</v>
      </c>
      <c r="O129" s="131" t="s">
        <v>407</v>
      </c>
      <c r="P129" s="139"/>
      <c r="Q129" s="131" t="s">
        <v>407</v>
      </c>
      <c r="R129" s="140">
        <f>데이터입력!$Y$8</f>
        <v>12</v>
      </c>
      <c r="S129" s="131"/>
      <c r="T129" s="131" t="s">
        <v>408</v>
      </c>
      <c r="U129" s="131"/>
      <c r="V129" s="141">
        <f>IF(P129=0,N129*R129,N129*P129*R129)</f>
        <v>0</v>
      </c>
      <c r="W129" s="141"/>
      <c r="X129" s="141"/>
      <c r="Y129" s="141"/>
    </row>
    <row r="130" spans="1:25">
      <c r="A130" s="314" t="s">
        <v>324</v>
      </c>
      <c r="B130" s="315" t="s">
        <v>324</v>
      </c>
      <c r="C130" s="317"/>
      <c r="D130" s="317"/>
      <c r="E130" s="317"/>
      <c r="F130" s="317"/>
      <c r="G130" s="317"/>
      <c r="H130" s="305">
        <f>SUM(H131,H134,H137,H140)</f>
        <v>0</v>
      </c>
      <c r="I130" s="305">
        <f>SUM(I131,I134,I137,I140)</f>
        <v>0</v>
      </c>
      <c r="J130" s="305">
        <f>SUM(J131,J134,J137,J140)</f>
        <v>0</v>
      </c>
      <c r="K130" s="305"/>
      <c r="L130" s="318"/>
      <c r="M130" s="318"/>
      <c r="N130" s="318"/>
      <c r="O130" s="318"/>
      <c r="P130" s="318"/>
      <c r="Q130" s="318"/>
      <c r="R130" s="318"/>
      <c r="S130" s="318"/>
      <c r="T130" s="318"/>
      <c r="U130" s="318"/>
      <c r="V130" s="307">
        <f>SUM(V131,V134,V137,V140)</f>
        <v>0</v>
      </c>
      <c r="W130" s="307">
        <f t="shared" ref="W130:Y130" si="59">SUM(W131,W134,W137,W140)</f>
        <v>0</v>
      </c>
      <c r="X130" s="307">
        <f t="shared" si="59"/>
        <v>0</v>
      </c>
      <c r="Y130" s="307">
        <f t="shared" si="59"/>
        <v>0</v>
      </c>
    </row>
    <row r="131" spans="1:25">
      <c r="A131" s="108"/>
      <c r="B131" s="108"/>
      <c r="C131" s="108" t="s">
        <v>27</v>
      </c>
      <c r="D131" s="108" t="s">
        <v>27</v>
      </c>
      <c r="E131" s="108">
        <v>408010101</v>
      </c>
      <c r="F131" s="109" t="s">
        <v>83</v>
      </c>
      <c r="G131" s="108" t="s">
        <v>6</v>
      </c>
      <c r="H131" s="110">
        <f>IFERROR(IF(VLOOKUP(K131,데이터입력!$C$3:$L$40,5,FALSE)&lt;1000,ROUNDUP(VLOOKUP(K131,데이터입력!$C$3:$L$40,5,FALSE)*1/1000,0),ROUND(VLOOKUP(K131,데이터입력!$C$3:$L$40,5,FALSE)*1/1000,0)),0)</f>
        <v>0</v>
      </c>
      <c r="I131" s="110">
        <f>IFERROR(IF(F131="06",IF(V131&lt;1000,ROUNDUP((V131)*1/1000,0),ROUND((V131)*1/1000,0)),IF(F131="07",IF(W131&lt;1000,ROUNDUP((W131)*1/1000,0),ROUND((W131)*1/1000,0)),IF(F131="05",IF(X131&lt;1000,ROUNDUP((X131)*1/1000,0),ROUND((X131)*1/1000,0))))),0)</f>
        <v>0</v>
      </c>
      <c r="J131" s="111">
        <f>I131-H131</f>
        <v>0</v>
      </c>
      <c r="K131" s="111" t="str">
        <f>D131&amp;"("&amp;G131&amp;")"</f>
        <v>법인전입금(수익사업)</v>
      </c>
      <c r="L131" s="275" t="str">
        <f>D131</f>
        <v>법인전입금</v>
      </c>
      <c r="M131" s="113"/>
      <c r="N131" s="114"/>
      <c r="O131" s="115"/>
      <c r="P131" s="114"/>
      <c r="Q131" s="115"/>
      <c r="R131" s="114"/>
      <c r="S131" s="115"/>
      <c r="T131" s="115"/>
      <c r="U131" s="115"/>
      <c r="V131" s="116">
        <f>SUM(V132:V133)</f>
        <v>0</v>
      </c>
      <c r="W131" s="116">
        <f t="shared" ref="W131:X131" si="60">SUM(W132:W133)</f>
        <v>0</v>
      </c>
      <c r="X131" s="116">
        <f t="shared" si="60"/>
        <v>0</v>
      </c>
      <c r="Y131" s="116">
        <f>SUM(V131:X131)</f>
        <v>0</v>
      </c>
    </row>
    <row r="132" spans="1:25">
      <c r="A132" s="118"/>
      <c r="B132" s="118"/>
      <c r="C132" s="118"/>
      <c r="D132" s="118"/>
      <c r="E132" s="118"/>
      <c r="F132" s="132"/>
      <c r="G132" s="118"/>
      <c r="H132" s="133"/>
      <c r="I132" s="133"/>
      <c r="J132" s="133"/>
      <c r="K132" s="259"/>
      <c r="L132" s="127" t="str">
        <f>"    - "&amp;L131</f>
        <v xml:space="preserve">    - 법인전입금</v>
      </c>
      <c r="M132" s="263"/>
      <c r="N132" s="124">
        <f>IF(P132="",ROUNDUP(데이터입력!T45/R132,-3),ROUNDUP(데이터입력!T45/P132/R132,-3))</f>
        <v>0</v>
      </c>
      <c r="O132" s="121" t="str">
        <f>IF(P132="","","x ")</f>
        <v/>
      </c>
      <c r="P132" s="125"/>
      <c r="Q132" s="121" t="s">
        <v>407</v>
      </c>
      <c r="R132" s="126">
        <f>IF(VLOOKUP(L131,데이터입력!$R$32:$U$53,4,FALSE)="",데이터입력!$Y$8,VLOOKUP(L131,데이터입력!$R$32:$U$53,4,FALSE))</f>
        <v>12</v>
      </c>
      <c r="S132" s="121"/>
      <c r="T132" s="121" t="s">
        <v>408</v>
      </c>
      <c r="U132" s="121"/>
      <c r="V132" s="122">
        <f>IF(P132="",N132*R132,N132*P132*R132)</f>
        <v>0</v>
      </c>
      <c r="W132" s="122"/>
      <c r="X132" s="122"/>
      <c r="Y132" s="122"/>
    </row>
    <row r="133" spans="1:25" hidden="1">
      <c r="A133" s="118"/>
      <c r="B133" s="118"/>
      <c r="C133" s="134"/>
      <c r="D133" s="134"/>
      <c r="E133" s="134"/>
      <c r="F133" s="135"/>
      <c r="G133" s="134"/>
      <c r="H133" s="136"/>
      <c r="I133" s="136"/>
      <c r="J133" s="136"/>
      <c r="K133" s="260"/>
      <c r="L133" s="130" t="s">
        <v>409</v>
      </c>
      <c r="M133" s="137"/>
      <c r="N133" s="138"/>
      <c r="O133" s="131"/>
      <c r="P133" s="139"/>
      <c r="Q133" s="131"/>
      <c r="R133" s="140"/>
      <c r="S133" s="131"/>
      <c r="T133" s="131" t="s">
        <v>408</v>
      </c>
      <c r="U133" s="131"/>
      <c r="V133" s="141">
        <f>IF(P133=0,N133*R133,N133*P133*R133)</f>
        <v>0</v>
      </c>
      <c r="W133" s="141"/>
      <c r="X133" s="141"/>
      <c r="Y133" s="141"/>
    </row>
    <row r="134" spans="1:25">
      <c r="A134" s="118"/>
      <c r="B134" s="118"/>
      <c r="C134" s="1669" t="s">
        <v>28</v>
      </c>
      <c r="D134" s="1669" t="s">
        <v>28</v>
      </c>
      <c r="E134" s="108">
        <v>408010201</v>
      </c>
      <c r="F134" s="109" t="s">
        <v>85</v>
      </c>
      <c r="G134" s="108" t="s">
        <v>19</v>
      </c>
      <c r="H134" s="110">
        <f>IFERROR(IF(VLOOKUP(K134,데이터입력!$C$3:$L$40,5,FALSE)&lt;1000,ROUNDUP(VLOOKUP(K134,데이터입력!$C$3:$L$40,5,FALSE)*1/1000,0),ROUND(VLOOKUP(K134,데이터입력!$C$3:$L$40,5,FALSE)*1/1000,0)),0)</f>
        <v>0</v>
      </c>
      <c r="I134" s="110">
        <f>IFERROR(IF(F134="06",IF(V134&lt;1000,ROUNDUP((V134)*1/1000,0),ROUND((V134)*1/1000,0)),IF(F134="07",IF(W134&lt;1000,ROUNDUP((W134)*1/1000,0),ROUND((W134)*1/1000,0)),IF(F134="05",IF(X134&lt;1000,ROUNDUP((X134)*1/1000,0),ROUND((X134)*1/1000,0))))),0)</f>
        <v>0</v>
      </c>
      <c r="J134" s="111">
        <f>I134-H134</f>
        <v>0</v>
      </c>
      <c r="K134" s="111" t="str">
        <f>D134</f>
        <v>법인전입금(후원금)</v>
      </c>
      <c r="L134" s="112" t="str">
        <f>D134</f>
        <v>법인전입금(후원금)</v>
      </c>
      <c r="M134" s="113"/>
      <c r="N134" s="114"/>
      <c r="O134" s="115"/>
      <c r="P134" s="114"/>
      <c r="Q134" s="115"/>
      <c r="R134" s="114"/>
      <c r="S134" s="115"/>
      <c r="T134" s="115"/>
      <c r="U134" s="115"/>
      <c r="V134" s="116">
        <f>SUM(V135:V136)</f>
        <v>0</v>
      </c>
      <c r="W134" s="116">
        <f t="shared" ref="W134:X134" si="61">SUM(W135:W136)</f>
        <v>0</v>
      </c>
      <c r="X134" s="116">
        <f t="shared" si="61"/>
        <v>0</v>
      </c>
      <c r="Y134" s="116">
        <f>SUM(V134:X134)</f>
        <v>0</v>
      </c>
    </row>
    <row r="135" spans="1:25">
      <c r="A135" s="118"/>
      <c r="B135" s="118"/>
      <c r="C135" s="1670"/>
      <c r="D135" s="1670"/>
      <c r="E135" s="118"/>
      <c r="F135" s="132"/>
      <c r="G135" s="118"/>
      <c r="H135" s="133"/>
      <c r="I135" s="133"/>
      <c r="J135" s="133"/>
      <c r="K135" s="259"/>
      <c r="L135" s="127" t="str">
        <f>"    - "&amp;L134</f>
        <v xml:space="preserve">    - 법인전입금(후원금)</v>
      </c>
      <c r="M135" s="263"/>
      <c r="N135" s="124">
        <f>IF(P135="",ROUNDUP(데이터입력!T62/R135,-3),ROUNDUP(데이터입력!T62/P135/R135,-3))</f>
        <v>0</v>
      </c>
      <c r="O135" s="121" t="str">
        <f>IF(P135="","","x ")</f>
        <v/>
      </c>
      <c r="P135" s="125"/>
      <c r="Q135" s="121" t="s">
        <v>407</v>
      </c>
      <c r="R135" s="126">
        <f>IF(VLOOKUP(L134,데이터입력!$R$60:$U$65,4,FALSE)="",데이터입력!$Y$8,VLOOKUP(L134,데이터입력!$R$60:$U$65,4,FALSE))</f>
        <v>12</v>
      </c>
      <c r="S135" s="121"/>
      <c r="T135" s="121" t="s">
        <v>408</v>
      </c>
      <c r="U135" s="121"/>
      <c r="V135" s="122"/>
      <c r="W135" s="122"/>
      <c r="X135" s="122">
        <f>IF(P135="",N135*R135,N135*P135*R135)</f>
        <v>0</v>
      </c>
      <c r="Y135" s="122"/>
    </row>
    <row r="136" spans="1:25" hidden="1">
      <c r="A136" s="118"/>
      <c r="B136" s="118"/>
      <c r="C136" s="1671"/>
      <c r="D136" s="1671"/>
      <c r="E136" s="134"/>
      <c r="F136" s="135"/>
      <c r="G136" s="134"/>
      <c r="H136" s="136"/>
      <c r="I136" s="136"/>
      <c r="J136" s="136"/>
      <c r="K136" s="260"/>
      <c r="L136" s="130" t="s">
        <v>409</v>
      </c>
      <c r="M136" s="137"/>
      <c r="N136" s="138"/>
      <c r="O136" s="131"/>
      <c r="P136" s="139"/>
      <c r="Q136" s="131"/>
      <c r="R136" s="140"/>
      <c r="S136" s="131"/>
      <c r="T136" s="131" t="s">
        <v>408</v>
      </c>
      <c r="U136" s="131"/>
      <c r="V136" s="141"/>
      <c r="W136" s="141"/>
      <c r="X136" s="141">
        <f>IF(P136="",N136*R136,N136*P136*R136)</f>
        <v>0</v>
      </c>
      <c r="Y136" s="141"/>
    </row>
    <row r="137" spans="1:25">
      <c r="A137" s="118"/>
      <c r="B137" s="118"/>
      <c r="C137" s="1669" t="s">
        <v>29</v>
      </c>
      <c r="D137" s="1669" t="s">
        <v>29</v>
      </c>
      <c r="E137" s="108">
        <v>408010301</v>
      </c>
      <c r="F137" s="109" t="s">
        <v>83</v>
      </c>
      <c r="G137" s="108" t="s">
        <v>6</v>
      </c>
      <c r="H137" s="110">
        <f>IFERROR(IF(VLOOKUP(K137,데이터입력!$C$3:$L$40,5,FALSE)&lt;1000,ROUNDUP(VLOOKUP(K137,데이터입력!$C$3:$L$40,5,FALSE)*1/1000,0),ROUND(VLOOKUP(K137,데이터입력!$C$3:$L$40,5,FALSE)*1/1000,0)),0)</f>
        <v>0</v>
      </c>
      <c r="I137" s="110">
        <f>IFERROR(IF(F137="06",IF(V137&lt;1000,ROUNDUP((V137)*1/1000,0),ROUND((V137)*1/1000,0)),IF(F137="07",IF(W137&lt;1000,ROUNDUP((W137)*1/1000,0),ROUND((W137)*1/1000,0)),IF(F137="05",IF(X137&lt;1000,ROUNDUP((X137)*1/1000,0),ROUND((X137)*1/1000,0))))),0)</f>
        <v>0</v>
      </c>
      <c r="J137" s="111">
        <f>I137-H137</f>
        <v>0</v>
      </c>
      <c r="K137" s="111" t="str">
        <f>D137&amp;"("&amp;G137&amp;")"</f>
        <v>기타전입금(수익사업)</v>
      </c>
      <c r="L137" s="275" t="str">
        <f>D137</f>
        <v>기타전입금</v>
      </c>
      <c r="M137" s="113"/>
      <c r="N137" s="114"/>
      <c r="O137" s="115"/>
      <c r="P137" s="114"/>
      <c r="Q137" s="115"/>
      <c r="R137" s="114"/>
      <c r="S137" s="115"/>
      <c r="T137" s="115"/>
      <c r="U137" s="115"/>
      <c r="V137" s="116">
        <f>SUM(V138:V139)</f>
        <v>0</v>
      </c>
      <c r="W137" s="116">
        <f t="shared" ref="W137:X137" si="62">SUM(W138:W139)</f>
        <v>0</v>
      </c>
      <c r="X137" s="116">
        <f t="shared" si="62"/>
        <v>0</v>
      </c>
      <c r="Y137" s="116">
        <f>SUM(V137:X137)</f>
        <v>0</v>
      </c>
    </row>
    <row r="138" spans="1:25">
      <c r="A138" s="118"/>
      <c r="B138" s="118"/>
      <c r="C138" s="1670"/>
      <c r="D138" s="1670"/>
      <c r="E138" s="118"/>
      <c r="F138" s="132"/>
      <c r="G138" s="118"/>
      <c r="H138" s="133"/>
      <c r="I138" s="133"/>
      <c r="J138" s="133"/>
      <c r="K138" s="259"/>
      <c r="L138" s="127" t="str">
        <f>"    - "&amp;L137</f>
        <v xml:space="preserve">    - 기타전입금</v>
      </c>
      <c r="M138" s="263"/>
      <c r="N138" s="124">
        <f>IF(P138="",ROUNDUP(데이터입력!T46/R138,-3),ROUNDUP(데이터입력!T46/P138/R138,-3))</f>
        <v>0</v>
      </c>
      <c r="O138" s="121" t="str">
        <f>IF(P138="","","x ")</f>
        <v/>
      </c>
      <c r="P138" s="125"/>
      <c r="Q138" s="121" t="s">
        <v>407</v>
      </c>
      <c r="R138" s="126">
        <f>IF(VLOOKUP(L137,데이터입력!$R$32:$U$53,4,FALSE)="",데이터입력!$Y$8,VLOOKUP(L137,데이터입력!$R$32:$U$53,4,FALSE))</f>
        <v>12</v>
      </c>
      <c r="S138" s="121"/>
      <c r="T138" s="121" t="s">
        <v>408</v>
      </c>
      <c r="U138" s="121"/>
      <c r="V138" s="122">
        <f>IF(P138="",N138*R138,N138*P138*R138)</f>
        <v>0</v>
      </c>
      <c r="W138" s="122"/>
      <c r="X138" s="122"/>
      <c r="Y138" s="122"/>
    </row>
    <row r="139" spans="1:25" hidden="1">
      <c r="A139" s="118"/>
      <c r="B139" s="118"/>
      <c r="C139" s="1671"/>
      <c r="D139" s="1671"/>
      <c r="E139" s="134"/>
      <c r="F139" s="135"/>
      <c r="G139" s="134"/>
      <c r="H139" s="136"/>
      <c r="I139" s="136"/>
      <c r="J139" s="136"/>
      <c r="K139" s="260"/>
      <c r="L139" s="130" t="s">
        <v>409</v>
      </c>
      <c r="M139" s="137"/>
      <c r="N139" s="138"/>
      <c r="O139" s="131"/>
      <c r="P139" s="139"/>
      <c r="Q139" s="131"/>
      <c r="R139" s="140"/>
      <c r="S139" s="131"/>
      <c r="T139" s="131" t="s">
        <v>408</v>
      </c>
      <c r="U139" s="131"/>
      <c r="V139" s="141">
        <f>IF(P139=0,N139*R139,N139*P139*R139)</f>
        <v>0</v>
      </c>
      <c r="W139" s="141"/>
      <c r="X139" s="141"/>
      <c r="Y139" s="141"/>
    </row>
    <row r="140" spans="1:25">
      <c r="A140" s="118"/>
      <c r="B140" s="118"/>
      <c r="C140" s="1669" t="s">
        <v>30</v>
      </c>
      <c r="D140" s="1669" t="s">
        <v>30</v>
      </c>
      <c r="E140" s="108">
        <v>408010401</v>
      </c>
      <c r="F140" s="109" t="s">
        <v>85</v>
      </c>
      <c r="G140" s="108" t="s">
        <v>19</v>
      </c>
      <c r="H140" s="110">
        <f>IFERROR(IF(VLOOKUP(K140,데이터입력!$C$3:$L$40,5,FALSE)&lt;1000,ROUNDUP(VLOOKUP(K140,데이터입력!$C$3:$L$40,5,FALSE)*1/1000,0),ROUND(VLOOKUP(K140,데이터입력!$C$3:$L$40,5,FALSE)*1/1000,0)),0)</f>
        <v>0</v>
      </c>
      <c r="I140" s="110">
        <f>IFERROR(IF(F140="06",IF(V140&lt;1000,ROUNDUP((V140)*1/1000,0),ROUND((V140)*1/1000,0)),IF(F140="07",IF(W140&lt;1000,ROUNDUP((W140)*1/1000,0),ROUND((W140)*1/1000,0)),IF(F140="05",IF(X140&lt;1000,ROUNDUP((X140)*1/1000,0),ROUND((X140)*1/1000,0))))),0)</f>
        <v>0</v>
      </c>
      <c r="J140" s="111">
        <f>I140-H140</f>
        <v>0</v>
      </c>
      <c r="K140" s="111" t="str">
        <f>D140</f>
        <v>기타전입금(후원금)</v>
      </c>
      <c r="L140" s="112" t="str">
        <f>D140</f>
        <v>기타전입금(후원금)</v>
      </c>
      <c r="M140" s="113"/>
      <c r="N140" s="114"/>
      <c r="O140" s="115"/>
      <c r="P140" s="114"/>
      <c r="Q140" s="115"/>
      <c r="R140" s="114"/>
      <c r="S140" s="115"/>
      <c r="T140" s="115"/>
      <c r="U140" s="115"/>
      <c r="V140" s="116">
        <f>SUM(V141:V142)</f>
        <v>0</v>
      </c>
      <c r="W140" s="116">
        <f t="shared" ref="W140:X140" si="63">SUM(W141:W142)</f>
        <v>0</v>
      </c>
      <c r="X140" s="116">
        <f t="shared" si="63"/>
        <v>0</v>
      </c>
      <c r="Y140" s="116">
        <f>SUM(V140:X140)</f>
        <v>0</v>
      </c>
    </row>
    <row r="141" spans="1:25">
      <c r="A141" s="118"/>
      <c r="B141" s="118"/>
      <c r="C141" s="1670"/>
      <c r="D141" s="1670"/>
      <c r="E141" s="118"/>
      <c r="F141" s="132"/>
      <c r="G141" s="118"/>
      <c r="H141" s="133"/>
      <c r="I141" s="133"/>
      <c r="J141" s="133"/>
      <c r="K141" s="259"/>
      <c r="L141" s="127" t="str">
        <f>"    - "&amp;L140</f>
        <v xml:space="preserve">    - 기타전입금(후원금)</v>
      </c>
      <c r="M141" s="263"/>
      <c r="N141" s="124">
        <f>IF(P141="",ROUNDUP(데이터입력!T63/R141,-3),ROUNDUP(데이터입력!T63/P141/R141,-3))</f>
        <v>0</v>
      </c>
      <c r="O141" s="121" t="str">
        <f>IF(P141="","","x ")</f>
        <v/>
      </c>
      <c r="P141" s="125"/>
      <c r="Q141" s="121" t="s">
        <v>407</v>
      </c>
      <c r="R141" s="126">
        <f>IF(VLOOKUP(L140,데이터입력!$R$60:$U$65,4,FALSE)="",데이터입력!$Y$8,VLOOKUP(L140,데이터입력!$R$60:$U$65,4,FALSE))</f>
        <v>12</v>
      </c>
      <c r="S141" s="121"/>
      <c r="T141" s="121" t="s">
        <v>408</v>
      </c>
      <c r="U141" s="121"/>
      <c r="V141" s="122"/>
      <c r="W141" s="122"/>
      <c r="X141" s="122">
        <f>IF(P141="",N141*R141,N141*P141*R141)</f>
        <v>0</v>
      </c>
      <c r="Y141" s="122"/>
    </row>
    <row r="142" spans="1:25" hidden="1">
      <c r="A142" s="134"/>
      <c r="B142" s="134"/>
      <c r="C142" s="1671"/>
      <c r="D142" s="1671"/>
      <c r="E142" s="134"/>
      <c r="F142" s="135"/>
      <c r="G142" s="134"/>
      <c r="H142" s="136"/>
      <c r="I142" s="136"/>
      <c r="J142" s="136"/>
      <c r="K142" s="260"/>
      <c r="L142" s="130" t="s">
        <v>409</v>
      </c>
      <c r="M142" s="137"/>
      <c r="N142" s="138">
        <v>0</v>
      </c>
      <c r="O142" s="131" t="s">
        <v>407</v>
      </c>
      <c r="P142" s="139">
        <v>0</v>
      </c>
      <c r="Q142" s="131" t="s">
        <v>407</v>
      </c>
      <c r="R142" s="140">
        <f>데이터입력!$Y$8</f>
        <v>12</v>
      </c>
      <c r="S142" s="131"/>
      <c r="T142" s="131" t="s">
        <v>408</v>
      </c>
      <c r="U142" s="131"/>
      <c r="V142" s="141"/>
      <c r="W142" s="141"/>
      <c r="X142" s="141">
        <f>IF(P142="",N142*R142,N142*P142*R142)</f>
        <v>0</v>
      </c>
      <c r="Y142" s="141"/>
    </row>
    <row r="143" spans="1:25">
      <c r="A143" s="314" t="s">
        <v>327</v>
      </c>
      <c r="B143" s="315" t="s">
        <v>327</v>
      </c>
      <c r="C143" s="317"/>
      <c r="D143" s="317"/>
      <c r="E143" s="317"/>
      <c r="F143" s="317"/>
      <c r="G143" s="317"/>
      <c r="H143" s="305">
        <f>SUM(H144,H147,H150,H153,H156)</f>
        <v>24777</v>
      </c>
      <c r="I143" s="305">
        <f>SUM(I144,I147,I150,I153,I156)</f>
        <v>24777</v>
      </c>
      <c r="J143" s="305">
        <f>SUM(J144,J147,J150,J153,J156)</f>
        <v>0</v>
      </c>
      <c r="K143" s="305"/>
      <c r="L143" s="318"/>
      <c r="M143" s="318"/>
      <c r="N143" s="318"/>
      <c r="O143" s="318"/>
      <c r="P143" s="318"/>
      <c r="Q143" s="318"/>
      <c r="R143" s="318"/>
      <c r="S143" s="318"/>
      <c r="T143" s="318"/>
      <c r="U143" s="318"/>
      <c r="V143" s="307">
        <f>SUM(V144,V147,V150,V153,V156)</f>
        <v>24777480</v>
      </c>
      <c r="W143" s="307">
        <f t="shared" ref="W143:Y143" si="64">SUM(W144,W147,W150,W153,W156)</f>
        <v>0</v>
      </c>
      <c r="X143" s="307">
        <f t="shared" si="64"/>
        <v>0</v>
      </c>
      <c r="Y143" s="307">
        <f t="shared" si="64"/>
        <v>24777480</v>
      </c>
    </row>
    <row r="144" spans="1:25">
      <c r="A144" s="108"/>
      <c r="B144" s="108"/>
      <c r="C144" s="108" t="s">
        <v>31</v>
      </c>
      <c r="D144" s="108" t="s">
        <v>31</v>
      </c>
      <c r="E144" s="108">
        <v>409010101</v>
      </c>
      <c r="F144" s="109" t="s">
        <v>83</v>
      </c>
      <c r="G144" s="108" t="s">
        <v>6</v>
      </c>
      <c r="H144" s="110">
        <f>IFERROR(IF(VLOOKUP(K144,데이터입력!$C$3:$L$40,5,FALSE)&lt;1000,ROUNDUP(VLOOKUP(K144,데이터입력!$C$3:$L$40,5,FALSE)*1/1000,0),ROUND(VLOOKUP(K144,데이터입력!$C$3:$L$40,5,FALSE)*1/1000,0)),0)</f>
        <v>24777</v>
      </c>
      <c r="I144" s="110">
        <f>IFERROR(IF(F144="06",IF(V144&lt;1000,ROUNDUP((V144)*1/1000,0),ROUND((V144)*1/1000,0)),IF(F144="07",IF(W144&lt;1000,ROUNDUP((W144)*1/1000,0),ROUND((W144)*1/1000,0)),IF(F144="05",IF(X144&lt;1000,ROUNDUP((X144)*1/1000,0),ROUND((X144)*1/1000,0))))),0)</f>
        <v>24777</v>
      </c>
      <c r="J144" s="111">
        <f>I144-H144</f>
        <v>0</v>
      </c>
      <c r="K144" s="111" t="str">
        <f>D144&amp;"("&amp;G144&amp;")"</f>
        <v>전년도이월금(수익사업)</v>
      </c>
      <c r="L144" s="112" t="str">
        <f>D144</f>
        <v>전년도이월금</v>
      </c>
      <c r="M144" s="113"/>
      <c r="N144" s="114"/>
      <c r="O144" s="115"/>
      <c r="P144" s="114"/>
      <c r="Q144" s="115"/>
      <c r="R144" s="114"/>
      <c r="S144" s="115"/>
      <c r="T144" s="115"/>
      <c r="U144" s="115"/>
      <c r="V144" s="116">
        <f>SUM(V145:V146)</f>
        <v>24777480</v>
      </c>
      <c r="W144" s="116">
        <f t="shared" ref="W144:X144" si="65">SUM(W145:W146)</f>
        <v>0</v>
      </c>
      <c r="X144" s="116">
        <f t="shared" si="65"/>
        <v>0</v>
      </c>
      <c r="Y144" s="116">
        <f>SUM(V144:X144)</f>
        <v>24777480</v>
      </c>
    </row>
    <row r="145" spans="1:25">
      <c r="A145" s="118"/>
      <c r="B145" s="118"/>
      <c r="C145" s="118"/>
      <c r="D145" s="118"/>
      <c r="E145" s="118"/>
      <c r="F145" s="132"/>
      <c r="G145" s="118"/>
      <c r="H145" s="133"/>
      <c r="I145" s="133"/>
      <c r="J145" s="133"/>
      <c r="K145" s="259"/>
      <c r="L145" s="127" t="str">
        <f>"    - "&amp;L144</f>
        <v xml:space="preserve">    - 전년도이월금</v>
      </c>
      <c r="M145" s="263"/>
      <c r="N145" s="124"/>
      <c r="O145" s="121"/>
      <c r="P145" s="125"/>
      <c r="Q145" s="121"/>
      <c r="R145" s="126"/>
      <c r="S145" s="121"/>
      <c r="T145" s="121" t="s">
        <v>408</v>
      </c>
      <c r="U145" s="121"/>
      <c r="V145" s="122">
        <f>데이터입력!T47</f>
        <v>24777480</v>
      </c>
      <c r="W145" s="122"/>
      <c r="X145" s="122"/>
      <c r="Y145" s="122"/>
    </row>
    <row r="146" spans="1:25" hidden="1">
      <c r="A146" s="118"/>
      <c r="B146" s="118"/>
      <c r="C146" s="134"/>
      <c r="D146" s="134"/>
      <c r="E146" s="134"/>
      <c r="F146" s="135"/>
      <c r="G146" s="134"/>
      <c r="H146" s="136"/>
      <c r="I146" s="136"/>
      <c r="J146" s="136"/>
      <c r="K146" s="260"/>
      <c r="L146" s="130" t="s">
        <v>409</v>
      </c>
      <c r="M146" s="137"/>
      <c r="N146" s="138"/>
      <c r="O146" s="131"/>
      <c r="P146" s="139"/>
      <c r="Q146" s="131"/>
      <c r="R146" s="140"/>
      <c r="S146" s="131"/>
      <c r="T146" s="131" t="s">
        <v>408</v>
      </c>
      <c r="U146" s="131"/>
      <c r="V146" s="141">
        <f>IF(P146=0,N146*R146,N146*P146*R146)</f>
        <v>0</v>
      </c>
      <c r="W146" s="141"/>
      <c r="X146" s="141"/>
      <c r="Y146" s="141"/>
    </row>
    <row r="147" spans="1:25" ht="24">
      <c r="A147" s="118"/>
      <c r="B147" s="118"/>
      <c r="C147" s="108" t="s">
        <v>31</v>
      </c>
      <c r="D147" s="108" t="s">
        <v>421</v>
      </c>
      <c r="E147" s="108">
        <v>409010101</v>
      </c>
      <c r="F147" s="109" t="s">
        <v>422</v>
      </c>
      <c r="G147" s="108" t="s">
        <v>384</v>
      </c>
      <c r="H147" s="110">
        <f>IFERROR(IF(VLOOKUP(K147,데이터입력!$C$3:$L$40,5,FALSE)&lt;1000,ROUNDUP(VLOOKUP(K147,데이터입력!$C$3:$L$40,5,FALSE)*1/1000,0),ROUND(VLOOKUP(K147,데이터입력!$C$3:$L$40,5,FALSE)*1/1000,0)),0)</f>
        <v>0</v>
      </c>
      <c r="I147" s="110">
        <f>IFERROR(IF(F147="06",IF(V147&lt;1000,ROUNDUP((V147)*1/1000,0),ROUND((V147)*1/1000,0)),IF(F147="07",IF(W147&lt;1000,ROUNDUP((W147)*1/1000,0),ROUND((W147)*1/1000,0)),IF(F147="05",IF(X147&lt;1000,ROUNDUP((X147)*1/1000,0),ROUND((X147)*1/1000,0))))),0)</f>
        <v>0</v>
      </c>
      <c r="J147" s="111">
        <f>I147-H147</f>
        <v>0</v>
      </c>
      <c r="K147" s="256" t="str">
        <f>D147</f>
        <v>전년도이월금(보조금)</v>
      </c>
      <c r="L147" s="112" t="str">
        <f>D147</f>
        <v>전년도이월금(보조금)</v>
      </c>
      <c r="M147" s="113"/>
      <c r="N147" s="114"/>
      <c r="O147" s="115"/>
      <c r="P147" s="114"/>
      <c r="Q147" s="115"/>
      <c r="R147" s="114"/>
      <c r="S147" s="115"/>
      <c r="T147" s="115"/>
      <c r="U147" s="115"/>
      <c r="V147" s="116"/>
      <c r="W147" s="116">
        <f t="shared" ref="W147:X147" si="66">SUM(W148:W149)</f>
        <v>0</v>
      </c>
      <c r="X147" s="116">
        <f t="shared" si="66"/>
        <v>0</v>
      </c>
      <c r="Y147" s="116">
        <f>SUM(V147:X147)</f>
        <v>0</v>
      </c>
    </row>
    <row r="148" spans="1:25">
      <c r="A148" s="118"/>
      <c r="B148" s="118"/>
      <c r="C148" s="118"/>
      <c r="D148" s="118"/>
      <c r="E148" s="118"/>
      <c r="F148" s="132"/>
      <c r="G148" s="118"/>
      <c r="H148" s="133"/>
      <c r="I148" s="133"/>
      <c r="J148" s="133"/>
      <c r="K148" s="259"/>
      <c r="L148" s="127" t="str">
        <f>"    - "&amp;L147</f>
        <v xml:space="preserve">    - 전년도이월금(보조금)</v>
      </c>
      <c r="M148" s="263"/>
      <c r="N148" s="124"/>
      <c r="O148" s="121"/>
      <c r="P148" s="125"/>
      <c r="Q148" s="121"/>
      <c r="R148" s="126"/>
      <c r="S148" s="121"/>
      <c r="T148" s="121" t="s">
        <v>408</v>
      </c>
      <c r="U148" s="121"/>
      <c r="V148" s="122"/>
      <c r="W148" s="122">
        <f>데이터입력!$T$58</f>
        <v>0</v>
      </c>
      <c r="X148" s="122"/>
      <c r="Y148" s="122"/>
    </row>
    <row r="149" spans="1:25" hidden="1">
      <c r="A149" s="118"/>
      <c r="B149" s="118"/>
      <c r="C149" s="134"/>
      <c r="D149" s="134"/>
      <c r="E149" s="134"/>
      <c r="F149" s="135"/>
      <c r="G149" s="134"/>
      <c r="H149" s="136"/>
      <c r="I149" s="136"/>
      <c r="J149" s="136"/>
      <c r="K149" s="260"/>
      <c r="L149" s="130" t="s">
        <v>409</v>
      </c>
      <c r="M149" s="137"/>
      <c r="N149" s="138">
        <v>0</v>
      </c>
      <c r="O149" s="131" t="s">
        <v>407</v>
      </c>
      <c r="P149" s="139">
        <v>0</v>
      </c>
      <c r="Q149" s="131" t="s">
        <v>407</v>
      </c>
      <c r="R149" s="140">
        <f>데이터입력!$Y$8</f>
        <v>12</v>
      </c>
      <c r="S149" s="131"/>
      <c r="T149" s="131" t="s">
        <v>408</v>
      </c>
      <c r="U149" s="131"/>
      <c r="V149" s="141"/>
      <c r="W149" s="141">
        <f>IF(P149=0,N149*R149,N149*P149*R149)</f>
        <v>0</v>
      </c>
      <c r="X149" s="141"/>
      <c r="Y149" s="141"/>
    </row>
    <row r="150" spans="1:25">
      <c r="A150" s="118"/>
      <c r="B150" s="118"/>
      <c r="C150" s="1669" t="s">
        <v>32</v>
      </c>
      <c r="D150" s="1669" t="s">
        <v>32</v>
      </c>
      <c r="E150" s="108">
        <v>409010201</v>
      </c>
      <c r="F150" s="109" t="s">
        <v>85</v>
      </c>
      <c r="G150" s="108" t="s">
        <v>19</v>
      </c>
      <c r="H150" s="110">
        <f>IFERROR(IF(VLOOKUP(K150,데이터입력!$C$3:$L$40,5,FALSE)&lt;1000,ROUNDUP(VLOOKUP(K150,데이터입력!$C$3:$L$40,5,FALSE)*1/1000,0),ROUND(VLOOKUP(K150,데이터입력!$C$3:$L$40,5,FALSE)*1/1000,0)),0)</f>
        <v>0</v>
      </c>
      <c r="I150" s="110">
        <f>IFERROR(IF(F150="06",IF(V150&lt;1000,ROUNDUP((V150)*1/1000,0),ROUND((V150)*1/1000,0)),IF(F150="07",IF(W150&lt;1000,ROUNDUP((W150)*1/1000,0),ROUND((W150)*1/1000,0)),IF(F150="05",IF(X150&lt;1000,ROUNDUP((X150)*1/1000,0),ROUND((X150)*1/1000,0))))),0)</f>
        <v>0</v>
      </c>
      <c r="J150" s="111">
        <f>I150-H150</f>
        <v>0</v>
      </c>
      <c r="K150" s="256" t="str">
        <f>D150</f>
        <v>전년도이월금(후원금)</v>
      </c>
      <c r="L150" s="112" t="str">
        <f>D150</f>
        <v>전년도이월금(후원금)</v>
      </c>
      <c r="M150" s="113"/>
      <c r="N150" s="114"/>
      <c r="O150" s="115"/>
      <c r="P150" s="114"/>
      <c r="Q150" s="115"/>
      <c r="R150" s="114"/>
      <c r="S150" s="115"/>
      <c r="T150" s="115"/>
      <c r="U150" s="115"/>
      <c r="V150" s="116"/>
      <c r="W150" s="116"/>
      <c r="X150" s="116">
        <f t="shared" ref="X150" si="67">SUM(X151:X152)</f>
        <v>0</v>
      </c>
      <c r="Y150" s="116">
        <f>SUM(V150:X150)</f>
        <v>0</v>
      </c>
    </row>
    <row r="151" spans="1:25">
      <c r="A151" s="118"/>
      <c r="B151" s="118"/>
      <c r="C151" s="1670"/>
      <c r="D151" s="1670"/>
      <c r="E151" s="118"/>
      <c r="F151" s="132"/>
      <c r="G151" s="118"/>
      <c r="H151" s="133"/>
      <c r="I151" s="133"/>
      <c r="J151" s="133"/>
      <c r="K151" s="259"/>
      <c r="L151" s="127" t="str">
        <f>"    - "&amp;L150</f>
        <v xml:space="preserve">    - 전년도이월금(후원금)</v>
      </c>
      <c r="M151" s="263"/>
      <c r="N151" s="124"/>
      <c r="O151" s="121"/>
      <c r="P151" s="125"/>
      <c r="Q151" s="121"/>
      <c r="R151" s="126"/>
      <c r="S151" s="121"/>
      <c r="T151" s="121" t="s">
        <v>408</v>
      </c>
      <c r="U151" s="121"/>
      <c r="V151" s="122"/>
      <c r="W151" s="122"/>
      <c r="X151" s="122">
        <f>데이터입력!$T$64</f>
        <v>0</v>
      </c>
      <c r="Y151" s="122"/>
    </row>
    <row r="152" spans="1:25" hidden="1">
      <c r="A152" s="118"/>
      <c r="B152" s="118"/>
      <c r="C152" s="1671"/>
      <c r="D152" s="1671"/>
      <c r="E152" s="134"/>
      <c r="F152" s="135"/>
      <c r="G152" s="134"/>
      <c r="H152" s="136"/>
      <c r="I152" s="136"/>
      <c r="J152" s="136"/>
      <c r="K152" s="260"/>
      <c r="L152" s="130" t="s">
        <v>409</v>
      </c>
      <c r="M152" s="137"/>
      <c r="N152" s="138"/>
      <c r="O152" s="131"/>
      <c r="P152" s="139"/>
      <c r="Q152" s="131"/>
      <c r="R152" s="140"/>
      <c r="S152" s="131"/>
      <c r="T152" s="131" t="s">
        <v>408</v>
      </c>
      <c r="U152" s="131"/>
      <c r="V152" s="141"/>
      <c r="W152" s="141"/>
      <c r="X152" s="141">
        <f>N152*P152*R152</f>
        <v>0</v>
      </c>
      <c r="Y152" s="141"/>
    </row>
    <row r="153" spans="1:25">
      <c r="A153" s="118"/>
      <c r="B153" s="118"/>
      <c r="C153" s="1669" t="s">
        <v>33</v>
      </c>
      <c r="D153" s="1669" t="s">
        <v>33</v>
      </c>
      <c r="E153" s="108">
        <v>409010301</v>
      </c>
      <c r="F153" s="109" t="s">
        <v>83</v>
      </c>
      <c r="G153" s="108" t="s">
        <v>6</v>
      </c>
      <c r="H153" s="110">
        <f>IFERROR(IF(VLOOKUP(K153,데이터입력!$C$3:$L$40,5,FALSE)&lt;1000,ROUNDUP(VLOOKUP(K153,데이터입력!$C$3:$L$40,5,FALSE)*1/1000,0),ROUND(VLOOKUP(K153,데이터입력!$C$3:$L$40,5,FALSE)*1/1000,0)),0)</f>
        <v>0</v>
      </c>
      <c r="I153" s="110">
        <f>IFERROR(IF(F153="06",IF(V153&lt;1000,ROUNDUP((V153)*1/1000,0),ROUND((V153)*1/1000,0)),IF(F153="07",IF(W153&lt;1000,ROUNDUP((W153)*1/1000,0),ROUND((W153)*1/1000,0)),IF(F153="05",IF(X153&lt;1000,ROUNDUP((X153)*1/1000,0),ROUND((X153)*1/1000,0))))),0)</f>
        <v>0</v>
      </c>
      <c r="J153" s="111">
        <f>I153-H153</f>
        <v>0</v>
      </c>
      <c r="K153" s="111" t="str">
        <f>D153&amp;"("&amp;G153&amp;")"</f>
        <v>전년도이월금(식재료비)(수익사업)</v>
      </c>
      <c r="L153" s="112" t="str">
        <f>D153</f>
        <v>전년도이월금(식재료비)</v>
      </c>
      <c r="M153" s="113"/>
      <c r="N153" s="114"/>
      <c r="O153" s="115"/>
      <c r="P153" s="114"/>
      <c r="Q153" s="115"/>
      <c r="R153" s="114"/>
      <c r="S153" s="115"/>
      <c r="T153" s="115"/>
      <c r="U153" s="115"/>
      <c r="V153" s="116">
        <f>SUM(V154:V155)</f>
        <v>0</v>
      </c>
      <c r="W153" s="116">
        <f t="shared" ref="W153:X153" si="68">SUM(W154:W155)</f>
        <v>0</v>
      </c>
      <c r="X153" s="116">
        <f t="shared" si="68"/>
        <v>0</v>
      </c>
      <c r="Y153" s="116">
        <f>SUM(V153:X153)</f>
        <v>0</v>
      </c>
    </row>
    <row r="154" spans="1:25">
      <c r="A154" s="118"/>
      <c r="B154" s="118"/>
      <c r="C154" s="1670"/>
      <c r="D154" s="1670"/>
      <c r="E154" s="118"/>
      <c r="F154" s="132"/>
      <c r="G154" s="118"/>
      <c r="H154" s="133"/>
      <c r="I154" s="133"/>
      <c r="J154" s="133"/>
      <c r="K154" s="259"/>
      <c r="L154" s="127" t="str">
        <f>"    - "&amp;L153</f>
        <v xml:space="preserve">    - 전년도이월금(식재료비)</v>
      </c>
      <c r="M154" s="263"/>
      <c r="N154" s="124"/>
      <c r="O154" s="121"/>
      <c r="P154" s="125"/>
      <c r="Q154" s="121"/>
      <c r="R154" s="126"/>
      <c r="S154" s="121"/>
      <c r="T154" s="121" t="s">
        <v>408</v>
      </c>
      <c r="U154" s="121"/>
      <c r="V154" s="122">
        <f>데이터입력!T48</f>
        <v>0</v>
      </c>
      <c r="W154" s="122"/>
      <c r="X154" s="122"/>
      <c r="Y154" s="122"/>
    </row>
    <row r="155" spans="1:25" hidden="1">
      <c r="A155" s="118"/>
      <c r="B155" s="118"/>
      <c r="C155" s="1671"/>
      <c r="D155" s="1671"/>
      <c r="E155" s="134"/>
      <c r="F155" s="135"/>
      <c r="G155" s="134"/>
      <c r="H155" s="136"/>
      <c r="I155" s="136"/>
      <c r="J155" s="136"/>
      <c r="K155" s="260"/>
      <c r="L155" s="130" t="s">
        <v>409</v>
      </c>
      <c r="M155" s="137"/>
      <c r="N155" s="138"/>
      <c r="O155" s="131"/>
      <c r="P155" s="139"/>
      <c r="Q155" s="131"/>
      <c r="R155" s="140"/>
      <c r="S155" s="131"/>
      <c r="T155" s="131" t="s">
        <v>408</v>
      </c>
      <c r="U155" s="131"/>
      <c r="V155" s="141">
        <f>IF(O155=0,M155*Q155,M155*O155*Q155)</f>
        <v>0</v>
      </c>
      <c r="W155" s="141"/>
      <c r="X155" s="141"/>
      <c r="Y155" s="141"/>
    </row>
    <row r="156" spans="1:25">
      <c r="A156" s="118"/>
      <c r="B156" s="118"/>
      <c r="C156" s="108" t="s">
        <v>34</v>
      </c>
      <c r="D156" s="108" t="s">
        <v>34</v>
      </c>
      <c r="E156" s="108">
        <v>409010401</v>
      </c>
      <c r="F156" s="109" t="s">
        <v>83</v>
      </c>
      <c r="G156" s="108" t="s">
        <v>6</v>
      </c>
      <c r="H156" s="110">
        <f>IFERROR(IF(VLOOKUP(K156,데이터입력!$C$3:$L$40,5,FALSE)&lt;1000,ROUNDUP(VLOOKUP(K156,데이터입력!$C$3:$L$40,5,FALSE)*1/1000,0),ROUND(VLOOKUP(K156,데이터입력!$C$3:$L$40,5,FALSE)*1/1000,0)),0)</f>
        <v>0</v>
      </c>
      <c r="I156" s="110">
        <f>IFERROR(IF(F156="06",IF(V156&lt;1000,ROUNDUP((V156)*1/1000,0),ROUND((V156)*1/1000,0)),IF(F156="07",IF(W156&lt;1000,ROUNDUP((W156)*1/1000,0),ROUND((W156)*1/1000,0)),IF(F156="05",IF(X156&lt;1000,ROUNDUP((X156)*1/1000,0),ROUND((X156)*1/1000,0))))),0)</f>
        <v>0</v>
      </c>
      <c r="J156" s="111">
        <f>I156-H156</f>
        <v>0</v>
      </c>
      <c r="K156" s="111" t="str">
        <f>D156&amp;"("&amp;G156&amp;")"</f>
        <v>이월사업비(수익사업)</v>
      </c>
      <c r="L156" s="112" t="str">
        <f>D156</f>
        <v>이월사업비</v>
      </c>
      <c r="M156" s="113"/>
      <c r="N156" s="114"/>
      <c r="O156" s="115"/>
      <c r="P156" s="114"/>
      <c r="Q156" s="115"/>
      <c r="R156" s="114"/>
      <c r="S156" s="115"/>
      <c r="T156" s="115"/>
      <c r="U156" s="115"/>
      <c r="V156" s="116">
        <f>SUM(V157:V158)</f>
        <v>0</v>
      </c>
      <c r="W156" s="116">
        <f t="shared" ref="W156:X156" si="69">SUM(W157:W158)</f>
        <v>0</v>
      </c>
      <c r="X156" s="116">
        <f t="shared" si="69"/>
        <v>0</v>
      </c>
      <c r="Y156" s="116">
        <f>SUM(V156:X156)</f>
        <v>0</v>
      </c>
    </row>
    <row r="157" spans="1:25">
      <c r="A157" s="118"/>
      <c r="B157" s="118"/>
      <c r="C157" s="118"/>
      <c r="D157" s="118"/>
      <c r="E157" s="118"/>
      <c r="F157" s="132"/>
      <c r="G157" s="118"/>
      <c r="H157" s="133"/>
      <c r="I157" s="133"/>
      <c r="J157" s="133"/>
      <c r="K157" s="259"/>
      <c r="L157" s="127" t="str">
        <f>"    - "&amp;L156</f>
        <v xml:space="preserve">    - 이월사업비</v>
      </c>
      <c r="M157" s="263"/>
      <c r="N157" s="124"/>
      <c r="O157" s="121"/>
      <c r="P157" s="125"/>
      <c r="Q157" s="121"/>
      <c r="R157" s="126"/>
      <c r="S157" s="121"/>
      <c r="T157" s="121" t="s">
        <v>408</v>
      </c>
      <c r="U157" s="121"/>
      <c r="V157" s="122">
        <f>데이터입력!T49</f>
        <v>0</v>
      </c>
      <c r="W157" s="122"/>
      <c r="X157" s="122"/>
      <c r="Y157" s="122"/>
    </row>
    <row r="158" spans="1:25" hidden="1">
      <c r="A158" s="134"/>
      <c r="B158" s="134"/>
      <c r="C158" s="134"/>
      <c r="D158" s="134"/>
      <c r="E158" s="134"/>
      <c r="F158" s="135"/>
      <c r="G158" s="134"/>
      <c r="H158" s="136"/>
      <c r="I158" s="136"/>
      <c r="J158" s="136"/>
      <c r="K158" s="260"/>
      <c r="L158" s="130" t="s">
        <v>409</v>
      </c>
      <c r="M158" s="137"/>
      <c r="N158" s="138">
        <v>0</v>
      </c>
      <c r="O158" s="131" t="s">
        <v>407</v>
      </c>
      <c r="P158" s="139">
        <v>0</v>
      </c>
      <c r="Q158" s="131" t="s">
        <v>407</v>
      </c>
      <c r="R158" s="140">
        <f>데이터입력!$Y$8</f>
        <v>12</v>
      </c>
      <c r="S158" s="131"/>
      <c r="T158" s="131" t="s">
        <v>408</v>
      </c>
      <c r="U158" s="131"/>
      <c r="V158" s="141">
        <f>IF(P158=0,N158*R158,N158*P158*R158)</f>
        <v>0</v>
      </c>
      <c r="W158" s="141"/>
      <c r="X158" s="141"/>
      <c r="Y158" s="141"/>
    </row>
    <row r="159" spans="1:25">
      <c r="A159" s="314" t="s">
        <v>332</v>
      </c>
      <c r="B159" s="315" t="s">
        <v>332</v>
      </c>
      <c r="C159" s="317"/>
      <c r="D159" s="317"/>
      <c r="E159" s="317"/>
      <c r="F159" s="317"/>
      <c r="G159" s="317"/>
      <c r="H159" s="305">
        <f>SUM(H160,H163,H166,H169,H172,H175)</f>
        <v>9620</v>
      </c>
      <c r="I159" s="305">
        <f>SUM(I160,I163,I166,I169,I172,I175)</f>
        <v>9620</v>
      </c>
      <c r="J159" s="305">
        <f>SUM(J160,J163,J166,J169,J172,J175)</f>
        <v>0</v>
      </c>
      <c r="K159" s="305"/>
      <c r="L159" s="318"/>
      <c r="M159" s="318"/>
      <c r="N159" s="318"/>
      <c r="O159" s="318"/>
      <c r="P159" s="318"/>
      <c r="Q159" s="318"/>
      <c r="R159" s="318"/>
      <c r="S159" s="318"/>
      <c r="T159" s="318"/>
      <c r="U159" s="318"/>
      <c r="V159" s="307">
        <f>SUM(V160,V163,V166,V169,V172,V175)</f>
        <v>9620000</v>
      </c>
      <c r="W159" s="307">
        <f t="shared" ref="W159:Y159" si="70">SUM(W160,W163,W166,W169,W172,W175)</f>
        <v>0</v>
      </c>
      <c r="X159" s="307">
        <f t="shared" si="70"/>
        <v>0</v>
      </c>
      <c r="Y159" s="307">
        <f t="shared" si="70"/>
        <v>9620000</v>
      </c>
    </row>
    <row r="160" spans="1:25">
      <c r="A160" s="108"/>
      <c r="B160" s="108"/>
      <c r="C160" s="108" t="s">
        <v>35</v>
      </c>
      <c r="D160" s="108" t="s">
        <v>35</v>
      </c>
      <c r="E160" s="108">
        <v>410010101</v>
      </c>
      <c r="F160" s="109" t="s">
        <v>83</v>
      </c>
      <c r="G160" s="108" t="s">
        <v>6</v>
      </c>
      <c r="H160" s="110">
        <f>IFERROR(IF(VLOOKUP(K160,데이터입력!$C$3:$L$40,5,FALSE)&lt;1000,ROUNDUP(VLOOKUP(K160,데이터입력!$C$3:$L$40,5,FALSE)*1/1000,0),ROUND(VLOOKUP(K160,데이터입력!$C$3:$L$40,5,FALSE)*1/1000,0)),0)</f>
        <v>0</v>
      </c>
      <c r="I160" s="110">
        <f>IFERROR(IF(F160="06",IF(V160&lt;1000,ROUNDUP((V160)*1/1000,0),ROUND((V160)*1/1000,0)),IF(F160="07",IF(W160&lt;1000,ROUNDUP((W160)*1/1000,0),ROUND((W160)*1/1000,0)),IF(F160="05",IF(X160&lt;1000,ROUNDUP((X160)*1/1000,0),ROUND((X160)*1/1000,0))))),0)</f>
        <v>0</v>
      </c>
      <c r="J160" s="111">
        <f>I160-H160</f>
        <v>0</v>
      </c>
      <c r="K160" s="111" t="str">
        <f>D160&amp;"("&amp;G160&amp;")"</f>
        <v>불용품매각대(수익사업)</v>
      </c>
      <c r="L160" s="112" t="str">
        <f>D160</f>
        <v>불용품매각대</v>
      </c>
      <c r="M160" s="113"/>
      <c r="N160" s="114"/>
      <c r="O160" s="115"/>
      <c r="P160" s="114"/>
      <c r="Q160" s="115"/>
      <c r="R160" s="114"/>
      <c r="S160" s="115"/>
      <c r="T160" s="115"/>
      <c r="U160" s="115"/>
      <c r="V160" s="116">
        <f>SUM(V161:V162)</f>
        <v>0</v>
      </c>
      <c r="W160" s="116">
        <f t="shared" ref="W160:X160" si="71">SUM(W161:W162)</f>
        <v>0</v>
      </c>
      <c r="X160" s="116">
        <f t="shared" si="71"/>
        <v>0</v>
      </c>
      <c r="Y160" s="116">
        <f>SUM(V160:X160)</f>
        <v>0</v>
      </c>
    </row>
    <row r="161" spans="1:26">
      <c r="A161" s="118"/>
      <c r="B161" s="118"/>
      <c r="C161" s="118"/>
      <c r="D161" s="118"/>
      <c r="E161" s="118"/>
      <c r="F161" s="132"/>
      <c r="G161" s="118"/>
      <c r="H161" s="133"/>
      <c r="I161" s="133"/>
      <c r="J161" s="133"/>
      <c r="K161" s="259"/>
      <c r="L161" s="127" t="str">
        <f>"    - "&amp;L160</f>
        <v xml:space="preserve">    - 불용품매각대</v>
      </c>
      <c r="M161" s="263"/>
      <c r="N161" s="124"/>
      <c r="O161" s="121"/>
      <c r="P161" s="125"/>
      <c r="Q161" s="121"/>
      <c r="R161" s="126"/>
      <c r="S161" s="121"/>
      <c r="T161" s="121" t="s">
        <v>408</v>
      </c>
      <c r="U161" s="121"/>
      <c r="V161" s="122">
        <f>데이터입력!T50</f>
        <v>0</v>
      </c>
      <c r="W161" s="122"/>
      <c r="X161" s="122"/>
      <c r="Y161" s="122"/>
    </row>
    <row r="162" spans="1:26" hidden="1">
      <c r="A162" s="118"/>
      <c r="B162" s="118"/>
      <c r="C162" s="134"/>
      <c r="D162" s="134"/>
      <c r="E162" s="134"/>
      <c r="F162" s="135"/>
      <c r="G162" s="134"/>
      <c r="H162" s="136"/>
      <c r="I162" s="136"/>
      <c r="J162" s="136"/>
      <c r="K162" s="260"/>
      <c r="L162" s="130" t="s">
        <v>409</v>
      </c>
      <c r="M162" s="137"/>
      <c r="N162" s="138">
        <v>0</v>
      </c>
      <c r="O162" s="131" t="s">
        <v>407</v>
      </c>
      <c r="P162" s="139">
        <v>0</v>
      </c>
      <c r="Q162" s="131" t="s">
        <v>407</v>
      </c>
      <c r="R162" s="140">
        <f>데이터입력!$Y$8</f>
        <v>12</v>
      </c>
      <c r="S162" s="131"/>
      <c r="T162" s="131" t="s">
        <v>408</v>
      </c>
      <c r="U162" s="131"/>
      <c r="V162" s="141">
        <f>IF(P162=0,N162*R162,N162*P162*R162)</f>
        <v>0</v>
      </c>
      <c r="W162" s="141"/>
      <c r="X162" s="141"/>
      <c r="Y162" s="141"/>
    </row>
    <row r="163" spans="1:26">
      <c r="A163" s="118"/>
      <c r="B163" s="118"/>
      <c r="C163" s="108" t="s">
        <v>36</v>
      </c>
      <c r="D163" s="108" t="s">
        <v>36</v>
      </c>
      <c r="E163" s="108">
        <v>410010201</v>
      </c>
      <c r="F163" s="109" t="s">
        <v>83</v>
      </c>
      <c r="G163" s="108" t="s">
        <v>6</v>
      </c>
      <c r="H163" s="110">
        <f>IFERROR(IF(VLOOKUP(K163,데이터입력!$C$3:$L$40,5,FALSE)&lt;1000,ROUNDUP(VLOOKUP(K163,데이터입력!$C$3:$L$40,5,FALSE)*1/1000,0),ROUND(VLOOKUP(K163,데이터입력!$C$3:$L$40,5,FALSE)*1/1000,0)),0)</f>
        <v>20</v>
      </c>
      <c r="I163" s="110">
        <f>IFERROR(IF(F163="06",IF(V163&lt;1000,ROUNDUP((V163)*1/1000,0),ROUND((V163)*1/1000,0)),IF(F163="07",IF(W163&lt;1000,ROUNDUP((W163)*1/1000,0),ROUND((W163)*1/1000,0)),IF(F163="05",IF(X163&lt;1000,ROUNDUP((X163)*1/1000,0),ROUND((X163)*1/1000,0))))),0)</f>
        <v>20</v>
      </c>
      <c r="J163" s="111">
        <f>I163-H163</f>
        <v>0</v>
      </c>
      <c r="K163" s="111" t="str">
        <f>D163&amp;"("&amp;G163&amp;")"</f>
        <v>기타예금이자수입(수익사업)</v>
      </c>
      <c r="L163" s="275" t="str">
        <f>D163</f>
        <v>기타예금이자수입</v>
      </c>
      <c r="M163" s="113"/>
      <c r="N163" s="114"/>
      <c r="O163" s="115"/>
      <c r="P163" s="114"/>
      <c r="Q163" s="115"/>
      <c r="R163" s="114"/>
      <c r="S163" s="115"/>
      <c r="T163" s="115"/>
      <c r="U163" s="115"/>
      <c r="V163" s="116">
        <f>SUM(V164:V165)</f>
        <v>20000</v>
      </c>
      <c r="W163" s="116">
        <f t="shared" ref="W163:X163" si="72">SUM(W164:W165)</f>
        <v>0</v>
      </c>
      <c r="X163" s="116">
        <f t="shared" si="72"/>
        <v>0</v>
      </c>
      <c r="Y163" s="116">
        <f>SUM(V163:X163)</f>
        <v>20000</v>
      </c>
    </row>
    <row r="164" spans="1:26">
      <c r="A164" s="118"/>
      <c r="B164" s="118"/>
      <c r="C164" s="118"/>
      <c r="D164" s="118"/>
      <c r="E164" s="118"/>
      <c r="F164" s="132"/>
      <c r="G164" s="118"/>
      <c r="H164" s="133"/>
      <c r="I164" s="133"/>
      <c r="J164" s="133"/>
      <c r="K164" s="259"/>
      <c r="L164" s="127" t="s">
        <v>423</v>
      </c>
      <c r="M164" s="263"/>
      <c r="N164" s="124">
        <f>IF(P164="",ROUNDUP(데이터입력!T51/R164,-3),ROUNDUP(데이터입력!T51/P164/R164,-3))</f>
        <v>10000</v>
      </c>
      <c r="O164" s="121" t="str">
        <f>IF(P164="","","x ")</f>
        <v/>
      </c>
      <c r="P164" s="125"/>
      <c r="Q164" s="121" t="s">
        <v>407</v>
      </c>
      <c r="R164" s="126">
        <f>데이터입력!$U$51</f>
        <v>2</v>
      </c>
      <c r="S164" s="121"/>
      <c r="T164" s="121" t="s">
        <v>408</v>
      </c>
      <c r="U164" s="121"/>
      <c r="V164" s="122">
        <f>IF(P164=0,N164*R164,N164*P164*R164)</f>
        <v>20000</v>
      </c>
      <c r="W164" s="122"/>
      <c r="X164" s="122"/>
      <c r="Y164" s="122"/>
    </row>
    <row r="165" spans="1:26" hidden="1">
      <c r="A165" s="118"/>
      <c r="B165" s="118"/>
      <c r="C165" s="134"/>
      <c r="D165" s="134"/>
      <c r="E165" s="134"/>
      <c r="F165" s="135"/>
      <c r="G165" s="134"/>
      <c r="H165" s="136"/>
      <c r="I165" s="136"/>
      <c r="J165" s="136"/>
      <c r="K165" s="260"/>
      <c r="L165" s="130" t="s">
        <v>409</v>
      </c>
      <c r="M165" s="137"/>
      <c r="N165" s="138">
        <v>0</v>
      </c>
      <c r="O165" s="131" t="s">
        <v>407</v>
      </c>
      <c r="P165" s="139">
        <v>0</v>
      </c>
      <c r="Q165" s="131" t="s">
        <v>407</v>
      </c>
      <c r="R165" s="140">
        <f>데이터입력!$Y$8</f>
        <v>12</v>
      </c>
      <c r="S165" s="131"/>
      <c r="T165" s="131" t="s">
        <v>408</v>
      </c>
      <c r="U165" s="131"/>
      <c r="V165" s="141">
        <f>IF(P165=0,N165*R165,N165*P165*R165)</f>
        <v>0</v>
      </c>
      <c r="W165" s="141"/>
      <c r="X165" s="141"/>
      <c r="Y165" s="141"/>
    </row>
    <row r="166" spans="1:26">
      <c r="A166" s="118"/>
      <c r="B166" s="118"/>
      <c r="C166" s="1669" t="s">
        <v>36</v>
      </c>
      <c r="D166" s="1669" t="s">
        <v>511</v>
      </c>
      <c r="E166" s="108">
        <v>410010201</v>
      </c>
      <c r="F166" s="109" t="s">
        <v>422</v>
      </c>
      <c r="G166" s="108" t="s">
        <v>384</v>
      </c>
      <c r="H166" s="110">
        <f>IFERROR(IF(VLOOKUP(K166,데이터입력!$C$3:$L$40,5,FALSE)&lt;1000,ROUNDUP(VLOOKUP(K166,데이터입력!$C$3:$L$40,5,FALSE)*1/1000,0),ROUND(VLOOKUP(K166,데이터입력!$C$3:$L$40,5,FALSE)*1/1000,0)),0)</f>
        <v>0</v>
      </c>
      <c r="I166" s="110">
        <f>IFERROR(IF(F166="06",IF(V166&lt;1000,ROUNDUP((V166)*1/1000,0),ROUND((V166)*1/1000,0)),IF(F166="07",IF(W166&lt;1000,ROUNDUP((W166)*1/1000,0),ROUND((W166)*1/1000,0)),IF(F166="05",IF(X166&lt;1000,ROUNDUP((X166)*1/1000,0),ROUND((X166)*1/1000,0))))),0)</f>
        <v>0</v>
      </c>
      <c r="J166" s="111">
        <f>I166-H166</f>
        <v>0</v>
      </c>
      <c r="K166" s="111" t="str">
        <f>D166&amp;"("&amp;G166&amp;")"</f>
        <v>기타예금이자수입(보조금)</v>
      </c>
      <c r="L166" s="275" t="str">
        <f>D166</f>
        <v>기타예금이자수입</v>
      </c>
      <c r="M166" s="113"/>
      <c r="N166" s="114"/>
      <c r="O166" s="115"/>
      <c r="P166" s="114"/>
      <c r="Q166" s="115"/>
      <c r="R166" s="114"/>
      <c r="S166" s="115"/>
      <c r="T166" s="115"/>
      <c r="U166" s="115"/>
      <c r="V166" s="116"/>
      <c r="W166" s="116">
        <f t="shared" ref="W166:X166" si="73">SUM(W167:W168)</f>
        <v>0</v>
      </c>
      <c r="X166" s="116">
        <f t="shared" si="73"/>
        <v>0</v>
      </c>
      <c r="Y166" s="116">
        <f>SUM(V166:X166)</f>
        <v>0</v>
      </c>
    </row>
    <row r="167" spans="1:26">
      <c r="A167" s="118"/>
      <c r="B167" s="118"/>
      <c r="C167" s="1670"/>
      <c r="D167" s="1670"/>
      <c r="E167" s="118"/>
      <c r="F167" s="132"/>
      <c r="G167" s="118"/>
      <c r="H167" s="133"/>
      <c r="I167" s="133"/>
      <c r="J167" s="133"/>
      <c r="K167" s="259"/>
      <c r="L167" s="127" t="s">
        <v>424</v>
      </c>
      <c r="M167" s="263"/>
      <c r="N167" s="124">
        <f>IF(P167="",ROUNDUP(데이터입력!T59/R167,-3),ROUNDUP(데이터입력!T59/P167/R167,-3))</f>
        <v>0</v>
      </c>
      <c r="O167" s="121" t="str">
        <f>IF(P167="","","x ")</f>
        <v/>
      </c>
      <c r="P167" s="125"/>
      <c r="Q167" s="121" t="s">
        <v>407</v>
      </c>
      <c r="R167" s="126">
        <f>데이터입력!$U$59</f>
        <v>2</v>
      </c>
      <c r="S167" s="121"/>
      <c r="T167" s="121" t="s">
        <v>408</v>
      </c>
      <c r="U167" s="121"/>
      <c r="V167" s="122"/>
      <c r="W167" s="122">
        <f>IF(P167=0,N167*R167,N167*P167*R167)</f>
        <v>0</v>
      </c>
      <c r="X167" s="122"/>
      <c r="Y167" s="122"/>
    </row>
    <row r="168" spans="1:26" hidden="1">
      <c r="A168" s="118"/>
      <c r="B168" s="118"/>
      <c r="C168" s="1671"/>
      <c r="D168" s="1671"/>
      <c r="E168" s="134"/>
      <c r="F168" s="135"/>
      <c r="G168" s="134"/>
      <c r="H168" s="136"/>
      <c r="I168" s="136"/>
      <c r="J168" s="136"/>
      <c r="K168" s="260"/>
      <c r="L168" s="130" t="s">
        <v>409</v>
      </c>
      <c r="M168" s="137"/>
      <c r="N168" s="138">
        <v>0</v>
      </c>
      <c r="O168" s="131" t="s">
        <v>407</v>
      </c>
      <c r="P168" s="139">
        <v>0</v>
      </c>
      <c r="Q168" s="131" t="s">
        <v>407</v>
      </c>
      <c r="R168" s="140">
        <f>데이터입력!$Y$8</f>
        <v>12</v>
      </c>
      <c r="S168" s="131"/>
      <c r="T168" s="131" t="s">
        <v>408</v>
      </c>
      <c r="U168" s="131"/>
      <c r="V168" s="141"/>
      <c r="W168" s="141">
        <f>IF(P168=0,N168*R168,N168*P168*R168)</f>
        <v>0</v>
      </c>
      <c r="X168" s="141"/>
      <c r="Y168" s="141"/>
    </row>
    <row r="169" spans="1:26">
      <c r="A169" s="118"/>
      <c r="B169" s="118"/>
      <c r="C169" s="1669" t="s">
        <v>36</v>
      </c>
      <c r="D169" s="1669" t="s">
        <v>511</v>
      </c>
      <c r="E169" s="108">
        <v>410010201</v>
      </c>
      <c r="F169" s="109" t="s">
        <v>425</v>
      </c>
      <c r="G169" s="108" t="s">
        <v>385</v>
      </c>
      <c r="H169" s="110">
        <f>IFERROR(IF(VLOOKUP(K169,데이터입력!$C$3:$L$40,5,FALSE)&lt;1000,ROUNDUP(VLOOKUP(K169,데이터입력!$C$3:$L$40,5,FALSE)*1/1000,0),ROUND(VLOOKUP(K169,데이터입력!$C$3:$L$40,5,FALSE)*1/1000,0)),0)</f>
        <v>0</v>
      </c>
      <c r="I169" s="110">
        <f>IFERROR(IF(F169="06",IF(V169&lt;1000,ROUNDUP((V169)*1/1000,0),ROUND((V169)*1/1000,0)),IF(F169="07",IF(W169&lt;1000,ROUNDUP((W169)*1/1000,0),ROUND((W169)*1/1000,0)),IF(F169="05",IF(X169&lt;1000,ROUNDUP((X169)*1/1000,0),ROUND((X169)*1/1000,0))))),0)</f>
        <v>0</v>
      </c>
      <c r="J169" s="111">
        <f>I169-H169</f>
        <v>0</v>
      </c>
      <c r="K169" s="111" t="str">
        <f>D169&amp;"("&amp;G169&amp;")"</f>
        <v>기타예금이자수입(후원금)</v>
      </c>
      <c r="L169" s="275" t="str">
        <f>D169</f>
        <v>기타예금이자수입</v>
      </c>
      <c r="M169" s="113"/>
      <c r="N169" s="114"/>
      <c r="O169" s="115"/>
      <c r="P169" s="114"/>
      <c r="Q169" s="115"/>
      <c r="R169" s="114"/>
      <c r="S169" s="115"/>
      <c r="T169" s="115"/>
      <c r="U169" s="115"/>
      <c r="V169" s="116"/>
      <c r="W169" s="116"/>
      <c r="X169" s="116">
        <f>SUM(X170:X171)</f>
        <v>0</v>
      </c>
      <c r="Y169" s="116">
        <f>SUM(V169:X169)</f>
        <v>0</v>
      </c>
    </row>
    <row r="170" spans="1:26">
      <c r="A170" s="118"/>
      <c r="B170" s="118"/>
      <c r="C170" s="1670"/>
      <c r="D170" s="1670"/>
      <c r="E170" s="118"/>
      <c r="F170" s="132"/>
      <c r="G170" s="118"/>
      <c r="H170" s="133"/>
      <c r="I170" s="133"/>
      <c r="J170" s="133"/>
      <c r="K170" s="259"/>
      <c r="L170" s="127" t="s">
        <v>426</v>
      </c>
      <c r="M170" s="263"/>
      <c r="N170" s="124">
        <f>IF(P170="",ROUNDUP(데이터입력!T65/R170,-3),ROUNDUP(데이터입력!T65/P170/R170,-3))</f>
        <v>0</v>
      </c>
      <c r="O170" s="121" t="str">
        <f>IF(P170="","","x ")</f>
        <v/>
      </c>
      <c r="P170" s="125"/>
      <c r="Q170" s="121" t="s">
        <v>407</v>
      </c>
      <c r="R170" s="126">
        <f>데이터입력!$U$65</f>
        <v>2</v>
      </c>
      <c r="S170" s="121"/>
      <c r="T170" s="121" t="s">
        <v>408</v>
      </c>
      <c r="U170" s="121"/>
      <c r="V170" s="122"/>
      <c r="X170" s="122">
        <f>IF(P170=0,N170*R170,N170*P170*R170)</f>
        <v>0</v>
      </c>
      <c r="Y170" s="122"/>
    </row>
    <row r="171" spans="1:26" hidden="1">
      <c r="A171" s="118"/>
      <c r="B171" s="118"/>
      <c r="C171" s="1671"/>
      <c r="D171" s="1671"/>
      <c r="E171" s="134"/>
      <c r="F171" s="135"/>
      <c r="G171" s="134"/>
      <c r="H171" s="136"/>
      <c r="I171" s="136"/>
      <c r="J171" s="136"/>
      <c r="K171" s="260"/>
      <c r="L171" s="130" t="s">
        <v>409</v>
      </c>
      <c r="M171" s="137"/>
      <c r="N171" s="138">
        <v>0</v>
      </c>
      <c r="O171" s="131" t="s">
        <v>407</v>
      </c>
      <c r="P171" s="139">
        <v>0</v>
      </c>
      <c r="Q171" s="131" t="s">
        <v>407</v>
      </c>
      <c r="R171" s="140">
        <f>데이터입력!$Y$8</f>
        <v>12</v>
      </c>
      <c r="S171" s="131"/>
      <c r="T171" s="131" t="s">
        <v>408</v>
      </c>
      <c r="U171" s="131"/>
      <c r="V171" s="141"/>
      <c r="W171" s="264"/>
      <c r="X171" s="141">
        <f>IF(P171=0,N171*R171,N171*P171*R171)</f>
        <v>0</v>
      </c>
      <c r="Y171" s="141"/>
    </row>
    <row r="172" spans="1:26">
      <c r="A172" s="118"/>
      <c r="B172" s="118"/>
      <c r="C172" s="108" t="s">
        <v>37</v>
      </c>
      <c r="D172" s="108" t="s">
        <v>37</v>
      </c>
      <c r="E172" s="108">
        <v>410010301</v>
      </c>
      <c r="F172" s="109" t="s">
        <v>83</v>
      </c>
      <c r="G172" s="108" t="s">
        <v>6</v>
      </c>
      <c r="H172" s="110">
        <f>IFERROR(IF(VLOOKUP(K172,데이터입력!$C$3:$L$40,5,FALSE)&lt;1000,ROUNDUP(VLOOKUP(K172,데이터입력!$C$3:$L$40,5,FALSE)*1/1000,0),ROUND(VLOOKUP(K172,데이터입력!$C$3:$L$40,5,FALSE)*1/1000,0)),0)</f>
        <v>0</v>
      </c>
      <c r="I172" s="110">
        <f>IFERROR(IF(F172="06",IF(V172&lt;1000,ROUNDUP((V172)*1/1000,0),ROUND((V172)*1/1000,0)),IF(F172="07",IF(W172&lt;1000,ROUNDUP((W172)*1/1000,0),ROUND((W172)*1/1000,0)),IF(F172="05",IF(X172&lt;1000,ROUNDUP((X172)*1/1000,0),ROUND((X172)*1/1000,0))))),0)</f>
        <v>0</v>
      </c>
      <c r="J172" s="111">
        <f>I172-H172</f>
        <v>0</v>
      </c>
      <c r="K172" s="111" t="str">
        <f>D172&amp;"("&amp;G172&amp;")"</f>
        <v>직원식재료수입(수익사업)</v>
      </c>
      <c r="L172" s="112" t="str">
        <f>D172</f>
        <v>직원식재료수입</v>
      </c>
      <c r="M172" s="113"/>
      <c r="N172" s="114"/>
      <c r="O172" s="115"/>
      <c r="P172" s="114"/>
      <c r="Q172" s="115"/>
      <c r="R172" s="114"/>
      <c r="S172" s="115"/>
      <c r="T172" s="115"/>
      <c r="U172" s="115"/>
      <c r="V172" s="116">
        <f>SUM(V173:V174)</f>
        <v>0</v>
      </c>
      <c r="W172" s="116">
        <f t="shared" ref="W172:X172" si="74">SUM(W173:W174)</f>
        <v>0</v>
      </c>
      <c r="X172" s="116">
        <f t="shared" si="74"/>
        <v>0</v>
      </c>
      <c r="Y172" s="116">
        <f>SUM(V172:X172)</f>
        <v>0</v>
      </c>
      <c r="Z172" s="98">
        <f>IFERROR(VLOOKUP(L172,데이터입력!$R$32:$T$53,3,FALSE),0)</f>
        <v>0</v>
      </c>
    </row>
    <row r="173" spans="1:26">
      <c r="A173" s="118"/>
      <c r="B173" s="118"/>
      <c r="C173" s="118"/>
      <c r="D173" s="118"/>
      <c r="E173" s="118"/>
      <c r="F173" s="132"/>
      <c r="G173" s="118"/>
      <c r="H173" s="133"/>
      <c r="I173" s="133"/>
      <c r="J173" s="133"/>
      <c r="K173" s="259"/>
      <c r="L173" s="127" t="str">
        <f>"    - "&amp;L172</f>
        <v xml:space="preserve">    - 직원식재료수입</v>
      </c>
      <c r="M173" s="263"/>
      <c r="N173" s="124">
        <f>$Z$172</f>
        <v>0</v>
      </c>
      <c r="O173" s="121" t="str">
        <f>IF(P173="","","x ")</f>
        <v xml:space="preserve">x </v>
      </c>
      <c r="P173" s="125">
        <f>IF(데이터입력!$U$52=0,"",데이터입력!$U$52)</f>
        <v>8</v>
      </c>
      <c r="Q173" s="121" t="s">
        <v>407</v>
      </c>
      <c r="R173" s="126">
        <f>데이터입력!$Y$8</f>
        <v>12</v>
      </c>
      <c r="S173" s="121"/>
      <c r="T173" s="121" t="s">
        <v>408</v>
      </c>
      <c r="U173" s="121"/>
      <c r="V173" s="122">
        <f>IF(OR(P173="",P173=0),0,N173*P173*R173)</f>
        <v>0</v>
      </c>
      <c r="W173" s="122"/>
      <c r="X173" s="122"/>
      <c r="Y173" s="122"/>
    </row>
    <row r="174" spans="1:26" hidden="1">
      <c r="A174" s="118"/>
      <c r="B174" s="118"/>
      <c r="C174" s="134"/>
      <c r="D174" s="134"/>
      <c r="E174" s="134"/>
      <c r="F174" s="135"/>
      <c r="G174" s="134"/>
      <c r="H174" s="136"/>
      <c r="I174" s="136"/>
      <c r="J174" s="136"/>
      <c r="K174" s="260"/>
      <c r="L174" s="130" t="s">
        <v>409</v>
      </c>
      <c r="M174" s="137"/>
      <c r="N174" s="138">
        <v>0</v>
      </c>
      <c r="O174" s="131" t="s">
        <v>407</v>
      </c>
      <c r="P174" s="139">
        <v>0</v>
      </c>
      <c r="Q174" s="131" t="s">
        <v>407</v>
      </c>
      <c r="R174" s="140">
        <f>데이터입력!$Y$8</f>
        <v>12</v>
      </c>
      <c r="S174" s="131"/>
      <c r="T174" s="131" t="s">
        <v>408</v>
      </c>
      <c r="U174" s="131"/>
      <c r="V174" s="141">
        <f>IF(P174=0,N174*R174,N174*P174*R174)</f>
        <v>0</v>
      </c>
      <c r="W174" s="141"/>
      <c r="X174" s="141"/>
      <c r="Y174" s="141"/>
    </row>
    <row r="175" spans="1:26">
      <c r="A175" s="118"/>
      <c r="B175" s="118"/>
      <c r="C175" s="108" t="s">
        <v>38</v>
      </c>
      <c r="D175" s="108" t="s">
        <v>38</v>
      </c>
      <c r="E175" s="108">
        <v>410010401</v>
      </c>
      <c r="F175" s="109" t="s">
        <v>83</v>
      </c>
      <c r="G175" s="108" t="s">
        <v>6</v>
      </c>
      <c r="H175" s="110">
        <f>IFERROR(IF(VLOOKUP(K175,데이터입력!$C$3:$L$40,5,FALSE)&lt;1000,ROUNDUP(VLOOKUP(K175,데이터입력!$C$3:$L$40,5,FALSE)*1/1000,0),ROUND(VLOOKUP(K175,데이터입력!$C$3:$L$40,5,FALSE)*1/1000,0)),0)</f>
        <v>9600</v>
      </c>
      <c r="I175" s="110">
        <f>IFERROR(IF(F175="06",IF(V175&lt;1000,ROUNDUP((V175)*1/1000,0),ROUND((V175)*1/1000,0)),IF(F175="07",IF(W175&lt;1000,ROUNDUP((W175)*1/1000,0),ROUND((W175)*1/1000,0)),IF(F175="05",IF(X175&lt;1000,ROUNDUP((X175)*1/1000,0),ROUND((X175)*1/1000,0))))),0)</f>
        <v>9600</v>
      </c>
      <c r="J175" s="111">
        <f>I175-H175</f>
        <v>0</v>
      </c>
      <c r="K175" s="111" t="str">
        <f>D175&amp;"("&amp;G175&amp;")"</f>
        <v>기타잡수입(수익사업)</v>
      </c>
      <c r="L175" s="112" t="str">
        <f>D175</f>
        <v>기타잡수입</v>
      </c>
      <c r="M175" s="113"/>
      <c r="N175" s="114"/>
      <c r="O175" s="115"/>
      <c r="P175" s="114"/>
      <c r="Q175" s="115"/>
      <c r="R175" s="114"/>
      <c r="S175" s="115"/>
      <c r="T175" s="115"/>
      <c r="U175" s="115"/>
      <c r="V175" s="116">
        <f>SUM(V176:V182)</f>
        <v>9600000</v>
      </c>
      <c r="W175" s="116">
        <f t="shared" ref="W175:X175" si="75">SUM(W176:W182)</f>
        <v>0</v>
      </c>
      <c r="X175" s="116">
        <f t="shared" si="75"/>
        <v>0</v>
      </c>
      <c r="Y175" s="116">
        <f>SUM(V175:X175)</f>
        <v>9600000</v>
      </c>
      <c r="Z175" s="98">
        <f>IFERROR(VLOOKUP(L175,데이터입력!$R$32:$T$53,3,FALSE),0)</f>
        <v>9600000</v>
      </c>
    </row>
    <row r="176" spans="1:26">
      <c r="A176" s="118"/>
      <c r="B176" s="118"/>
      <c r="C176" s="118"/>
      <c r="D176" s="118"/>
      <c r="E176" s="118"/>
      <c r="F176" s="132"/>
      <c r="G176" s="118"/>
      <c r="H176" s="133"/>
      <c r="I176" s="133"/>
      <c r="J176" s="133"/>
      <c r="K176" s="259"/>
      <c r="L176" s="127" t="str">
        <f>"    - "&amp;데이터입력!AD25</f>
        <v xml:space="preserve">    - 기타잡수입</v>
      </c>
      <c r="M176" s="263"/>
      <c r="N176" s="124"/>
      <c r="O176" s="121"/>
      <c r="P176" s="125"/>
      <c r="Q176" s="121"/>
      <c r="R176" s="126"/>
      <c r="S176" s="121"/>
      <c r="T176" s="121" t="s">
        <v>408</v>
      </c>
      <c r="U176" s="121"/>
      <c r="V176" s="122">
        <f>데이터입력!AE25</f>
        <v>1200000</v>
      </c>
      <c r="W176" s="122"/>
      <c r="X176" s="122"/>
      <c r="Y176" s="122"/>
    </row>
    <row r="177" spans="1:38">
      <c r="A177" s="118"/>
      <c r="B177" s="118"/>
      <c r="C177" s="118"/>
      <c r="D177" s="118"/>
      <c r="E177" s="118"/>
      <c r="F177" s="132"/>
      <c r="G177" s="118"/>
      <c r="H177" s="133"/>
      <c r="I177" s="133"/>
      <c r="J177" s="133"/>
      <c r="K177" s="259"/>
      <c r="L177" s="127" t="str">
        <f>"    - "&amp;데이터입력!AD26</f>
        <v xml:space="preserve">    - 각종근로지원금</v>
      </c>
      <c r="M177" s="263"/>
      <c r="N177" s="124">
        <f>데이터입력!AE26</f>
        <v>500000</v>
      </c>
      <c r="O177" s="121" t="str">
        <f t="shared" ref="O177:O180" si="76">IF(P177="","","x ")</f>
        <v/>
      </c>
      <c r="P177" s="125"/>
      <c r="Q177" s="121" t="s">
        <v>407</v>
      </c>
      <c r="R177" s="126">
        <f>데이터입력!AF26</f>
        <v>12</v>
      </c>
      <c r="S177" s="121"/>
      <c r="T177" s="121" t="s">
        <v>408</v>
      </c>
      <c r="U177" s="121"/>
      <c r="V177" s="122">
        <f>IF(P177=0,N177*R177,N177*P177*R177)</f>
        <v>6000000</v>
      </c>
      <c r="W177" s="122"/>
      <c r="X177" s="122"/>
      <c r="Y177" s="122"/>
    </row>
    <row r="178" spans="1:38">
      <c r="A178" s="118"/>
      <c r="B178" s="118"/>
      <c r="C178" s="118"/>
      <c r="D178" s="118"/>
      <c r="E178" s="118"/>
      <c r="F178" s="132"/>
      <c r="G178" s="118"/>
      <c r="H178" s="133"/>
      <c r="I178" s="133"/>
      <c r="J178" s="133"/>
      <c r="K178" s="259"/>
      <c r="L178" s="127" t="str">
        <f>"    - "&amp;데이터입력!AD27</f>
        <v xml:space="preserve">    - 의료비대납외</v>
      </c>
      <c r="M178" s="263"/>
      <c r="N178" s="124">
        <f>데이터입력!AE27</f>
        <v>200000</v>
      </c>
      <c r="O178" s="121" t="str">
        <f t="shared" si="76"/>
        <v/>
      </c>
      <c r="P178" s="125"/>
      <c r="Q178" s="121" t="str">
        <f>IF(R178="","","x ")</f>
        <v xml:space="preserve">x </v>
      </c>
      <c r="R178" s="126">
        <f>데이터입력!AF27</f>
        <v>12</v>
      </c>
      <c r="S178" s="121"/>
      <c r="T178" s="121" t="s">
        <v>408</v>
      </c>
      <c r="U178" s="121"/>
      <c r="V178" s="122">
        <f t="shared" ref="V178:V182" si="77">IF(P178=0,N178*R178,N178*P178*R178)</f>
        <v>2400000</v>
      </c>
      <c r="W178" s="122"/>
      <c r="X178" s="122"/>
      <c r="Y178" s="122"/>
    </row>
    <row r="179" spans="1:38">
      <c r="A179" s="118"/>
      <c r="B179" s="118"/>
      <c r="C179" s="118"/>
      <c r="D179" s="118"/>
      <c r="E179" s="118"/>
      <c r="F179" s="132"/>
      <c r="G179" s="118"/>
      <c r="H179" s="133"/>
      <c r="I179" s="133"/>
      <c r="J179" s="133"/>
      <c r="K179" s="259"/>
      <c r="L179" s="127" t="str">
        <f>"    - "&amp;데이터입력!AD28</f>
        <v xml:space="preserve">    - </v>
      </c>
      <c r="M179" s="263"/>
      <c r="N179" s="124">
        <f>데이터입력!AE28</f>
        <v>0</v>
      </c>
      <c r="O179" s="121" t="str">
        <f t="shared" si="76"/>
        <v/>
      </c>
      <c r="P179" s="125"/>
      <c r="Q179" s="121" t="str">
        <f>IF(R179="","","x ")</f>
        <v xml:space="preserve">x </v>
      </c>
      <c r="R179" s="126">
        <f>데이터입력!AF28</f>
        <v>12</v>
      </c>
      <c r="S179" s="121"/>
      <c r="T179" s="121" t="s">
        <v>408</v>
      </c>
      <c r="U179" s="121"/>
      <c r="V179" s="122">
        <f t="shared" si="77"/>
        <v>0</v>
      </c>
      <c r="W179" s="122"/>
      <c r="X179" s="122"/>
      <c r="Y179" s="122"/>
    </row>
    <row r="180" spans="1:38">
      <c r="A180" s="118"/>
      <c r="B180" s="118"/>
      <c r="C180" s="118"/>
      <c r="D180" s="118"/>
      <c r="E180" s="118"/>
      <c r="F180" s="132"/>
      <c r="G180" s="118"/>
      <c r="H180" s="133"/>
      <c r="I180" s="133"/>
      <c r="J180" s="133"/>
      <c r="K180" s="259"/>
      <c r="L180" s="127" t="str">
        <f>"    - "&amp;데이터입력!AD29</f>
        <v xml:space="preserve">    - </v>
      </c>
      <c r="M180" s="263"/>
      <c r="N180" s="124">
        <f>데이터입력!AE29</f>
        <v>0</v>
      </c>
      <c r="O180" s="121" t="str">
        <f t="shared" si="76"/>
        <v/>
      </c>
      <c r="P180" s="125"/>
      <c r="Q180" s="121" t="str">
        <f t="shared" ref="Q180:Q182" si="78">IF(R180="","","x ")</f>
        <v xml:space="preserve">x </v>
      </c>
      <c r="R180" s="126">
        <f>데이터입력!AF29</f>
        <v>12</v>
      </c>
      <c r="S180" s="121"/>
      <c r="T180" s="121" t="s">
        <v>408</v>
      </c>
      <c r="U180" s="121"/>
      <c r="V180" s="122">
        <f t="shared" si="77"/>
        <v>0</v>
      </c>
      <c r="W180" s="122"/>
      <c r="X180" s="122"/>
      <c r="Y180" s="122"/>
    </row>
    <row r="181" spans="1:38" hidden="1">
      <c r="A181" s="118"/>
      <c r="B181" s="118"/>
      <c r="C181" s="118"/>
      <c r="D181" s="118"/>
      <c r="E181" s="118"/>
      <c r="F181" s="132"/>
      <c r="G181" s="118"/>
      <c r="H181" s="133"/>
      <c r="I181" s="133"/>
      <c r="J181" s="133"/>
      <c r="K181" s="259"/>
      <c r="L181" s="127" t="str">
        <f>"    - "&amp;데이터입력!AD30</f>
        <v xml:space="preserve">    - </v>
      </c>
      <c r="M181" s="263"/>
      <c r="N181" s="124">
        <f>데이터입력!AE30</f>
        <v>0</v>
      </c>
      <c r="O181" s="121" t="str">
        <f t="shared" ref="O181:O182" si="79">IF(R181="","","x ")</f>
        <v xml:space="preserve">x </v>
      </c>
      <c r="P181" s="125"/>
      <c r="Q181" s="121" t="str">
        <f t="shared" si="78"/>
        <v xml:space="preserve">x </v>
      </c>
      <c r="R181" s="126">
        <f>데이터입력!AF30</f>
        <v>12</v>
      </c>
      <c r="S181" s="121"/>
      <c r="T181" s="121" t="s">
        <v>408</v>
      </c>
      <c r="U181" s="121"/>
      <c r="V181" s="122">
        <f t="shared" si="77"/>
        <v>0</v>
      </c>
      <c r="W181" s="122"/>
      <c r="X181" s="122"/>
      <c r="Y181" s="122"/>
    </row>
    <row r="182" spans="1:38" hidden="1">
      <c r="A182" s="134"/>
      <c r="B182" s="134"/>
      <c r="C182" s="134"/>
      <c r="D182" s="134"/>
      <c r="E182" s="134"/>
      <c r="F182" s="135"/>
      <c r="G182" s="134"/>
      <c r="H182" s="136"/>
      <c r="I182" s="136"/>
      <c r="J182" s="136"/>
      <c r="K182" s="260"/>
      <c r="L182" s="130" t="str">
        <f>"    - "&amp;데이터입력!AD31</f>
        <v xml:space="preserve">    - </v>
      </c>
      <c r="M182" s="137"/>
      <c r="N182" s="138">
        <f>데이터입력!AE31</f>
        <v>0</v>
      </c>
      <c r="O182" s="131" t="str">
        <f t="shared" si="79"/>
        <v xml:space="preserve">x </v>
      </c>
      <c r="P182" s="139"/>
      <c r="Q182" s="131" t="str">
        <f t="shared" si="78"/>
        <v xml:space="preserve">x </v>
      </c>
      <c r="R182" s="140">
        <f>데이터입력!AF31</f>
        <v>12</v>
      </c>
      <c r="S182" s="131"/>
      <c r="T182" s="131" t="s">
        <v>408</v>
      </c>
      <c r="U182" s="131"/>
      <c r="V182" s="141">
        <f t="shared" si="77"/>
        <v>0</v>
      </c>
      <c r="W182" s="141"/>
      <c r="X182" s="141"/>
      <c r="Y182" s="141"/>
    </row>
    <row r="183" spans="1:38" ht="21" customHeight="1">
      <c r="A183" s="1666" t="s">
        <v>340</v>
      </c>
      <c r="B183" s="1667"/>
      <c r="C183" s="1667"/>
      <c r="D183" s="1667"/>
      <c r="E183" s="1667"/>
      <c r="F183" s="1667"/>
      <c r="G183" s="1668"/>
      <c r="H183" s="142">
        <f>SUM(H159,H143,H130,H123,H91,H84,H47,H43,H39,H4)</f>
        <v>353968</v>
      </c>
      <c r="I183" s="142">
        <f>SUM(I159,I143,I130,I123,I91,I84,I47,I43,I39,I4)</f>
        <v>369513</v>
      </c>
      <c r="J183" s="142">
        <f>SUM(J159,J143,J130,J123,J91,J84,J47,J43,J39,J4)</f>
        <v>15545</v>
      </c>
      <c r="K183" s="261"/>
      <c r="L183" s="287"/>
      <c r="M183" s="288"/>
      <c r="N183" s="329" t="s">
        <v>427</v>
      </c>
      <c r="O183" s="330"/>
      <c r="P183" s="330"/>
      <c r="Q183" s="330"/>
      <c r="R183" s="331"/>
      <c r="S183" s="331"/>
      <c r="T183" s="331"/>
      <c r="U183" s="331"/>
      <c r="V183" s="332">
        <f>SUM(V159,V143,V130,V123,V91,V84,V47,V43,V39,V4)</f>
        <v>369514076</v>
      </c>
      <c r="W183" s="332">
        <f t="shared" ref="W183:Y183" si="80">SUM(W159,W143,W130,W123,W91,W84,W47,W43,W39,W4)</f>
        <v>0</v>
      </c>
      <c r="X183" s="332">
        <f t="shared" si="80"/>
        <v>0</v>
      </c>
      <c r="Y183" s="332">
        <f t="shared" si="80"/>
        <v>369514076</v>
      </c>
      <c r="AF183" s="143"/>
      <c r="AG183" s="144"/>
      <c r="AH183" s="144"/>
      <c r="AI183" s="144"/>
      <c r="AJ183" s="144"/>
      <c r="AK183" s="144"/>
      <c r="AL183" s="128"/>
    </row>
    <row r="184" spans="1:38" ht="23.25" customHeight="1">
      <c r="A184" s="101"/>
      <c r="B184" s="101"/>
      <c r="C184" s="101"/>
      <c r="D184" s="101"/>
      <c r="E184" s="101"/>
      <c r="F184" s="145"/>
      <c r="G184" s="101"/>
      <c r="H184" s="101"/>
      <c r="I184" s="101"/>
      <c r="J184" s="101"/>
      <c r="K184" s="101"/>
      <c r="L184" s="101"/>
      <c r="M184" s="101"/>
      <c r="N184" s="101"/>
      <c r="O184" s="102"/>
      <c r="P184" s="101"/>
      <c r="Q184" s="1665" t="str">
        <f>표지!B9</f>
        <v>한마음데이케어센터</v>
      </c>
      <c r="R184" s="1665"/>
      <c r="S184" s="1665"/>
      <c r="T184" s="1665"/>
      <c r="U184" s="1665"/>
      <c r="V184" s="1665"/>
      <c r="W184" s="1665"/>
      <c r="X184" s="1665"/>
      <c r="Y184" s="1665"/>
    </row>
  </sheetData>
  <sheetProtection algorithmName="SHA-512" hashValue="iWULZ2vGvhLh0UO0Y5OJ/gnUkXBgwpOZ8kYWX+9cF0zZhNxw0ex8fujddTG1IrFBXAH+fy9gQxcUsg9vEpfNuQ==" saltValue="zUnBYDO332Ky+VuiWBtp3A==" spinCount="100000" sheet="1" objects="1" scenarios="1"/>
  <mergeCells count="20">
    <mergeCell ref="A1:X1"/>
    <mergeCell ref="F3:G3"/>
    <mergeCell ref="L3:U3"/>
    <mergeCell ref="C134:C136"/>
    <mergeCell ref="D134:D136"/>
    <mergeCell ref="R2:Y2"/>
    <mergeCell ref="C137:C139"/>
    <mergeCell ref="D137:D139"/>
    <mergeCell ref="C140:C142"/>
    <mergeCell ref="D140:D142"/>
    <mergeCell ref="C150:C152"/>
    <mergeCell ref="D150:D152"/>
    <mergeCell ref="Q184:Y184"/>
    <mergeCell ref="A183:G183"/>
    <mergeCell ref="C153:C155"/>
    <mergeCell ref="D153:D155"/>
    <mergeCell ref="C166:C168"/>
    <mergeCell ref="D166:D168"/>
    <mergeCell ref="C169:C171"/>
    <mergeCell ref="D169:D171"/>
  </mergeCells>
  <phoneticPr fontId="10" type="noConversion"/>
  <pageMargins left="0.25" right="0.25" top="0.75" bottom="0.75" header="0.3" footer="0.3"/>
  <pageSetup paperSize="9" scale="56" fitToHeight="0" orientation="landscape" r:id="rId1"/>
  <rowBreaks count="2" manualBreakCount="2">
    <brk id="74" max="24" man="1"/>
    <brk id="146" max="24" man="1"/>
  </rowBreaks>
  <ignoredErrors>
    <ignoredError sqref="F72:F182 F5:F68" numberStoredAsText="1"/>
    <ignoredError sqref="V30:V36 X88 V16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DA50-C384-472F-911E-12F79B5B06EC}">
  <sheetPr>
    <tabColor theme="4"/>
    <pageSetUpPr fitToPage="1"/>
  </sheetPr>
  <dimension ref="A1:AB305"/>
  <sheetViews>
    <sheetView view="pageBreakPreview" zoomScaleNormal="100" zoomScaleSheetLayoutView="100" workbookViewId="0">
      <selection sqref="A1:Y1"/>
    </sheetView>
  </sheetViews>
  <sheetFormatPr defaultRowHeight="16.5"/>
  <cols>
    <col min="1" max="2" width="13.375" style="101" customWidth="1"/>
    <col min="3" max="4" width="13.625" style="101" customWidth="1"/>
    <col min="5" max="5" width="9.375" style="101" customWidth="1"/>
    <col min="6" max="6" width="3.125" style="948" customWidth="1"/>
    <col min="7" max="7" width="8.25" style="948" customWidth="1"/>
    <col min="8" max="10" width="9.625" style="948" customWidth="1"/>
    <col min="11" max="11" width="26.75" style="948" hidden="1" customWidth="1"/>
    <col min="12" max="12" width="26.75" style="948" customWidth="1"/>
    <col min="13" max="13" width="4.625" style="948" customWidth="1"/>
    <col min="14" max="14" width="11.875" style="948" customWidth="1"/>
    <col min="15" max="15" width="3.125" style="948" customWidth="1"/>
    <col min="16" max="16" width="7.625" style="948" customWidth="1"/>
    <col min="17" max="17" width="3.125" style="948" customWidth="1"/>
    <col min="18" max="18" width="5.75" style="948" customWidth="1"/>
    <col min="19" max="21" width="3.125" style="948" customWidth="1"/>
    <col min="22" max="23" width="14" style="948" customWidth="1"/>
    <col min="24" max="25" width="14" style="1041" customWidth="1"/>
    <col min="26" max="27" width="14.125" style="159" hidden="1" customWidth="1"/>
    <col min="28" max="28" width="12.875" style="159" hidden="1" customWidth="1"/>
    <col min="29" max="29" width="9" customWidth="1"/>
  </cols>
  <sheetData>
    <row r="1" spans="1:28" ht="39">
      <c r="A1" s="1659" t="str">
        <f>IF(데이터입력!$AE$2="추경","세출 명세서 ("&amp;데이터입력!Y1&amp;"년도 추경"&amp;데이터입력!$AI$2&amp;"차)","세출 명세서 ("&amp;데이터입력!Y1&amp;"년도)")</f>
        <v>세출 명세서 (2023년도 추경2차)</v>
      </c>
      <c r="B1" s="1659"/>
      <c r="C1" s="1659"/>
      <c r="D1" s="1659"/>
      <c r="E1" s="1659"/>
      <c r="F1" s="1659"/>
      <c r="G1" s="1659"/>
      <c r="H1" s="1659"/>
      <c r="I1" s="1659"/>
      <c r="J1" s="1659"/>
      <c r="K1" s="1659"/>
      <c r="L1" s="1659"/>
      <c r="M1" s="1659"/>
      <c r="N1" s="1659"/>
      <c r="O1" s="1659"/>
      <c r="P1" s="1659"/>
      <c r="Q1" s="1659"/>
      <c r="R1" s="1659"/>
      <c r="S1" s="1659"/>
      <c r="T1" s="1659"/>
      <c r="U1" s="1659"/>
      <c r="V1" s="1659"/>
      <c r="W1" s="1659"/>
      <c r="X1" s="1659"/>
      <c r="Y1" s="1659"/>
      <c r="Z1" s="101" t="s">
        <v>383</v>
      </c>
      <c r="AA1" s="101" t="s">
        <v>645</v>
      </c>
      <c r="AB1" s="101" t="s">
        <v>385</v>
      </c>
    </row>
    <row r="2" spans="1:28">
      <c r="A2" s="148" t="s">
        <v>429</v>
      </c>
      <c r="B2" s="100"/>
      <c r="C2" s="100"/>
      <c r="D2" s="100"/>
      <c r="E2" s="100"/>
      <c r="F2" s="947"/>
      <c r="G2" s="947"/>
      <c r="O2" s="949"/>
      <c r="Q2" s="949"/>
      <c r="R2" s="1677" t="s">
        <v>378</v>
      </c>
      <c r="S2" s="1677"/>
      <c r="T2" s="1677"/>
      <c r="U2" s="1677"/>
      <c r="V2" s="1677"/>
      <c r="W2" s="1677"/>
      <c r="X2" s="1677"/>
      <c r="Y2" s="1677"/>
      <c r="Z2" s="101"/>
      <c r="AA2" s="101"/>
      <c r="AB2" s="101"/>
    </row>
    <row r="3" spans="1:28">
      <c r="A3" s="103" t="s">
        <v>379</v>
      </c>
      <c r="B3" s="103" t="s">
        <v>380</v>
      </c>
      <c r="C3" s="103" t="s">
        <v>381</v>
      </c>
      <c r="D3" s="103" t="s">
        <v>1</v>
      </c>
      <c r="E3" s="103" t="s">
        <v>2</v>
      </c>
      <c r="F3" s="1674" t="s">
        <v>134</v>
      </c>
      <c r="G3" s="1682"/>
      <c r="H3" s="104" t="str">
        <f>IF(데이터입력!$AE$2="추경","본예산액","전년도예산")</f>
        <v>본예산액</v>
      </c>
      <c r="I3" s="104" t="str">
        <f>IF(데이터입력!$AE$2="추경","추경예산액","예산액")</f>
        <v>추경예산액</v>
      </c>
      <c r="J3" s="104" t="s">
        <v>296</v>
      </c>
      <c r="K3" s="255"/>
      <c r="L3" s="1674" t="s">
        <v>382</v>
      </c>
      <c r="M3" s="1675"/>
      <c r="N3" s="1675"/>
      <c r="O3" s="1675"/>
      <c r="P3" s="1675"/>
      <c r="Q3" s="1675"/>
      <c r="R3" s="1675"/>
      <c r="S3" s="1675"/>
      <c r="T3" s="1675"/>
      <c r="U3" s="1675"/>
      <c r="V3" s="105" t="s">
        <v>383</v>
      </c>
      <c r="W3" s="105" t="s">
        <v>384</v>
      </c>
      <c r="X3" s="105" t="s">
        <v>385</v>
      </c>
      <c r="Y3" s="105" t="s">
        <v>653</v>
      </c>
      <c r="Z3" s="101"/>
      <c r="AA3" s="101"/>
      <c r="AB3" s="101"/>
    </row>
    <row r="4" spans="1:28">
      <c r="A4" s="321" t="s">
        <v>301</v>
      </c>
      <c r="B4" s="351"/>
      <c r="C4" s="317"/>
      <c r="D4" s="317"/>
      <c r="E4" s="317"/>
      <c r="F4" s="950"/>
      <c r="G4" s="950"/>
      <c r="H4" s="305">
        <f>SUM(H5,H71,H101)</f>
        <v>257910</v>
      </c>
      <c r="I4" s="305">
        <f>SUM(I5,I71,I101)</f>
        <v>282390</v>
      </c>
      <c r="J4" s="305">
        <f>SUM(J5,J71,J101)</f>
        <v>24480</v>
      </c>
      <c r="K4" s="305"/>
      <c r="L4" s="318"/>
      <c r="M4" s="318"/>
      <c r="N4" s="318"/>
      <c r="O4" s="318"/>
      <c r="P4" s="318"/>
      <c r="Q4" s="318"/>
      <c r="R4" s="318"/>
      <c r="S4" s="318"/>
      <c r="T4" s="318"/>
      <c r="U4" s="318"/>
      <c r="V4" s="307">
        <f>SUM(V5,V71,V101)</f>
        <v>282391082</v>
      </c>
      <c r="W4" s="307">
        <f>SUM(W5,W71,W101)</f>
        <v>0</v>
      </c>
      <c r="X4" s="307">
        <f>SUM(X5,X71,X101)</f>
        <v>0</v>
      </c>
      <c r="Y4" s="307">
        <f>SUM(V4:X4)</f>
        <v>282391082</v>
      </c>
      <c r="Z4" s="156"/>
      <c r="AA4" s="156"/>
      <c r="AB4" s="101"/>
    </row>
    <row r="5" spans="1:28" s="309" customFormat="1">
      <c r="A5" s="325"/>
      <c r="B5" s="322" t="s">
        <v>39</v>
      </c>
      <c r="C5" s="326"/>
      <c r="D5" s="326"/>
      <c r="E5" s="326"/>
      <c r="F5" s="951"/>
      <c r="G5" s="952"/>
      <c r="H5" s="953">
        <f>SUM(H6,H8)+데이터입력!$AC$102</f>
        <v>207214</v>
      </c>
      <c r="I5" s="953">
        <f>SUM(I6,I8)+데이터입력!$AE$102</f>
        <v>219458</v>
      </c>
      <c r="J5" s="953">
        <f>I5-H5</f>
        <v>12244</v>
      </c>
      <c r="K5" s="953"/>
      <c r="L5" s="327" t="s">
        <v>430</v>
      </c>
      <c r="M5" s="327"/>
      <c r="N5" s="954"/>
      <c r="O5" s="955"/>
      <c r="P5" s="954"/>
      <c r="Q5" s="955"/>
      <c r="R5" s="954"/>
      <c r="S5" s="955"/>
      <c r="T5" s="955"/>
      <c r="U5" s="955"/>
      <c r="V5" s="956">
        <f>SUM(V6,V8)</f>
        <v>219459082</v>
      </c>
      <c r="W5" s="956">
        <f>SUM(W6,W8)</f>
        <v>0</v>
      </c>
      <c r="X5" s="956">
        <f>SUM(X6,X8)</f>
        <v>0</v>
      </c>
      <c r="Y5" s="956">
        <f>SUM(Y6,Y8)</f>
        <v>219459082</v>
      </c>
      <c r="Z5" s="156"/>
      <c r="AA5" s="156"/>
      <c r="AB5" s="156"/>
    </row>
    <row r="6" spans="1:28">
      <c r="A6" s="118"/>
      <c r="B6" s="150"/>
      <c r="C6" s="298"/>
      <c r="D6" s="298"/>
      <c r="E6" s="298"/>
      <c r="F6" s="957"/>
      <c r="G6" s="958"/>
      <c r="H6" s="959">
        <f>SUM(H11,H14,H15,H22,H25,H26,H33,H36,H37,H44,H47,H48,H55,H61,H62)</f>
        <v>140608</v>
      </c>
      <c r="I6" s="959">
        <f>SUM(I11,I14,I15,I22,I25,I26,I33,I36,I37,I44,I47,I48,I55,I61,I62)</f>
        <v>150790</v>
      </c>
      <c r="J6" s="959">
        <f>I6-H6</f>
        <v>10182</v>
      </c>
      <c r="K6" s="959"/>
      <c r="L6" s="960" t="s">
        <v>431</v>
      </c>
      <c r="M6" s="960"/>
      <c r="N6" s="961"/>
      <c r="O6" s="962"/>
      <c r="P6" s="963"/>
      <c r="Q6" s="962"/>
      <c r="R6" s="964"/>
      <c r="S6" s="962"/>
      <c r="T6" s="962"/>
      <c r="U6" s="962"/>
      <c r="V6" s="965">
        <f>SUM(V11,V22,V33,V44,V55)</f>
        <v>150790382</v>
      </c>
      <c r="W6" s="965">
        <f>SUM(W11,W22,W33,W44,W55)</f>
        <v>0</v>
      </c>
      <c r="X6" s="965">
        <f>SUM(X11,X22,X33,X44,X55)</f>
        <v>0</v>
      </c>
      <c r="Y6" s="965">
        <f>SUM(Y11,Y22,Y33,Y44,Y55)</f>
        <v>150790382</v>
      </c>
      <c r="Z6" s="101"/>
      <c r="AA6" s="101"/>
      <c r="AB6" s="101"/>
    </row>
    <row r="7" spans="1:28">
      <c r="A7" s="118"/>
      <c r="B7" s="150"/>
      <c r="C7" s="298"/>
      <c r="D7" s="298"/>
      <c r="E7" s="298"/>
      <c r="F7" s="957"/>
      <c r="G7" s="958"/>
      <c r="H7" s="966"/>
      <c r="I7" s="966"/>
      <c r="J7" s="966"/>
      <c r="K7" s="966"/>
      <c r="L7" s="263" t="str">
        <f>IF(데이터입력!$Y$27=1,"     ( "&amp;보수일람표!$E$61&amp;" )",IF(데이터입력!$Y$27&lt;=0,"","     ( "&amp;보수일람표!$E$61&amp;" 외 "&amp;데이터입력!$Y$27-1&amp;" 명 )"))</f>
        <v xml:space="preserve">     ( 사회복지사 외 4 명 )</v>
      </c>
      <c r="M7" s="960"/>
      <c r="O7" s="949"/>
      <c r="Q7" s="949"/>
      <c r="S7" s="949"/>
      <c r="T7" s="949"/>
      <c r="U7" s="949"/>
      <c r="V7" s="967"/>
      <c r="W7" s="967"/>
      <c r="X7" s="967"/>
      <c r="Y7" s="967"/>
      <c r="Z7" s="101"/>
      <c r="AA7" s="101"/>
      <c r="AB7" s="101"/>
    </row>
    <row r="8" spans="1:28">
      <c r="A8" s="118"/>
      <c r="B8" s="150"/>
      <c r="C8" s="298"/>
      <c r="D8" s="298"/>
      <c r="E8" s="298"/>
      <c r="F8" s="957"/>
      <c r="G8" s="958"/>
      <c r="H8" s="959">
        <f>SUM(H16,H19,H20,H27,H30,H31,H38,H41,H42,H49,H52,H53,H63,H69,H70)</f>
        <v>66607</v>
      </c>
      <c r="I8" s="959">
        <f>SUM(I16,I19,I20,I27,I30,I31,I38,I41,I42,I49,I52,I53,I63,I69,I70)</f>
        <v>68668</v>
      </c>
      <c r="J8" s="959">
        <f>I8-H8</f>
        <v>2061</v>
      </c>
      <c r="K8" s="959"/>
      <c r="L8" s="960" t="s">
        <v>432</v>
      </c>
      <c r="M8" s="960"/>
      <c r="N8" s="961"/>
      <c r="O8" s="962"/>
      <c r="P8" s="963"/>
      <c r="Q8" s="962"/>
      <c r="R8" s="964"/>
      <c r="S8" s="962"/>
      <c r="T8" s="962"/>
      <c r="U8" s="962"/>
      <c r="V8" s="965">
        <f>SUM(V16,V27,V38,V49,V63)</f>
        <v>68668700</v>
      </c>
      <c r="W8" s="965">
        <f>SUM(W16,W27,W38,W49,W63)</f>
        <v>0</v>
      </c>
      <c r="X8" s="965">
        <f>SUM(X16,X27,X38,X49,X63)</f>
        <v>0</v>
      </c>
      <c r="Y8" s="965">
        <f>SUM(Y16,Y27,Y38,Y49,Y63)</f>
        <v>68668700</v>
      </c>
      <c r="Z8" s="101"/>
      <c r="AA8" s="101"/>
      <c r="AB8" s="101"/>
    </row>
    <row r="9" spans="1:28">
      <c r="A9" s="118"/>
      <c r="B9" s="152"/>
      <c r="C9" s="153"/>
      <c r="D9" s="153"/>
      <c r="E9" s="153"/>
      <c r="F9" s="968"/>
      <c r="G9" s="969"/>
      <c r="H9" s="970"/>
      <c r="I9" s="970"/>
      <c r="J9" s="970"/>
      <c r="K9" s="970"/>
      <c r="L9" s="137" t="str">
        <f>IF(데이터입력!$Y$28=1,"     ( "&amp;보수일람표!$E$11&amp;" )",IF(데이터입력!$Y$28&lt;=0,"","     ( "&amp;보수일람표!$E$11&amp;" 외 "&amp;데이터입력!$Y$28-1&amp;" 명 )"))</f>
        <v xml:space="preserve">     ( 시설장(관리책임자) 외 2 명 )</v>
      </c>
      <c r="M9" s="971"/>
      <c r="N9" s="972"/>
      <c r="O9" s="973"/>
      <c r="P9" s="972"/>
      <c r="Q9" s="973"/>
      <c r="R9" s="972"/>
      <c r="S9" s="973"/>
      <c r="T9" s="973"/>
      <c r="U9" s="973"/>
      <c r="V9" s="974"/>
      <c r="W9" s="974"/>
      <c r="X9" s="974"/>
      <c r="Y9" s="974"/>
      <c r="Z9" s="101"/>
      <c r="AA9" s="101"/>
      <c r="AB9" s="101"/>
    </row>
    <row r="10" spans="1:28" s="303" customFormat="1">
      <c r="A10" s="118"/>
      <c r="B10" s="118"/>
      <c r="C10" s="106" t="s">
        <v>251</v>
      </c>
      <c r="D10" s="149"/>
      <c r="E10" s="149"/>
      <c r="F10" s="975"/>
      <c r="G10" s="976"/>
      <c r="H10" s="977">
        <f>SUM(H11:H20)</f>
        <v>174434</v>
      </c>
      <c r="I10" s="977">
        <f>SUM(I11:I20)</f>
        <v>182370</v>
      </c>
      <c r="J10" s="977">
        <f>SUM(J11:J20)</f>
        <v>7936</v>
      </c>
      <c r="K10" s="977"/>
      <c r="L10" s="293"/>
      <c r="M10" s="293"/>
      <c r="N10" s="978"/>
      <c r="O10" s="979"/>
      <c r="P10" s="978"/>
      <c r="Q10" s="979"/>
      <c r="R10" s="978"/>
      <c r="S10" s="979"/>
      <c r="T10" s="979"/>
      <c r="U10" s="979"/>
      <c r="V10" s="980">
        <f>SUM(V11,V16)</f>
        <v>182370480</v>
      </c>
      <c r="W10" s="980">
        <f>SUM(W11,W16)</f>
        <v>0</v>
      </c>
      <c r="X10" s="980">
        <f>SUM(X11,X16)</f>
        <v>0</v>
      </c>
      <c r="Y10" s="980">
        <f>SUM(V10:X10)</f>
        <v>182370480</v>
      </c>
      <c r="Z10" s="101"/>
      <c r="AA10" s="101"/>
      <c r="AB10" s="101"/>
    </row>
    <row r="11" spans="1:28">
      <c r="A11" s="118"/>
      <c r="B11" s="118"/>
      <c r="C11" s="154"/>
      <c r="D11" s="108" t="s">
        <v>40</v>
      </c>
      <c r="E11" s="108">
        <v>501010101</v>
      </c>
      <c r="F11" s="981" t="s">
        <v>83</v>
      </c>
      <c r="G11" s="982" t="s">
        <v>6</v>
      </c>
      <c r="H11" s="983">
        <f>IFERROR(IF(VLOOKUP(K11,데이터입력!$C$42:$L$137,5,FALSE)&lt;1000,ROUNDUP(VLOOKUP(K11,데이터입력!$C$42:$L$137,5,FALSE)*1/1000,0),ROUND(VLOOKUP(K11,데이터입력!$C$42:$L$137,5,FALSE)*1/1000,0)),0)</f>
        <v>118364</v>
      </c>
      <c r="I11" s="983">
        <f>IFERROR(IF(F11="06",IF(V11&lt;1000,ROUNDUP((V11)*1/1000,0),ROUND((V11)*1/1000,0)),IF(F11="07",IF(W11&lt;1000,ROUNDUP((W11)*1/1000,0),ROUND((W11)*1/1000,0)),IF(F11="05",IF(X11&lt;1000,ROUNDUP((X11)*1/1000,0),ROUND((X11)*1/1000,0))))),0)</f>
        <v>126936</v>
      </c>
      <c r="J11" s="983">
        <f>I11-H11</f>
        <v>8572</v>
      </c>
      <c r="K11" s="984" t="str">
        <f>L11&amp;"("&amp;G11&amp;")"</f>
        <v>급여(직접비)(수익사업)</v>
      </c>
      <c r="L11" s="112" t="str">
        <f>D11</f>
        <v>급여(직접비)</v>
      </c>
      <c r="M11" s="113"/>
      <c r="N11" s="985"/>
      <c r="O11" s="986"/>
      <c r="P11" s="985"/>
      <c r="Q11" s="986"/>
      <c r="R11" s="985"/>
      <c r="S11" s="986"/>
      <c r="T11" s="986"/>
      <c r="U11" s="986"/>
      <c r="V11" s="987">
        <f>SUM(V12:V15)</f>
        <v>126936000</v>
      </c>
      <c r="W11" s="987">
        <f>SUM(W12:W15)</f>
        <v>0</v>
      </c>
      <c r="X11" s="987">
        <f>SUM(X12:X15)</f>
        <v>0</v>
      </c>
      <c r="Y11" s="987">
        <f>SUM(V11:X11)</f>
        <v>126936000</v>
      </c>
      <c r="Z11" s="155">
        <f>보수일람표!I262-AA11-AB11</f>
        <v>126936000</v>
      </c>
      <c r="AA11" s="155">
        <f>데이터입력!$T$100</f>
        <v>0</v>
      </c>
      <c r="AB11" s="151">
        <f>데이터입력!T130</f>
        <v>0</v>
      </c>
    </row>
    <row r="12" spans="1:28">
      <c r="A12" s="118"/>
      <c r="B12" s="118"/>
      <c r="C12" s="118"/>
      <c r="D12" s="118"/>
      <c r="E12" s="118"/>
      <c r="F12" s="988"/>
      <c r="G12" s="989"/>
      <c r="H12" s="990"/>
      <c r="I12" s="990"/>
      <c r="J12" s="990"/>
      <c r="K12" s="991"/>
      <c r="L12" s="127" t="str">
        <f>"  - "&amp;L11</f>
        <v xml:space="preserve">  - 급여(직접비)</v>
      </c>
      <c r="M12" s="263"/>
      <c r="N12" s="961">
        <f>IF(R12="",Z11,ROUND(Z11/R12,0))</f>
        <v>10578000</v>
      </c>
      <c r="O12" s="121" t="str">
        <f>IF(P12="","","x ")</f>
        <v/>
      </c>
      <c r="P12" s="963"/>
      <c r="Q12" s="962" t="s">
        <v>407</v>
      </c>
      <c r="R12" s="964">
        <f>데이터입력!$Y$8</f>
        <v>12</v>
      </c>
      <c r="S12" s="962"/>
      <c r="T12" s="962" t="s">
        <v>408</v>
      </c>
      <c r="U12" s="962"/>
      <c r="V12" s="965">
        <f>Z11</f>
        <v>126936000</v>
      </c>
      <c r="W12" s="967"/>
      <c r="X12" s="967"/>
      <c r="Y12" s="967"/>
      <c r="Z12" s="101"/>
      <c r="AA12" s="101"/>
      <c r="AB12" s="101"/>
    </row>
    <row r="13" spans="1:28">
      <c r="A13" s="118"/>
      <c r="B13" s="118"/>
      <c r="C13" s="118"/>
      <c r="D13" s="118"/>
      <c r="E13" s="118"/>
      <c r="F13" s="988"/>
      <c r="G13" s="989"/>
      <c r="H13" s="990"/>
      <c r="I13" s="990"/>
      <c r="J13" s="990"/>
      <c r="K13" s="992"/>
      <c r="L13" s="127" t="str">
        <f>IF(데이터입력!$Y$27=1,"     ( "&amp;보수일람표!$E$61&amp;" )",IF(데이터입력!$Y$27&lt;=0,"","     ( "&amp;보수일람표!$E$61&amp;" 외 "&amp;데이터입력!$Y$27-1&amp;" 명 )"))</f>
        <v xml:space="preserve">     ( 사회복지사 외 4 명 )</v>
      </c>
      <c r="M13" s="263"/>
      <c r="N13" s="961"/>
      <c r="O13" s="962"/>
      <c r="P13" s="963"/>
      <c r="Q13" s="962"/>
      <c r="R13" s="964"/>
      <c r="S13" s="962"/>
      <c r="T13" s="962"/>
      <c r="U13" s="962"/>
      <c r="V13" s="965"/>
      <c r="W13" s="967"/>
      <c r="X13" s="967"/>
      <c r="Y13" s="967"/>
      <c r="Z13" s="101"/>
      <c r="AA13" s="101"/>
      <c r="AB13" s="101"/>
    </row>
    <row r="14" spans="1:28">
      <c r="A14" s="118"/>
      <c r="B14" s="118"/>
      <c r="C14" s="118"/>
      <c r="D14" s="118"/>
      <c r="E14" s="118"/>
      <c r="F14" s="993" t="s">
        <v>433</v>
      </c>
      <c r="G14" s="994" t="s">
        <v>434</v>
      </c>
      <c r="H14" s="995">
        <f>IFERROR(IF(VLOOKUP(K14,데이터입력!$C$42:$L$137,5,FALSE)&lt;1000,ROUNDUP(VLOOKUP(K14,데이터입력!$C$42:$L$137,5,FALSE)*1/1000,0),ROUND(VLOOKUP(K14,데이터입력!$C$42:$L$137,5,FALSE)*1/1000,0)),0)</f>
        <v>0</v>
      </c>
      <c r="I14" s="995">
        <f t="shared" ref="I14:I15" si="0">IFERROR(IF(F14="06",IF(V14&lt;1000,ROUNDUP((V14)*1/1000,0),ROUND((V14)*1/1000,0)),IF(F14="07",IF(W14&lt;1000,ROUNDUP((W14)*1/1000,0),ROUND((W14)*1/1000,0)),IF(F14="05",IF(X14&lt;1000,ROUNDUP((X14)*1/1000,0),ROUND((X14)*1/1000,0))))),0)</f>
        <v>0</v>
      </c>
      <c r="J14" s="996">
        <f>I14-H14</f>
        <v>0</v>
      </c>
      <c r="K14" s="285" t="str">
        <f>L14&amp;"("&amp;G14&amp;")"</f>
        <v>급여(직접비)(보조금)</v>
      </c>
      <c r="L14" s="294" t="str">
        <f>L11</f>
        <v>급여(직접비)</v>
      </c>
      <c r="M14" s="295"/>
      <c r="N14" s="997"/>
      <c r="O14" s="998"/>
      <c r="P14" s="999"/>
      <c r="Q14" s="998"/>
      <c r="R14" s="1000"/>
      <c r="S14" s="998"/>
      <c r="T14" s="998" t="s">
        <v>408</v>
      </c>
      <c r="U14" s="1001"/>
      <c r="V14" s="1002"/>
      <c r="W14" s="1003">
        <f>AA11</f>
        <v>0</v>
      </c>
      <c r="X14" s="1003"/>
      <c r="Y14" s="1003"/>
      <c r="Z14" s="101"/>
      <c r="AA14" s="101"/>
      <c r="AB14" s="101"/>
    </row>
    <row r="15" spans="1:28">
      <c r="A15" s="118"/>
      <c r="B15" s="118"/>
      <c r="C15" s="118"/>
      <c r="D15" s="134"/>
      <c r="E15" s="134"/>
      <c r="F15" s="1004" t="s">
        <v>85</v>
      </c>
      <c r="G15" s="1005" t="s">
        <v>19</v>
      </c>
      <c r="H15" s="1006">
        <f>IFERROR(IF(VLOOKUP(K15,데이터입력!$C$42:$L$137,5,FALSE)&lt;1000,ROUNDUP(VLOOKUP(K15,데이터입력!$C$42:$L$137,5,FALSE)*1/1000,0),ROUND(VLOOKUP(K15,데이터입력!$C$42:$L$137,5,FALSE)*1/1000,0)),0)</f>
        <v>0</v>
      </c>
      <c r="I15" s="1006">
        <f t="shared" si="0"/>
        <v>0</v>
      </c>
      <c r="J15" s="1007">
        <f>I15-H15</f>
        <v>0</v>
      </c>
      <c r="K15" s="286" t="str">
        <f t="shared" ref="K15" si="1">L15&amp;"("&amp;G15&amp;")"</f>
        <v>급여(직접비)(후원금)</v>
      </c>
      <c r="L15" s="296" t="str">
        <f>L11</f>
        <v>급여(직접비)</v>
      </c>
      <c r="M15" s="297"/>
      <c r="N15" s="1008"/>
      <c r="O15" s="1009"/>
      <c r="P15" s="1010"/>
      <c r="Q15" s="1009"/>
      <c r="R15" s="1011"/>
      <c r="S15" s="1009"/>
      <c r="T15" s="1009" t="s">
        <v>408</v>
      </c>
      <c r="U15" s="1012"/>
      <c r="V15" s="1013"/>
      <c r="W15" s="1014"/>
      <c r="X15" s="1013">
        <f>AB11</f>
        <v>0</v>
      </c>
      <c r="Y15" s="1013"/>
      <c r="Z15" s="101"/>
      <c r="AA15" s="101"/>
      <c r="AB15" s="101"/>
    </row>
    <row r="16" spans="1:28">
      <c r="A16" s="118"/>
      <c r="B16" s="118"/>
      <c r="C16" s="118"/>
      <c r="D16" s="108" t="s">
        <v>41</v>
      </c>
      <c r="E16" s="108">
        <v>501010102</v>
      </c>
      <c r="F16" s="981" t="s">
        <v>83</v>
      </c>
      <c r="G16" s="982" t="s">
        <v>6</v>
      </c>
      <c r="H16" s="983">
        <f>IFERROR(IF(VLOOKUP(K16,데이터입력!$C$42:$L$137,5,FALSE)&lt;1000,ROUNDUP(VLOOKUP(K16,데이터입력!$C$42:$L$137,5,FALSE)*1/1000,0),ROUND(VLOOKUP(K16,데이터입력!$C$42:$L$137,5,FALSE)*1/1000,0)),0)</f>
        <v>56070</v>
      </c>
      <c r="I16" s="983">
        <f>IFERROR(IF(F16="06",IF(V16&lt;1000,ROUNDUP((V16)*1/1000,0),ROUND((V16)*1/1000,0)),IF(F16="07",IF(W16&lt;1000,ROUNDUP((W16)*1/1000,0),ROUND((W16)*1/1000,0)),IF(F16="05",IF(X16&lt;1000,ROUNDUP((X16)*1/1000,0),ROUND((X16)*1/1000,0))))),0)</f>
        <v>55434</v>
      </c>
      <c r="J16" s="983">
        <f>I16-H16</f>
        <v>-636</v>
      </c>
      <c r="K16" s="984" t="str">
        <f>L16&amp;"("&amp;G16&amp;")"</f>
        <v>급여(간접비)(수익사업)</v>
      </c>
      <c r="L16" s="112" t="str">
        <f>D16</f>
        <v>급여(간접비)</v>
      </c>
      <c r="M16" s="113"/>
      <c r="N16" s="985"/>
      <c r="O16" s="986"/>
      <c r="P16" s="985"/>
      <c r="Q16" s="986"/>
      <c r="R16" s="985"/>
      <c r="S16" s="986"/>
      <c r="T16" s="986"/>
      <c r="U16" s="986"/>
      <c r="V16" s="987">
        <f>SUM(V17:V20)</f>
        <v>55434480</v>
      </c>
      <c r="W16" s="987">
        <f>SUM(W17:W20)</f>
        <v>0</v>
      </c>
      <c r="X16" s="987">
        <f>SUM(X17:X20)</f>
        <v>0</v>
      </c>
      <c r="Y16" s="987">
        <f>SUM(V16:X16)</f>
        <v>55434480</v>
      </c>
      <c r="Z16" s="155">
        <f>보수일람표!I261-AA16-AB16</f>
        <v>55434480</v>
      </c>
      <c r="AA16" s="155">
        <f>데이터입력!$T$101</f>
        <v>0</v>
      </c>
      <c r="AB16" s="151">
        <f>데이터입력!T131</f>
        <v>0</v>
      </c>
    </row>
    <row r="17" spans="1:28">
      <c r="A17" s="118"/>
      <c r="B17" s="118"/>
      <c r="C17" s="118"/>
      <c r="D17" s="118"/>
      <c r="E17" s="118"/>
      <c r="F17" s="988"/>
      <c r="G17" s="989"/>
      <c r="H17" s="990"/>
      <c r="I17" s="990"/>
      <c r="J17" s="990"/>
      <c r="K17" s="991"/>
      <c r="L17" s="127" t="str">
        <f>"  - "&amp;L16</f>
        <v xml:space="preserve">  - 급여(간접비)</v>
      </c>
      <c r="M17" s="263"/>
      <c r="N17" s="961">
        <f>IF(R17="",Z16,ROUND(Z16/R17,0))</f>
        <v>4619540</v>
      </c>
      <c r="O17" s="121" t="str">
        <f>IF(P17="","","x ")</f>
        <v/>
      </c>
      <c r="P17" s="963"/>
      <c r="Q17" s="962" t="s">
        <v>407</v>
      </c>
      <c r="R17" s="964">
        <f>데이터입력!$Y$8</f>
        <v>12</v>
      </c>
      <c r="S17" s="962"/>
      <c r="T17" s="962" t="s">
        <v>408</v>
      </c>
      <c r="U17" s="962"/>
      <c r="V17" s="965">
        <f>Z16</f>
        <v>55434480</v>
      </c>
      <c r="W17" s="967"/>
      <c r="X17" s="967"/>
      <c r="Y17" s="967"/>
      <c r="Z17" s="101"/>
      <c r="AA17" s="101"/>
      <c r="AB17" s="101"/>
    </row>
    <row r="18" spans="1:28">
      <c r="A18" s="118"/>
      <c r="B18" s="118"/>
      <c r="C18" s="118"/>
      <c r="D18" s="118"/>
      <c r="E18" s="118"/>
      <c r="F18" s="988"/>
      <c r="G18" s="989"/>
      <c r="H18" s="990"/>
      <c r="I18" s="990"/>
      <c r="J18" s="990"/>
      <c r="K18" s="992"/>
      <c r="L18" s="127" t="str">
        <f>IF(데이터입력!$Y$28=1,"     ( "&amp;보수일람표!$E$11&amp;" )",IF(데이터입력!$Y$28&lt;=0,"","     ( "&amp;보수일람표!$E$11&amp;" 외 "&amp;데이터입력!$Y$28-1&amp;" 명 )"))</f>
        <v xml:space="preserve">     ( 시설장(관리책임자) 외 2 명 )</v>
      </c>
      <c r="M18" s="263"/>
      <c r="N18" s="961"/>
      <c r="O18" s="962"/>
      <c r="P18" s="963"/>
      <c r="Q18" s="962"/>
      <c r="R18" s="964"/>
      <c r="S18" s="962"/>
      <c r="T18" s="962"/>
      <c r="U18" s="962"/>
      <c r="V18" s="965"/>
      <c r="W18" s="967"/>
      <c r="X18" s="967"/>
      <c r="Y18" s="967"/>
      <c r="Z18" s="101"/>
      <c r="AA18" s="101"/>
      <c r="AB18" s="101"/>
    </row>
    <row r="19" spans="1:28">
      <c r="A19" s="118"/>
      <c r="B19" s="118"/>
      <c r="C19" s="118"/>
      <c r="D19" s="118"/>
      <c r="E19" s="118"/>
      <c r="F19" s="993" t="s">
        <v>422</v>
      </c>
      <c r="G19" s="994" t="s">
        <v>384</v>
      </c>
      <c r="H19" s="995">
        <f>IFERROR(IF(VLOOKUP(K19,데이터입력!$C$42:$L$137,5,FALSE)&lt;1000,ROUNDUP(VLOOKUP(K19,데이터입력!$C$42:$L$137,5,FALSE)*1/1000,0),ROUND(VLOOKUP(K19,데이터입력!$C$42:$L$137,5,FALSE)*1/1000,0)),0)</f>
        <v>0</v>
      </c>
      <c r="I19" s="995">
        <f t="shared" ref="I19:I20" si="2">IFERROR(IF(F19="06",IF(V19&lt;1000,ROUNDUP((V19)*1/1000,0),ROUND((V19)*1/1000,0)),IF(F19="07",IF(W19&lt;1000,ROUNDUP((W19)*1/1000,0),ROUND((W19)*1/1000,0)),IF(F19="05",IF(X19&lt;1000,ROUNDUP((X19)*1/1000,0),ROUND((X19)*1/1000,0))))),0)</f>
        <v>0</v>
      </c>
      <c r="J19" s="996">
        <f>I19-H19</f>
        <v>0</v>
      </c>
      <c r="K19" s="285" t="str">
        <f>L19&amp;"("&amp;G19&amp;")"</f>
        <v>급여(간접비)(보조금)</v>
      </c>
      <c r="L19" s="294" t="str">
        <f>L16</f>
        <v>급여(간접비)</v>
      </c>
      <c r="M19" s="295"/>
      <c r="N19" s="997"/>
      <c r="O19" s="998"/>
      <c r="P19" s="999"/>
      <c r="Q19" s="998"/>
      <c r="R19" s="1000"/>
      <c r="S19" s="998"/>
      <c r="T19" s="998" t="s">
        <v>408</v>
      </c>
      <c r="U19" s="1001"/>
      <c r="V19" s="1002"/>
      <c r="W19" s="1003">
        <f>AA16</f>
        <v>0</v>
      </c>
      <c r="X19" s="1003"/>
      <c r="Y19" s="1003"/>
      <c r="Z19" s="101"/>
      <c r="AA19" s="101"/>
      <c r="AB19" s="101"/>
    </row>
    <row r="20" spans="1:28">
      <c r="A20" s="118"/>
      <c r="B20" s="118"/>
      <c r="C20" s="118"/>
      <c r="D20" s="134"/>
      <c r="E20" s="134"/>
      <c r="F20" s="1004" t="s">
        <v>85</v>
      </c>
      <c r="G20" s="1005" t="s">
        <v>19</v>
      </c>
      <c r="H20" s="1006">
        <f>IFERROR(IF(VLOOKUP(K20,데이터입력!$C$42:$L$137,5,FALSE)&lt;1000,ROUNDUP(VLOOKUP(K20,데이터입력!$C$42:$L$137,5,FALSE)*1/1000,0),ROUND(VLOOKUP(K20,데이터입력!$C$42:$L$137,5,FALSE)*1/1000,0)),0)</f>
        <v>0</v>
      </c>
      <c r="I20" s="1006">
        <f t="shared" si="2"/>
        <v>0</v>
      </c>
      <c r="J20" s="1007">
        <f>I20-H20</f>
        <v>0</v>
      </c>
      <c r="K20" s="286" t="str">
        <f t="shared" ref="K20" si="3">L20&amp;"("&amp;G20&amp;")"</f>
        <v>급여(간접비)(후원금)</v>
      </c>
      <c r="L20" s="296" t="str">
        <f>L16</f>
        <v>급여(간접비)</v>
      </c>
      <c r="M20" s="297"/>
      <c r="N20" s="1008"/>
      <c r="O20" s="1009"/>
      <c r="P20" s="1010"/>
      <c r="Q20" s="1009"/>
      <c r="R20" s="1011"/>
      <c r="S20" s="1009"/>
      <c r="T20" s="1009" t="s">
        <v>408</v>
      </c>
      <c r="U20" s="1012"/>
      <c r="V20" s="1013"/>
      <c r="W20" s="1014"/>
      <c r="X20" s="1013">
        <f>AB16</f>
        <v>0</v>
      </c>
      <c r="Y20" s="1013"/>
      <c r="Z20" s="101"/>
      <c r="AA20" s="101"/>
      <c r="AB20" s="101"/>
    </row>
    <row r="21" spans="1:28" s="303" customFormat="1">
      <c r="A21" s="118"/>
      <c r="B21" s="118"/>
      <c r="C21" s="106" t="s">
        <v>435</v>
      </c>
      <c r="D21" s="149"/>
      <c r="E21" s="149"/>
      <c r="F21" s="975"/>
      <c r="G21" s="976"/>
      <c r="H21" s="977">
        <f>SUM(H22:H31)</f>
        <v>0</v>
      </c>
      <c r="I21" s="977">
        <f>SUM(I22:I31)</f>
        <v>0</v>
      </c>
      <c r="J21" s="977">
        <f>SUM(J22:J31)</f>
        <v>0</v>
      </c>
      <c r="K21" s="977"/>
      <c r="L21" s="293"/>
      <c r="M21" s="293"/>
      <c r="N21" s="978"/>
      <c r="O21" s="979"/>
      <c r="P21" s="978"/>
      <c r="Q21" s="979"/>
      <c r="R21" s="978"/>
      <c r="S21" s="979"/>
      <c r="T21" s="979"/>
      <c r="U21" s="979"/>
      <c r="V21" s="980">
        <f>SUM(V22,V27)</f>
        <v>0</v>
      </c>
      <c r="W21" s="980">
        <f>SUM(W22,W27)</f>
        <v>0</v>
      </c>
      <c r="X21" s="980">
        <f>SUM(X22,X27)</f>
        <v>0</v>
      </c>
      <c r="Y21" s="980">
        <f>SUM(V21:X21)</f>
        <v>0</v>
      </c>
      <c r="Z21" s="101"/>
      <c r="AA21" s="101"/>
      <c r="AB21" s="101"/>
    </row>
    <row r="22" spans="1:28">
      <c r="A22" s="118"/>
      <c r="B22" s="118"/>
      <c r="C22" s="133"/>
      <c r="D22" s="108" t="s">
        <v>42</v>
      </c>
      <c r="E22" s="108">
        <v>501010201</v>
      </c>
      <c r="F22" s="981" t="s">
        <v>83</v>
      </c>
      <c r="G22" s="982" t="s">
        <v>6</v>
      </c>
      <c r="H22" s="983">
        <f>IFERROR(IF(VLOOKUP(K22,데이터입력!$C$42:$L$137,5,FALSE)&lt;1000,ROUNDUP(VLOOKUP(K22,데이터입력!$C$42:$L$137,5,FALSE)*1/1000,0),ROUND(VLOOKUP(K22,데이터입력!$C$42:$L$137,5,FALSE)*1/1000,0)),0)</f>
        <v>0</v>
      </c>
      <c r="I22" s="983">
        <f>IFERROR(IF(F22="06",IF(V22&lt;1000,ROUNDUP((V22)*1/1000,0),ROUND((V22)*1/1000,0)),IF(F22="07",IF(W22&lt;1000,ROUNDUP((W22)*1/1000,0),ROUND((W22)*1/1000,0)),IF(F22="05",IF(X22&lt;1000,ROUNDUP((X22)*1/1000,0),ROUND((X22)*1/1000,0))))),0)</f>
        <v>0</v>
      </c>
      <c r="J22" s="983">
        <f>I22-H22</f>
        <v>0</v>
      </c>
      <c r="K22" s="984" t="str">
        <f>L22&amp;"("&amp;G22&amp;")"</f>
        <v>각종수당(직접비)(수익사업)</v>
      </c>
      <c r="L22" s="112" t="str">
        <f>D22</f>
        <v>각종수당(직접비)</v>
      </c>
      <c r="M22" s="113"/>
      <c r="N22" s="985"/>
      <c r="O22" s="986"/>
      <c r="P22" s="985"/>
      <c r="Q22" s="986"/>
      <c r="R22" s="985"/>
      <c r="S22" s="986"/>
      <c r="T22" s="986"/>
      <c r="U22" s="986"/>
      <c r="V22" s="987">
        <f>SUM(V23:V26)</f>
        <v>0</v>
      </c>
      <c r="W22" s="987">
        <f>SUM(W23:W26)</f>
        <v>0</v>
      </c>
      <c r="X22" s="987">
        <f>SUM(X23:X26)</f>
        <v>0</v>
      </c>
      <c r="Y22" s="987">
        <f>SUM(V22:X22)</f>
        <v>0</v>
      </c>
      <c r="Z22" s="155">
        <f>보수일람표!J262-AA22-AB22</f>
        <v>0</v>
      </c>
      <c r="AA22" s="155">
        <f>데이터입력!$T$102</f>
        <v>0</v>
      </c>
      <c r="AB22" s="151">
        <f>데이터입력!T132</f>
        <v>0</v>
      </c>
    </row>
    <row r="23" spans="1:28">
      <c r="A23" s="118"/>
      <c r="B23" s="118"/>
      <c r="C23" s="118"/>
      <c r="D23" s="118"/>
      <c r="E23" s="118"/>
      <c r="F23" s="988"/>
      <c r="G23" s="989"/>
      <c r="H23" s="990"/>
      <c r="I23" s="990"/>
      <c r="J23" s="990"/>
      <c r="K23" s="991"/>
      <c r="L23" s="127" t="str">
        <f>"  - "&amp;L22</f>
        <v xml:space="preserve">  - 각종수당(직접비)</v>
      </c>
      <c r="M23" s="263"/>
      <c r="N23" s="961">
        <f>IF(R23="",Z22,ROUND(Z22/R23,0))</f>
        <v>0</v>
      </c>
      <c r="O23" s="121" t="str">
        <f>IF(P23="","","x ")</f>
        <v/>
      </c>
      <c r="P23" s="963"/>
      <c r="Q23" s="962" t="s">
        <v>407</v>
      </c>
      <c r="R23" s="964">
        <f>데이터입력!$Y$8</f>
        <v>12</v>
      </c>
      <c r="S23" s="962"/>
      <c r="T23" s="962" t="s">
        <v>408</v>
      </c>
      <c r="U23" s="962"/>
      <c r="V23" s="965">
        <f>Z22</f>
        <v>0</v>
      </c>
      <c r="W23" s="967"/>
      <c r="X23" s="967"/>
      <c r="Y23" s="967"/>
      <c r="Z23" s="101"/>
      <c r="AA23" s="101"/>
      <c r="AB23" s="101"/>
    </row>
    <row r="24" spans="1:28">
      <c r="A24" s="118"/>
      <c r="B24" s="118"/>
      <c r="C24" s="118"/>
      <c r="D24" s="118"/>
      <c r="E24" s="118"/>
      <c r="F24" s="988"/>
      <c r="G24" s="989"/>
      <c r="H24" s="990"/>
      <c r="I24" s="990"/>
      <c r="J24" s="990"/>
      <c r="K24" s="992"/>
      <c r="L24" s="127" t="str">
        <f>IF(데이터입력!$Y$27=1,"     ( "&amp;보수일람표!$E$61&amp;" )",IF(데이터입력!$Y$27&lt;=0,"","     ( "&amp;보수일람표!$E$61&amp;" 외 "&amp;데이터입력!$Y$27-1&amp;" 명 )"))</f>
        <v xml:space="preserve">     ( 사회복지사 외 4 명 )</v>
      </c>
      <c r="M24" s="263"/>
      <c r="N24" s="961"/>
      <c r="O24" s="962"/>
      <c r="P24" s="963"/>
      <c r="Q24" s="962"/>
      <c r="R24" s="964"/>
      <c r="S24" s="962"/>
      <c r="T24" s="962"/>
      <c r="U24" s="962"/>
      <c r="V24" s="965"/>
      <c r="W24" s="967"/>
      <c r="X24" s="967"/>
      <c r="Y24" s="967"/>
      <c r="Z24" s="101"/>
      <c r="AA24" s="101"/>
      <c r="AB24" s="101"/>
    </row>
    <row r="25" spans="1:28">
      <c r="A25" s="118"/>
      <c r="B25" s="118"/>
      <c r="C25" s="118"/>
      <c r="D25" s="118"/>
      <c r="E25" s="118"/>
      <c r="F25" s="993" t="s">
        <v>422</v>
      </c>
      <c r="G25" s="994" t="s">
        <v>384</v>
      </c>
      <c r="H25" s="995">
        <f>IFERROR(IF(VLOOKUP(K25,데이터입력!$C$42:$L$137,5,FALSE)&lt;1000,ROUNDUP(VLOOKUP(K25,데이터입력!$C$42:$L$137,5,FALSE)*1/1000,0),ROUND(VLOOKUP(K25,데이터입력!$C$42:$L$137,5,FALSE)*1/1000,0)),0)</f>
        <v>0</v>
      </c>
      <c r="I25" s="995">
        <f t="shared" ref="I25:I26" si="4">IFERROR(IF(F25="06",IF(V25&lt;1000,ROUNDUP((V25)*1/1000,0),ROUND((V25)*1/1000,0)),IF(F25="07",IF(W25&lt;1000,ROUNDUP((W25)*1/1000,0),ROUND((W25)*1/1000,0)),IF(F25="05",IF(X25&lt;1000,ROUNDUP((X25)*1/1000,0),ROUND((X25)*1/1000,0))))),0)</f>
        <v>0</v>
      </c>
      <c r="J25" s="996">
        <f>I25-H25</f>
        <v>0</v>
      </c>
      <c r="K25" s="285" t="str">
        <f>L25&amp;"("&amp;G25&amp;")"</f>
        <v>각종수당(직접비)(보조금)</v>
      </c>
      <c r="L25" s="294" t="str">
        <f>L22</f>
        <v>각종수당(직접비)</v>
      </c>
      <c r="M25" s="295"/>
      <c r="N25" s="997"/>
      <c r="O25" s="998"/>
      <c r="P25" s="999"/>
      <c r="Q25" s="998"/>
      <c r="R25" s="1000"/>
      <c r="S25" s="998"/>
      <c r="T25" s="998" t="s">
        <v>408</v>
      </c>
      <c r="U25" s="1001"/>
      <c r="V25" s="1002"/>
      <c r="W25" s="1003">
        <f>AA22</f>
        <v>0</v>
      </c>
      <c r="X25" s="1003"/>
      <c r="Y25" s="1003"/>
      <c r="Z25" s="101"/>
      <c r="AA25" s="101"/>
      <c r="AB25" s="101"/>
    </row>
    <row r="26" spans="1:28">
      <c r="A26" s="118"/>
      <c r="B26" s="118"/>
      <c r="C26" s="118"/>
      <c r="D26" s="134"/>
      <c r="E26" s="134"/>
      <c r="F26" s="1004" t="s">
        <v>85</v>
      </c>
      <c r="G26" s="1005" t="s">
        <v>19</v>
      </c>
      <c r="H26" s="1006">
        <f>IFERROR(IF(VLOOKUP(K26,데이터입력!$C$42:$L$137,5,FALSE)&lt;1000,ROUNDUP(VLOOKUP(K26,데이터입력!$C$42:$L$137,5,FALSE)*1/1000,0),ROUND(VLOOKUP(K26,데이터입력!$C$42:$L$137,5,FALSE)*1/1000,0)),0)</f>
        <v>0</v>
      </c>
      <c r="I26" s="1006">
        <f t="shared" si="4"/>
        <v>0</v>
      </c>
      <c r="J26" s="1007">
        <f>I26-H26</f>
        <v>0</v>
      </c>
      <c r="K26" s="286" t="str">
        <f t="shared" ref="K26" si="5">L26&amp;"("&amp;G26&amp;")"</f>
        <v>각종수당(직접비)(후원금)</v>
      </c>
      <c r="L26" s="296" t="str">
        <f>L22</f>
        <v>각종수당(직접비)</v>
      </c>
      <c r="M26" s="297"/>
      <c r="N26" s="1008"/>
      <c r="O26" s="1009"/>
      <c r="P26" s="1010"/>
      <c r="Q26" s="1009"/>
      <c r="R26" s="1011"/>
      <c r="S26" s="1009"/>
      <c r="T26" s="1009" t="s">
        <v>408</v>
      </c>
      <c r="U26" s="1012"/>
      <c r="V26" s="1013"/>
      <c r="W26" s="1014"/>
      <c r="X26" s="1013">
        <f>AB22</f>
        <v>0</v>
      </c>
      <c r="Y26" s="1013"/>
      <c r="Z26" s="101"/>
      <c r="AA26" s="101"/>
      <c r="AB26" s="101"/>
    </row>
    <row r="27" spans="1:28">
      <c r="A27" s="118"/>
      <c r="B27" s="118"/>
      <c r="C27" s="118"/>
      <c r="D27" s="108" t="s">
        <v>43</v>
      </c>
      <c r="E27" s="108">
        <v>501010202</v>
      </c>
      <c r="F27" s="981" t="s">
        <v>83</v>
      </c>
      <c r="G27" s="982" t="s">
        <v>6</v>
      </c>
      <c r="H27" s="983">
        <f>IFERROR(IF(VLOOKUP(K27,데이터입력!$C$42:$L$137,5,FALSE)&lt;1000,ROUNDUP(VLOOKUP(K27,데이터입력!$C$42:$L$137,5,FALSE)*1/1000,0),ROUND(VLOOKUP(K27,데이터입력!$C$42:$L$137,5,FALSE)*1/1000,0)),0)</f>
        <v>0</v>
      </c>
      <c r="I27" s="983">
        <f>IFERROR(IF(F27="06",IF(V27&lt;1000,ROUNDUP((V27)*1/1000,0),ROUND((V27)*1/1000,0)),IF(F27="07",IF(W27&lt;1000,ROUNDUP((W27)*1/1000,0),ROUND((W27)*1/1000,0)),IF(F27="05",IF(X27&lt;1000,ROUNDUP((X27)*1/1000,0),ROUND((X27)*1/1000,0))))),0)</f>
        <v>0</v>
      </c>
      <c r="J27" s="983">
        <f>I27-H27</f>
        <v>0</v>
      </c>
      <c r="K27" s="984" t="str">
        <f>L27&amp;"("&amp;G27&amp;")"</f>
        <v>각종수당(간접비)(수익사업)</v>
      </c>
      <c r="L27" s="112" t="str">
        <f>D27</f>
        <v>각종수당(간접비)</v>
      </c>
      <c r="M27" s="113"/>
      <c r="N27" s="985"/>
      <c r="O27" s="986"/>
      <c r="P27" s="985"/>
      <c r="Q27" s="986"/>
      <c r="R27" s="985"/>
      <c r="S27" s="986"/>
      <c r="T27" s="986"/>
      <c r="U27" s="986"/>
      <c r="V27" s="987">
        <f>SUM(V28:V31)</f>
        <v>0</v>
      </c>
      <c r="W27" s="987">
        <f>SUM(W28:W31)</f>
        <v>0</v>
      </c>
      <c r="X27" s="987">
        <f>SUM(X28:X31)</f>
        <v>0</v>
      </c>
      <c r="Y27" s="987">
        <f>SUM(V27:X27)</f>
        <v>0</v>
      </c>
      <c r="Z27" s="155">
        <f>보수일람표!J261-AA27-AB27</f>
        <v>0</v>
      </c>
      <c r="AA27" s="155">
        <f>데이터입력!$T$103</f>
        <v>0</v>
      </c>
      <c r="AB27" s="151">
        <f>데이터입력!T133</f>
        <v>0</v>
      </c>
    </row>
    <row r="28" spans="1:28">
      <c r="A28" s="118"/>
      <c r="B28" s="118"/>
      <c r="C28" s="118"/>
      <c r="D28" s="118"/>
      <c r="E28" s="118"/>
      <c r="F28" s="988"/>
      <c r="G28" s="989"/>
      <c r="H28" s="990"/>
      <c r="I28" s="990"/>
      <c r="J28" s="990"/>
      <c r="K28" s="991"/>
      <c r="L28" s="127" t="str">
        <f>"  - "&amp;L27</f>
        <v xml:space="preserve">  - 각종수당(간접비)</v>
      </c>
      <c r="M28" s="263"/>
      <c r="N28" s="961">
        <f>IF(R28="",Z27,ROUND(Z27/R28,0))</f>
        <v>0</v>
      </c>
      <c r="O28" s="121" t="str">
        <f>IF(P28="","","x ")</f>
        <v/>
      </c>
      <c r="P28" s="963"/>
      <c r="Q28" s="962" t="s">
        <v>407</v>
      </c>
      <c r="R28" s="964">
        <f>데이터입력!$Y$8</f>
        <v>12</v>
      </c>
      <c r="S28" s="962"/>
      <c r="T28" s="962" t="s">
        <v>408</v>
      </c>
      <c r="U28" s="962"/>
      <c r="V28" s="965">
        <f>Z27</f>
        <v>0</v>
      </c>
      <c r="W28" s="967"/>
      <c r="X28" s="967"/>
      <c r="Y28" s="967"/>
      <c r="Z28" s="101"/>
      <c r="AA28" s="101"/>
      <c r="AB28" s="101"/>
    </row>
    <row r="29" spans="1:28">
      <c r="A29" s="118"/>
      <c r="B29" s="118"/>
      <c r="C29" s="118"/>
      <c r="D29" s="118"/>
      <c r="E29" s="118"/>
      <c r="F29" s="988"/>
      <c r="G29" s="989"/>
      <c r="H29" s="990"/>
      <c r="I29" s="990"/>
      <c r="J29" s="990"/>
      <c r="K29" s="992"/>
      <c r="L29" s="127" t="str">
        <f>IF(데이터입력!$Y$28=1,"     ( "&amp;보수일람표!$E$11&amp;" )",IF(데이터입력!$Y$28&lt;=0,"","     ( "&amp;보수일람표!$E$11&amp;" 외 "&amp;데이터입력!$Y$28-1&amp;" 명 )"))</f>
        <v xml:space="preserve">     ( 시설장(관리책임자) 외 2 명 )</v>
      </c>
      <c r="M29" s="263"/>
      <c r="N29" s="961"/>
      <c r="O29" s="962"/>
      <c r="P29" s="963"/>
      <c r="Q29" s="962"/>
      <c r="R29" s="964"/>
      <c r="S29" s="962"/>
      <c r="T29" s="962"/>
      <c r="U29" s="962"/>
      <c r="V29" s="965"/>
      <c r="W29" s="967"/>
      <c r="X29" s="967"/>
      <c r="Y29" s="967"/>
      <c r="Z29" s="101"/>
      <c r="AA29" s="101"/>
      <c r="AB29" s="101"/>
    </row>
    <row r="30" spans="1:28">
      <c r="A30" s="118"/>
      <c r="B30" s="118"/>
      <c r="C30" s="118"/>
      <c r="D30" s="118"/>
      <c r="E30" s="118"/>
      <c r="F30" s="993" t="s">
        <v>422</v>
      </c>
      <c r="G30" s="994" t="s">
        <v>384</v>
      </c>
      <c r="H30" s="995">
        <f>IFERROR(IF(VLOOKUP(K30,데이터입력!$C$42:$L$137,5,FALSE)&lt;1000,ROUNDUP(VLOOKUP(K30,데이터입력!$C$42:$L$137,5,FALSE)*1/1000,0),ROUND(VLOOKUP(K30,데이터입력!$C$42:$L$137,5,FALSE)*1/1000,0)),0)</f>
        <v>0</v>
      </c>
      <c r="I30" s="995">
        <f t="shared" ref="I30:I31" si="6">IFERROR(IF(F30="06",IF(V30&lt;1000,ROUNDUP((V30)*1/1000,0),ROUND((V30)*1/1000,0)),IF(F30="07",IF(W30&lt;1000,ROUNDUP((W30)*1/1000,0),ROUND((W30)*1/1000,0)),IF(F30="05",IF(X30&lt;1000,ROUNDUP((X30)*1/1000,0),ROUND((X30)*1/1000,0))))),0)</f>
        <v>0</v>
      </c>
      <c r="J30" s="996">
        <f>I30-H30</f>
        <v>0</v>
      </c>
      <c r="K30" s="285" t="str">
        <f>L30&amp;"("&amp;G30&amp;")"</f>
        <v>각종수당(간접비)(보조금)</v>
      </c>
      <c r="L30" s="294" t="str">
        <f>L27</f>
        <v>각종수당(간접비)</v>
      </c>
      <c r="M30" s="295"/>
      <c r="N30" s="997"/>
      <c r="O30" s="998"/>
      <c r="P30" s="999"/>
      <c r="Q30" s="998"/>
      <c r="R30" s="1000"/>
      <c r="S30" s="998"/>
      <c r="T30" s="998" t="s">
        <v>408</v>
      </c>
      <c r="U30" s="1001"/>
      <c r="V30" s="1002"/>
      <c r="W30" s="1003">
        <f>AA27</f>
        <v>0</v>
      </c>
      <c r="X30" s="1003"/>
      <c r="Y30" s="1003"/>
      <c r="Z30" s="101"/>
      <c r="AA30" s="101"/>
      <c r="AB30" s="101"/>
    </row>
    <row r="31" spans="1:28">
      <c r="A31" s="118"/>
      <c r="B31" s="118"/>
      <c r="C31" s="118"/>
      <c r="D31" s="134"/>
      <c r="E31" s="134"/>
      <c r="F31" s="1004" t="s">
        <v>85</v>
      </c>
      <c r="G31" s="1005" t="s">
        <v>19</v>
      </c>
      <c r="H31" s="1006">
        <f>IFERROR(IF(VLOOKUP(K31,데이터입력!$C$42:$L$137,5,FALSE)&lt;1000,ROUNDUP(VLOOKUP(K31,데이터입력!$C$42:$L$137,5,FALSE)*1/1000,0),ROUND(VLOOKUP(K31,데이터입력!$C$42:$L$137,5,FALSE)*1/1000,0)),0)</f>
        <v>0</v>
      </c>
      <c r="I31" s="1006">
        <f t="shared" si="6"/>
        <v>0</v>
      </c>
      <c r="J31" s="1007">
        <f>I31-H31</f>
        <v>0</v>
      </c>
      <c r="K31" s="286" t="str">
        <f t="shared" ref="K31" si="7">L31&amp;"("&amp;G31&amp;")"</f>
        <v>각종수당(간접비)(후원금)</v>
      </c>
      <c r="L31" s="296" t="str">
        <f>L27</f>
        <v>각종수당(간접비)</v>
      </c>
      <c r="M31" s="297"/>
      <c r="N31" s="1008"/>
      <c r="O31" s="1009"/>
      <c r="P31" s="1010"/>
      <c r="Q31" s="1009"/>
      <c r="R31" s="1011"/>
      <c r="S31" s="1009"/>
      <c r="T31" s="1009" t="s">
        <v>408</v>
      </c>
      <c r="U31" s="1012"/>
      <c r="V31" s="1013"/>
      <c r="W31" s="1014"/>
      <c r="X31" s="1013">
        <f>AB27</f>
        <v>0</v>
      </c>
      <c r="Y31" s="1013"/>
      <c r="Z31" s="101"/>
      <c r="AA31" s="101"/>
      <c r="AB31" s="101"/>
    </row>
    <row r="32" spans="1:28" s="303" customFormat="1">
      <c r="A32" s="118"/>
      <c r="B32" s="118"/>
      <c r="C32" s="106" t="s">
        <v>436</v>
      </c>
      <c r="D32" s="149"/>
      <c r="E32" s="149"/>
      <c r="F32" s="975"/>
      <c r="G32" s="976"/>
      <c r="H32" s="977">
        <f>SUM(H33:H42)</f>
        <v>0</v>
      </c>
      <c r="I32" s="977">
        <f t="shared" ref="I32" si="8">SUM(I33:I42)</f>
        <v>0</v>
      </c>
      <c r="J32" s="977">
        <f t="shared" ref="J32" si="9">SUM(J33:J42)</f>
        <v>0</v>
      </c>
      <c r="K32" s="977"/>
      <c r="L32" s="293"/>
      <c r="M32" s="293"/>
      <c r="N32" s="978"/>
      <c r="O32" s="979"/>
      <c r="P32" s="978"/>
      <c r="Q32" s="979"/>
      <c r="R32" s="978"/>
      <c r="S32" s="979"/>
      <c r="T32" s="979"/>
      <c r="U32" s="979"/>
      <c r="V32" s="980">
        <f>SUM(V33,V38)</f>
        <v>0</v>
      </c>
      <c r="W32" s="980">
        <f>SUM(W33,W38)</f>
        <v>0</v>
      </c>
      <c r="X32" s="980">
        <f>SUM(X33,X38)</f>
        <v>0</v>
      </c>
      <c r="Y32" s="980">
        <f>SUM(V32:X32)</f>
        <v>0</v>
      </c>
      <c r="Z32" s="101"/>
      <c r="AA32" s="101"/>
      <c r="AB32" s="101"/>
    </row>
    <row r="33" spans="1:28">
      <c r="A33" s="118"/>
      <c r="B33" s="118"/>
      <c r="C33" s="133"/>
      <c r="D33" s="108" t="s">
        <v>44</v>
      </c>
      <c r="E33" s="108">
        <v>501010301</v>
      </c>
      <c r="F33" s="981" t="s">
        <v>83</v>
      </c>
      <c r="G33" s="982" t="s">
        <v>6</v>
      </c>
      <c r="H33" s="983">
        <f>IFERROR(IF(VLOOKUP(K33,데이터입력!$C$42:$L$137,5,FALSE)&lt;1000,ROUNDUP(VLOOKUP(K33,데이터입력!$C$42:$L$137,5,FALSE)*1/1000,0),ROUND(VLOOKUP(K33,데이터입력!$C$42:$L$137,5,FALSE)*1/1000,0)),0)</f>
        <v>0</v>
      </c>
      <c r="I33" s="983">
        <f>IFERROR(IF(F33="06",IF(V33&lt;1000,ROUNDUP((V33)*1/1000,0),ROUND((V33)*1/1000,0)),IF(F33="07",IF(W33&lt;1000,ROUNDUP((W33)*1/1000,0),ROUND((W33)*1/1000,0)),IF(F33="05",IF(X33&lt;1000,ROUNDUP((X33)*1/1000,0),ROUND((X33)*1/1000,0))))),0)</f>
        <v>0</v>
      </c>
      <c r="J33" s="983">
        <f>I33-H33</f>
        <v>0</v>
      </c>
      <c r="K33" s="984" t="str">
        <f>L33&amp;"("&amp;G33&amp;")"</f>
        <v>일용잡급(직접비)(수익사업)</v>
      </c>
      <c r="L33" s="112" t="str">
        <f>D33</f>
        <v>일용잡급(직접비)</v>
      </c>
      <c r="M33" s="113"/>
      <c r="N33" s="985"/>
      <c r="O33" s="986"/>
      <c r="P33" s="985"/>
      <c r="Q33" s="986"/>
      <c r="R33" s="985"/>
      <c r="S33" s="986"/>
      <c r="T33" s="986"/>
      <c r="U33" s="986"/>
      <c r="V33" s="987">
        <f>SUM(V34:V37)</f>
        <v>0</v>
      </c>
      <c r="W33" s="987">
        <f>SUM(W34:W37)</f>
        <v>0</v>
      </c>
      <c r="X33" s="987">
        <f>SUM(X34:X37)</f>
        <v>0</v>
      </c>
      <c r="Y33" s="987">
        <f>SUM(V33:X33)</f>
        <v>0</v>
      </c>
      <c r="Z33" s="155">
        <f>보수일람표!K262-AA33-AB33</f>
        <v>0</v>
      </c>
      <c r="AA33" s="155">
        <f>데이터입력!$T$104</f>
        <v>0</v>
      </c>
      <c r="AB33" s="151">
        <f>데이터입력!T134</f>
        <v>0</v>
      </c>
    </row>
    <row r="34" spans="1:28">
      <c r="A34" s="118"/>
      <c r="B34" s="118"/>
      <c r="C34" s="118"/>
      <c r="D34" s="118"/>
      <c r="E34" s="118"/>
      <c r="F34" s="988"/>
      <c r="G34" s="989"/>
      <c r="H34" s="990"/>
      <c r="I34" s="990"/>
      <c r="J34" s="990"/>
      <c r="K34" s="991"/>
      <c r="L34" s="127" t="str">
        <f>"  - "&amp;L33</f>
        <v xml:space="preserve">  - 일용잡급(직접비)</v>
      </c>
      <c r="M34" s="263"/>
      <c r="N34" s="961">
        <f>IF(R34="",Z33,ROUND(Z33/R34,0))</f>
        <v>0</v>
      </c>
      <c r="O34" s="121" t="str">
        <f>IF(P34="","","x ")</f>
        <v/>
      </c>
      <c r="P34" s="963"/>
      <c r="Q34" s="962" t="s">
        <v>407</v>
      </c>
      <c r="R34" s="964">
        <f>데이터입력!$Y$8</f>
        <v>12</v>
      </c>
      <c r="S34" s="962"/>
      <c r="T34" s="962" t="s">
        <v>408</v>
      </c>
      <c r="U34" s="962"/>
      <c r="V34" s="965">
        <f>Z33</f>
        <v>0</v>
      </c>
      <c r="W34" s="967"/>
      <c r="X34" s="967"/>
      <c r="Y34" s="967"/>
      <c r="Z34" s="101"/>
      <c r="AA34" s="101"/>
      <c r="AB34" s="101"/>
    </row>
    <row r="35" spans="1:28">
      <c r="A35" s="118"/>
      <c r="B35" s="118"/>
      <c r="C35" s="118"/>
      <c r="D35" s="118"/>
      <c r="E35" s="118"/>
      <c r="F35" s="988"/>
      <c r="G35" s="989"/>
      <c r="H35" s="990"/>
      <c r="I35" s="990"/>
      <c r="J35" s="990"/>
      <c r="K35" s="992"/>
      <c r="L35" s="127"/>
      <c r="M35" s="263"/>
      <c r="N35" s="961"/>
      <c r="O35" s="962"/>
      <c r="P35" s="963"/>
      <c r="Q35" s="962"/>
      <c r="R35" s="964"/>
      <c r="S35" s="962"/>
      <c r="T35" s="962"/>
      <c r="U35" s="962"/>
      <c r="V35" s="965"/>
      <c r="W35" s="967"/>
      <c r="X35" s="967"/>
      <c r="Y35" s="967"/>
      <c r="Z35" s="101"/>
      <c r="AA35" s="101"/>
      <c r="AB35" s="101"/>
    </row>
    <row r="36" spans="1:28">
      <c r="A36" s="118"/>
      <c r="B36" s="118"/>
      <c r="C36" s="118"/>
      <c r="D36" s="118"/>
      <c r="E36" s="118"/>
      <c r="F36" s="993" t="s">
        <v>422</v>
      </c>
      <c r="G36" s="994" t="s">
        <v>384</v>
      </c>
      <c r="H36" s="995">
        <f>IFERROR(IF(VLOOKUP(K36,데이터입력!$C$42:$L$137,5,FALSE)&lt;1000,ROUNDUP(VLOOKUP(K36,데이터입력!$C$42:$L$137,5,FALSE)*1/1000,0),ROUND(VLOOKUP(K36,데이터입력!$C$42:$L$137,5,FALSE)*1/1000,0)),0)</f>
        <v>0</v>
      </c>
      <c r="I36" s="995">
        <f t="shared" ref="I36:I37" si="10">IFERROR(IF(F36="06",IF(V36&lt;1000,ROUNDUP((V36)*1/1000,0),ROUND((V36)*1/1000,0)),IF(F36="07",IF(W36&lt;1000,ROUNDUP((W36)*1/1000,0),ROUND((W36)*1/1000,0)),IF(F36="05",IF(X36&lt;1000,ROUNDUP((X36)*1/1000,0),ROUND((X36)*1/1000,0))))),0)</f>
        <v>0</v>
      </c>
      <c r="J36" s="996">
        <f>I36-H36</f>
        <v>0</v>
      </c>
      <c r="K36" s="285" t="str">
        <f>L36&amp;"("&amp;G36&amp;")"</f>
        <v>일용잡급(직접비)(보조금)</v>
      </c>
      <c r="L36" s="294" t="str">
        <f>L33</f>
        <v>일용잡급(직접비)</v>
      </c>
      <c r="M36" s="295"/>
      <c r="N36" s="997"/>
      <c r="O36" s="998"/>
      <c r="P36" s="999"/>
      <c r="Q36" s="998"/>
      <c r="R36" s="1000"/>
      <c r="S36" s="998"/>
      <c r="T36" s="998" t="s">
        <v>408</v>
      </c>
      <c r="U36" s="1001"/>
      <c r="V36" s="1002"/>
      <c r="W36" s="1003">
        <f>AA33</f>
        <v>0</v>
      </c>
      <c r="X36" s="1003"/>
      <c r="Y36" s="1003"/>
      <c r="Z36" s="101"/>
      <c r="AA36" s="101"/>
      <c r="AB36" s="101"/>
    </row>
    <row r="37" spans="1:28">
      <c r="A37" s="118"/>
      <c r="B37" s="118"/>
      <c r="C37" s="118"/>
      <c r="D37" s="134"/>
      <c r="E37" s="134"/>
      <c r="F37" s="1004" t="s">
        <v>85</v>
      </c>
      <c r="G37" s="1005" t="s">
        <v>19</v>
      </c>
      <c r="H37" s="1006">
        <f>IFERROR(IF(VLOOKUP(K37,데이터입력!$C$42:$L$137,5,FALSE)&lt;1000,ROUNDUP(VLOOKUP(K37,데이터입력!$C$42:$L$137,5,FALSE)*1/1000,0),ROUND(VLOOKUP(K37,데이터입력!$C$42:$L$137,5,FALSE)*1/1000,0)),0)</f>
        <v>0</v>
      </c>
      <c r="I37" s="1006">
        <f t="shared" si="10"/>
        <v>0</v>
      </c>
      <c r="J37" s="1007">
        <f>I37-H37</f>
        <v>0</v>
      </c>
      <c r="K37" s="286" t="str">
        <f t="shared" ref="K37" si="11">L37&amp;"("&amp;G37&amp;")"</f>
        <v>일용잡급(직접비)(후원금)</v>
      </c>
      <c r="L37" s="296" t="str">
        <f>L33</f>
        <v>일용잡급(직접비)</v>
      </c>
      <c r="M37" s="297"/>
      <c r="N37" s="1008"/>
      <c r="O37" s="1009"/>
      <c r="P37" s="1010"/>
      <c r="Q37" s="1009"/>
      <c r="R37" s="1011"/>
      <c r="S37" s="1009"/>
      <c r="T37" s="1009" t="s">
        <v>408</v>
      </c>
      <c r="U37" s="1012"/>
      <c r="V37" s="1013"/>
      <c r="W37" s="1014"/>
      <c r="X37" s="1013">
        <f>AB33</f>
        <v>0</v>
      </c>
      <c r="Y37" s="1013"/>
      <c r="Z37" s="101"/>
      <c r="AA37" s="101"/>
      <c r="AB37" s="101"/>
    </row>
    <row r="38" spans="1:28">
      <c r="A38" s="118"/>
      <c r="B38" s="118"/>
      <c r="C38" s="118"/>
      <c r="D38" s="108" t="s">
        <v>45</v>
      </c>
      <c r="E38" s="108">
        <v>501010302</v>
      </c>
      <c r="F38" s="981" t="s">
        <v>83</v>
      </c>
      <c r="G38" s="982" t="s">
        <v>6</v>
      </c>
      <c r="H38" s="983">
        <f>IFERROR(IF(VLOOKUP(K38,데이터입력!$C$42:$L$137,5,FALSE)&lt;1000,ROUNDUP(VLOOKUP(K38,데이터입력!$C$42:$L$137,5,FALSE)*1/1000,0),ROUND(VLOOKUP(K38,데이터입력!$C$42:$L$137,5,FALSE)*1/1000,0)),0)</f>
        <v>0</v>
      </c>
      <c r="I38" s="983">
        <f>IFERROR(IF(F38="06",IF(V38&lt;1000,ROUNDUP((V38)*1/1000,0),ROUND((V38)*1/1000,0)),IF(F38="07",IF(W38&lt;1000,ROUNDUP((W38)*1/1000,0),ROUND((W38)*1/1000,0)),IF(F38="05",IF(X38&lt;1000,ROUNDUP((X38)*1/1000,0),ROUND((X38)*1/1000,0))))),0)</f>
        <v>0</v>
      </c>
      <c r="J38" s="983">
        <f>I38-H38</f>
        <v>0</v>
      </c>
      <c r="K38" s="984" t="str">
        <f>L38&amp;"("&amp;G38&amp;")"</f>
        <v>일용잡급(간접비)(수익사업)</v>
      </c>
      <c r="L38" s="112" t="str">
        <f>D38</f>
        <v>일용잡급(간접비)</v>
      </c>
      <c r="M38" s="113"/>
      <c r="N38" s="985"/>
      <c r="O38" s="986"/>
      <c r="P38" s="985"/>
      <c r="Q38" s="986"/>
      <c r="R38" s="985"/>
      <c r="S38" s="986"/>
      <c r="T38" s="986"/>
      <c r="U38" s="986"/>
      <c r="V38" s="987">
        <f>SUM(V39:V42)</f>
        <v>0</v>
      </c>
      <c r="W38" s="987">
        <f>SUM(W39:W42)</f>
        <v>0</v>
      </c>
      <c r="X38" s="987">
        <f>SUM(X39:X42)</f>
        <v>0</v>
      </c>
      <c r="Y38" s="987">
        <f>SUM(V38:X38)</f>
        <v>0</v>
      </c>
      <c r="Z38" s="155">
        <f>보수일람표!K261-AA38-AB38</f>
        <v>0</v>
      </c>
      <c r="AA38" s="155">
        <f>데이터입력!$T$105</f>
        <v>0</v>
      </c>
      <c r="AB38" s="151">
        <f>데이터입력!$T$135</f>
        <v>0</v>
      </c>
    </row>
    <row r="39" spans="1:28">
      <c r="A39" s="118"/>
      <c r="B39" s="118"/>
      <c r="C39" s="118"/>
      <c r="D39" s="118"/>
      <c r="E39" s="118"/>
      <c r="F39" s="988"/>
      <c r="G39" s="989"/>
      <c r="H39" s="990"/>
      <c r="I39" s="990"/>
      <c r="J39" s="990"/>
      <c r="K39" s="991"/>
      <c r="L39" s="127" t="str">
        <f>"  - "&amp;L38</f>
        <v xml:space="preserve">  - 일용잡급(간접비)</v>
      </c>
      <c r="M39" s="263"/>
      <c r="N39" s="961">
        <f>IF(R39="",Z38,ROUND(Z38/R39,0))</f>
        <v>0</v>
      </c>
      <c r="O39" s="121" t="str">
        <f>IF(P39="","","x ")</f>
        <v/>
      </c>
      <c r="P39" s="963"/>
      <c r="Q39" s="962" t="s">
        <v>407</v>
      </c>
      <c r="R39" s="964">
        <f>데이터입력!$Y$8</f>
        <v>12</v>
      </c>
      <c r="S39" s="962"/>
      <c r="T39" s="962" t="s">
        <v>408</v>
      </c>
      <c r="U39" s="962"/>
      <c r="V39" s="965">
        <f>Z38</f>
        <v>0</v>
      </c>
      <c r="W39" s="967"/>
      <c r="X39" s="967"/>
      <c r="Y39" s="967"/>
      <c r="Z39" s="101"/>
      <c r="AA39" s="101"/>
      <c r="AB39" s="101"/>
    </row>
    <row r="40" spans="1:28">
      <c r="A40" s="118"/>
      <c r="B40" s="118"/>
      <c r="C40" s="118"/>
      <c r="D40" s="118"/>
      <c r="E40" s="118"/>
      <c r="F40" s="988"/>
      <c r="G40" s="989"/>
      <c r="H40" s="990"/>
      <c r="I40" s="990"/>
      <c r="J40" s="990"/>
      <c r="K40" s="992"/>
      <c r="L40" s="127"/>
      <c r="M40" s="263"/>
      <c r="N40" s="961"/>
      <c r="O40" s="962"/>
      <c r="P40" s="963"/>
      <c r="Q40" s="962"/>
      <c r="R40" s="964"/>
      <c r="S40" s="962"/>
      <c r="T40" s="962"/>
      <c r="U40" s="962"/>
      <c r="V40" s="965"/>
      <c r="W40" s="967"/>
      <c r="X40" s="967"/>
      <c r="Y40" s="967"/>
      <c r="Z40" s="101"/>
      <c r="AA40" s="101"/>
      <c r="AB40" s="101"/>
    </row>
    <row r="41" spans="1:28">
      <c r="A41" s="118"/>
      <c r="B41" s="118"/>
      <c r="C41" s="118"/>
      <c r="D41" s="118"/>
      <c r="E41" s="118"/>
      <c r="F41" s="993" t="s">
        <v>422</v>
      </c>
      <c r="G41" s="994" t="s">
        <v>384</v>
      </c>
      <c r="H41" s="995">
        <f>IFERROR(IF(VLOOKUP(K41,데이터입력!$C$42:$L$137,5,FALSE)&lt;1000,ROUNDUP(VLOOKUP(K41,데이터입력!$C$42:$L$137,5,FALSE)*1/1000,0),ROUND(VLOOKUP(K41,데이터입력!$C$42:$L$137,5,FALSE)*1/1000,0)),0)</f>
        <v>0</v>
      </c>
      <c r="I41" s="995">
        <f t="shared" ref="I41:I42" si="12">IFERROR(IF(F41="06",IF(V41&lt;1000,ROUNDUP((V41)*1/1000,0),ROUND((V41)*1/1000,0)),IF(F41="07",IF(W41&lt;1000,ROUNDUP((W41)*1/1000,0),ROUND((W41)*1/1000,0)),IF(F41="05",IF(X41&lt;1000,ROUNDUP((X41)*1/1000,0),ROUND((X41)*1/1000,0))))),0)</f>
        <v>0</v>
      </c>
      <c r="J41" s="996">
        <f>I41-H41</f>
        <v>0</v>
      </c>
      <c r="K41" s="285" t="str">
        <f>L41&amp;"("&amp;G41&amp;")"</f>
        <v>일용잡급(간접비)(보조금)</v>
      </c>
      <c r="L41" s="294" t="str">
        <f>L38</f>
        <v>일용잡급(간접비)</v>
      </c>
      <c r="M41" s="295"/>
      <c r="N41" s="997"/>
      <c r="O41" s="998"/>
      <c r="P41" s="999"/>
      <c r="Q41" s="998"/>
      <c r="R41" s="1000"/>
      <c r="S41" s="998"/>
      <c r="T41" s="998" t="s">
        <v>408</v>
      </c>
      <c r="U41" s="1001"/>
      <c r="V41" s="1002"/>
      <c r="W41" s="1003">
        <f>AA38</f>
        <v>0</v>
      </c>
      <c r="X41" s="1003"/>
      <c r="Y41" s="1003"/>
      <c r="Z41" s="101"/>
      <c r="AA41" s="101"/>
      <c r="AB41" s="101"/>
    </row>
    <row r="42" spans="1:28">
      <c r="A42" s="118"/>
      <c r="B42" s="118"/>
      <c r="C42" s="118"/>
      <c r="D42" s="134"/>
      <c r="E42" s="134"/>
      <c r="F42" s="1004" t="s">
        <v>85</v>
      </c>
      <c r="G42" s="1005" t="s">
        <v>19</v>
      </c>
      <c r="H42" s="1006">
        <f>IFERROR(IF(VLOOKUP(K42,데이터입력!$C$42:$L$137,5,FALSE)&lt;1000,ROUNDUP(VLOOKUP(K42,데이터입력!$C$42:$L$137,5,FALSE)*1/1000,0),ROUND(VLOOKUP(K42,데이터입력!$C$42:$L$137,5,FALSE)*1/1000,0)),0)</f>
        <v>0</v>
      </c>
      <c r="I42" s="1006">
        <f t="shared" si="12"/>
        <v>0</v>
      </c>
      <c r="J42" s="1007">
        <f>I42-H42</f>
        <v>0</v>
      </c>
      <c r="K42" s="286" t="str">
        <f t="shared" ref="K42" si="13">L42&amp;"("&amp;G42&amp;")"</f>
        <v>일용잡급(간접비)(후원금)</v>
      </c>
      <c r="L42" s="296" t="str">
        <f>L38</f>
        <v>일용잡급(간접비)</v>
      </c>
      <c r="M42" s="297"/>
      <c r="N42" s="1008"/>
      <c r="O42" s="1009"/>
      <c r="P42" s="1010"/>
      <c r="Q42" s="1009"/>
      <c r="R42" s="1011"/>
      <c r="S42" s="1009"/>
      <c r="T42" s="1009" t="s">
        <v>408</v>
      </c>
      <c r="U42" s="1012"/>
      <c r="V42" s="1013"/>
      <c r="W42" s="1014"/>
      <c r="X42" s="1013">
        <f>AB38</f>
        <v>0</v>
      </c>
      <c r="Y42" s="1013"/>
      <c r="Z42" s="101"/>
      <c r="AA42" s="101"/>
      <c r="AB42" s="101"/>
    </row>
    <row r="43" spans="1:28" s="303" customFormat="1">
      <c r="A43" s="118"/>
      <c r="B43" s="118"/>
      <c r="C43" s="1683" t="s">
        <v>437</v>
      </c>
      <c r="D43" s="1684"/>
      <c r="E43" s="149"/>
      <c r="F43" s="975"/>
      <c r="G43" s="976"/>
      <c r="H43" s="977">
        <f>SUM(H44:H53)</f>
        <v>14537</v>
      </c>
      <c r="I43" s="977">
        <f t="shared" ref="I43" si="14">SUM(I44:I53)</f>
        <v>15378</v>
      </c>
      <c r="J43" s="977">
        <f t="shared" ref="J43" si="15">SUM(J44:J53)</f>
        <v>841</v>
      </c>
      <c r="K43" s="977"/>
      <c r="L43" s="293"/>
      <c r="M43" s="293"/>
      <c r="N43" s="978"/>
      <c r="O43" s="979"/>
      <c r="P43" s="978"/>
      <c r="Q43" s="979"/>
      <c r="R43" s="978"/>
      <c r="S43" s="979"/>
      <c r="T43" s="979"/>
      <c r="U43" s="979"/>
      <c r="V43" s="980">
        <f>SUM(V44,V49)</f>
        <v>15378012</v>
      </c>
      <c r="W43" s="980">
        <f>SUM(W44,W49)</f>
        <v>0</v>
      </c>
      <c r="X43" s="980">
        <f>SUM(X44,X49)</f>
        <v>0</v>
      </c>
      <c r="Y43" s="980">
        <f>SUM(V43:X43)</f>
        <v>15378012</v>
      </c>
      <c r="Z43" s="101"/>
      <c r="AA43" s="101"/>
      <c r="AB43" s="101"/>
    </row>
    <row r="44" spans="1:28" ht="24">
      <c r="A44" s="118"/>
      <c r="B44" s="118"/>
      <c r="C44" s="133"/>
      <c r="D44" s="108" t="s">
        <v>46</v>
      </c>
      <c r="E44" s="108">
        <v>501010501</v>
      </c>
      <c r="F44" s="981" t="s">
        <v>83</v>
      </c>
      <c r="G44" s="982" t="s">
        <v>6</v>
      </c>
      <c r="H44" s="983">
        <f>IFERROR(IF(VLOOKUP(K44,데이터입력!$C$42:$L$137,5,FALSE)&lt;1000,ROUNDUP(VLOOKUP(K44,데이터입력!$C$42:$L$137,5,FALSE)*1/1000,0),ROUND(VLOOKUP(K44,데이터입력!$C$42:$L$137,5,FALSE)*1/1000,0)),0)</f>
        <v>9864</v>
      </c>
      <c r="I44" s="983">
        <f>IFERROR(IF(F44="06",IF(V44&lt;1000,ROUNDUP((V44)*1/1000,0),ROUND((V44)*1/1000,0)),IF(F44="07",IF(W44&lt;1000,ROUNDUP((W44)*1/1000,0),ROUND((W44)*1/1000,0)),IF(F44="05",IF(X44&lt;1000,ROUNDUP((X44)*1/1000,0),ROUND((X44)*1/1000,0))))),0)</f>
        <v>10578</v>
      </c>
      <c r="J44" s="983">
        <f>I44-H44</f>
        <v>714</v>
      </c>
      <c r="K44" s="984" t="str">
        <f>L44&amp;"("&amp;G44&amp;")"</f>
        <v>퇴직금 및 퇴직적립금(직접비)(수익사업)</v>
      </c>
      <c r="L44" s="112" t="str">
        <f>D44</f>
        <v>퇴직금 및 퇴직적립금(직접비)</v>
      </c>
      <c r="M44" s="113"/>
      <c r="N44" s="985"/>
      <c r="O44" s="986"/>
      <c r="P44" s="985"/>
      <c r="Q44" s="986"/>
      <c r="R44" s="985"/>
      <c r="S44" s="986"/>
      <c r="T44" s="986"/>
      <c r="U44" s="986"/>
      <c r="V44" s="987">
        <f>SUM(V45:V48)</f>
        <v>10578012</v>
      </c>
      <c r="W44" s="987">
        <f>SUM(W45:W48)</f>
        <v>0</v>
      </c>
      <c r="X44" s="987">
        <f>SUM(X45:X48)</f>
        <v>0</v>
      </c>
      <c r="Y44" s="987">
        <f>SUM(V44:X44)</f>
        <v>10578012</v>
      </c>
      <c r="Z44" s="155">
        <f>보수일람표!L262-AA44-AB44</f>
        <v>10578012</v>
      </c>
      <c r="AA44" s="155">
        <f>데이터입력!$T$106</f>
        <v>0</v>
      </c>
      <c r="AB44" s="151">
        <f>데이터입력!$T$136</f>
        <v>0</v>
      </c>
    </row>
    <row r="45" spans="1:28">
      <c r="A45" s="118"/>
      <c r="B45" s="118"/>
      <c r="C45" s="118"/>
      <c r="D45" s="118"/>
      <c r="E45" s="118"/>
      <c r="F45" s="988"/>
      <c r="G45" s="989"/>
      <c r="H45" s="990"/>
      <c r="I45" s="990"/>
      <c r="J45" s="990"/>
      <c r="K45" s="991"/>
      <c r="L45" s="127" t="str">
        <f>"  - "&amp;L44</f>
        <v xml:space="preserve">  - 퇴직금 및 퇴직적립금(직접비)</v>
      </c>
      <c r="M45" s="263"/>
      <c r="N45" s="961">
        <f>IF(R45="",Z44,ROUND(Z44/R45,0))</f>
        <v>881501</v>
      </c>
      <c r="O45" s="121" t="str">
        <f>IF(P45="","","x ")</f>
        <v/>
      </c>
      <c r="P45" s="963"/>
      <c r="Q45" s="962" t="s">
        <v>407</v>
      </c>
      <c r="R45" s="964">
        <f>데이터입력!$Y$8</f>
        <v>12</v>
      </c>
      <c r="S45" s="962"/>
      <c r="T45" s="962" t="s">
        <v>408</v>
      </c>
      <c r="U45" s="962"/>
      <c r="V45" s="965">
        <f>Z44</f>
        <v>10578012</v>
      </c>
      <c r="W45" s="967"/>
      <c r="X45" s="967"/>
      <c r="Y45" s="967"/>
      <c r="Z45" s="101"/>
      <c r="AA45" s="101"/>
      <c r="AB45" s="101"/>
    </row>
    <row r="46" spans="1:28">
      <c r="A46" s="118"/>
      <c r="B46" s="118"/>
      <c r="C46" s="118"/>
      <c r="D46" s="118"/>
      <c r="E46" s="118"/>
      <c r="F46" s="988"/>
      <c r="G46" s="989"/>
      <c r="H46" s="990"/>
      <c r="I46" s="990"/>
      <c r="J46" s="990"/>
      <c r="K46" s="992"/>
      <c r="L46" s="127" t="str">
        <f>IF(데이터입력!$BC$63=1,"     ( "&amp;보수일람표!$E$61&amp;" )",IF(데이터입력!$Y$27&lt;=0,"","     ( "&amp;IF(보수일람표!L61=0,보수일람표!$E$62,보수일람표!$E$61)&amp;" 외 "&amp;데이터입력!$BC$63-1&amp;" 명 )"))</f>
        <v xml:space="preserve">     ( 사회복지사 외 4 명 )</v>
      </c>
      <c r="M46" s="263"/>
      <c r="N46" s="961"/>
      <c r="O46" s="962"/>
      <c r="P46" s="963"/>
      <c r="Q46" s="962"/>
      <c r="R46" s="964"/>
      <c r="S46" s="962"/>
      <c r="T46" s="962"/>
      <c r="U46" s="962"/>
      <c r="V46" s="965"/>
      <c r="W46" s="967"/>
      <c r="X46" s="967"/>
      <c r="Y46" s="967"/>
      <c r="Z46" s="101"/>
      <c r="AA46" s="101"/>
      <c r="AB46" s="101"/>
    </row>
    <row r="47" spans="1:28">
      <c r="A47" s="118"/>
      <c r="B47" s="118"/>
      <c r="C47" s="118"/>
      <c r="D47" s="118"/>
      <c r="E47" s="118"/>
      <c r="F47" s="993" t="s">
        <v>422</v>
      </c>
      <c r="G47" s="994" t="s">
        <v>384</v>
      </c>
      <c r="H47" s="995">
        <f>IFERROR(IF(VLOOKUP(K47,데이터입력!$C$42:$L$137,5,FALSE)&lt;1000,ROUNDUP(VLOOKUP(K47,데이터입력!$C$42:$L$137,5,FALSE)*1/1000,0),ROUND(VLOOKUP(K47,데이터입력!$C$42:$L$137,5,FALSE)*1/1000,0)),0)</f>
        <v>0</v>
      </c>
      <c r="I47" s="995">
        <f t="shared" ref="I47:I48" si="16">IFERROR(IF(F47="06",IF(V47&lt;1000,ROUNDUP((V47)*1/1000,0),ROUND((V47)*1/1000,0)),IF(F47="07",IF(W47&lt;1000,ROUNDUP((W47)*1/1000,0),ROUND((W47)*1/1000,0)),IF(F47="05",IF(X47&lt;1000,ROUNDUP((X47)*1/1000,0),ROUND((X47)*1/1000,0))))),0)</f>
        <v>0</v>
      </c>
      <c r="J47" s="996">
        <f>I47-H47</f>
        <v>0</v>
      </c>
      <c r="K47" s="285" t="str">
        <f>L47&amp;"("&amp;G47&amp;")"</f>
        <v>퇴직금 및 퇴직적립금(직접비)(보조금)</v>
      </c>
      <c r="L47" s="294" t="str">
        <f>L44</f>
        <v>퇴직금 및 퇴직적립금(직접비)</v>
      </c>
      <c r="M47" s="295"/>
      <c r="N47" s="997"/>
      <c r="O47" s="998"/>
      <c r="P47" s="999"/>
      <c r="Q47" s="998"/>
      <c r="R47" s="1000"/>
      <c r="S47" s="998"/>
      <c r="T47" s="998" t="s">
        <v>408</v>
      </c>
      <c r="U47" s="1001"/>
      <c r="V47" s="1002"/>
      <c r="W47" s="1003">
        <f>AA44</f>
        <v>0</v>
      </c>
      <c r="X47" s="1003"/>
      <c r="Y47" s="1003"/>
      <c r="Z47" s="101"/>
    </row>
    <row r="48" spans="1:28">
      <c r="A48" s="118"/>
      <c r="B48" s="118"/>
      <c r="C48" s="118"/>
      <c r="D48" s="134"/>
      <c r="E48" s="134"/>
      <c r="F48" s="1004" t="s">
        <v>85</v>
      </c>
      <c r="G48" s="1005" t="s">
        <v>19</v>
      </c>
      <c r="H48" s="1006">
        <f>IFERROR(IF(VLOOKUP(K48,데이터입력!$C$42:$L$137,5,FALSE)&lt;1000,ROUNDUP(VLOOKUP(K48,데이터입력!$C$42:$L$137,5,FALSE)*1/1000,0),ROUND(VLOOKUP(K48,데이터입력!$C$42:$L$137,5,FALSE)*1/1000,0)),0)</f>
        <v>0</v>
      </c>
      <c r="I48" s="1006">
        <f t="shared" si="16"/>
        <v>0</v>
      </c>
      <c r="J48" s="1007">
        <f>I48-H48</f>
        <v>0</v>
      </c>
      <c r="K48" s="286" t="str">
        <f t="shared" ref="K48" si="17">L48&amp;"("&amp;G48&amp;")"</f>
        <v>퇴직금 및 퇴직적립금(직접비)(후원금)</v>
      </c>
      <c r="L48" s="296" t="str">
        <f>L44</f>
        <v>퇴직금 및 퇴직적립금(직접비)</v>
      </c>
      <c r="M48" s="297"/>
      <c r="N48" s="1008"/>
      <c r="O48" s="1009"/>
      <c r="P48" s="1010"/>
      <c r="Q48" s="1009"/>
      <c r="R48" s="1011"/>
      <c r="S48" s="1009"/>
      <c r="T48" s="1009" t="s">
        <v>408</v>
      </c>
      <c r="U48" s="1012"/>
      <c r="V48" s="1013"/>
      <c r="W48" s="1014"/>
      <c r="X48" s="1013">
        <f>AB44</f>
        <v>0</v>
      </c>
      <c r="Y48" s="1013"/>
      <c r="Z48" s="101"/>
      <c r="AA48" s="101"/>
      <c r="AB48" s="101"/>
    </row>
    <row r="49" spans="1:28" ht="24">
      <c r="A49" s="118"/>
      <c r="B49" s="118"/>
      <c r="C49" s="118"/>
      <c r="D49" s="108" t="s">
        <v>47</v>
      </c>
      <c r="E49" s="108">
        <v>501010502</v>
      </c>
      <c r="F49" s="981" t="s">
        <v>83</v>
      </c>
      <c r="G49" s="982" t="s">
        <v>6</v>
      </c>
      <c r="H49" s="983">
        <f>IFERROR(IF(VLOOKUP(K49,데이터입력!$C$42:$L$137,5,FALSE)&lt;1000,ROUNDUP(VLOOKUP(K49,데이터입력!$C$42:$L$137,5,FALSE)*1/1000,0),ROUND(VLOOKUP(K49,데이터입력!$C$42:$L$137,5,FALSE)*1/1000,0)),0)</f>
        <v>4673</v>
      </c>
      <c r="I49" s="983">
        <f>IFERROR(IF(F49="06",IF(V49&lt;1000,ROUNDUP((V49)*1/1000,0),ROUND((V49)*1/1000,0)),IF(F49="07",IF(W49&lt;1000,ROUNDUP((W49)*1/1000,0),ROUND((W49)*1/1000,0)),IF(F49="05",IF(X49&lt;1000,ROUNDUP((X49)*1/1000,0),ROUND((X49)*1/1000,0))))),0)</f>
        <v>4800</v>
      </c>
      <c r="J49" s="983">
        <f>I49-H49</f>
        <v>127</v>
      </c>
      <c r="K49" s="984" t="str">
        <f>L49&amp;"("&amp;G49&amp;")"</f>
        <v>퇴직금 및 퇴직적립금(간접비)(수익사업)</v>
      </c>
      <c r="L49" s="112" t="str">
        <f>D49</f>
        <v>퇴직금 및 퇴직적립금(간접비)</v>
      </c>
      <c r="M49" s="113"/>
      <c r="N49" s="985"/>
      <c r="O49" s="986"/>
      <c r="P49" s="985"/>
      <c r="Q49" s="986"/>
      <c r="R49" s="985"/>
      <c r="S49" s="986"/>
      <c r="T49" s="986"/>
      <c r="U49" s="986"/>
      <c r="V49" s="987">
        <f>SUM(V50:V53)</f>
        <v>4800000</v>
      </c>
      <c r="W49" s="987">
        <f>SUM(W50:W53)</f>
        <v>0</v>
      </c>
      <c r="X49" s="987">
        <f>SUM(X50:X53)</f>
        <v>0</v>
      </c>
      <c r="Y49" s="987">
        <f>SUM(V49:X49)</f>
        <v>4800000</v>
      </c>
      <c r="Z49" s="155">
        <f>보수일람표!L261-AA49-AB49</f>
        <v>4800000</v>
      </c>
      <c r="AA49" s="155">
        <f>데이터입력!$T$107</f>
        <v>0</v>
      </c>
      <c r="AB49" s="151">
        <f>데이터입력!$T$137</f>
        <v>0</v>
      </c>
    </row>
    <row r="50" spans="1:28">
      <c r="A50" s="118"/>
      <c r="B50" s="118"/>
      <c r="C50" s="118"/>
      <c r="D50" s="118"/>
      <c r="E50" s="118"/>
      <c r="F50" s="988"/>
      <c r="G50" s="989"/>
      <c r="H50" s="990"/>
      <c r="I50" s="990"/>
      <c r="J50" s="990"/>
      <c r="K50" s="991"/>
      <c r="L50" s="127" t="str">
        <f>"  - "&amp;L49</f>
        <v xml:space="preserve">  - 퇴직금 및 퇴직적립금(간접비)</v>
      </c>
      <c r="M50" s="263"/>
      <c r="N50" s="961">
        <f>IF(R50="",Z49,ROUND(Z49/R50,0))</f>
        <v>400000</v>
      </c>
      <c r="O50" s="121" t="str">
        <f>IF(P50="","","x ")</f>
        <v/>
      </c>
      <c r="P50" s="963"/>
      <c r="Q50" s="962" t="s">
        <v>407</v>
      </c>
      <c r="R50" s="964">
        <f>데이터입력!$Y$8</f>
        <v>12</v>
      </c>
      <c r="S50" s="962"/>
      <c r="T50" s="962" t="s">
        <v>408</v>
      </c>
      <c r="U50" s="962"/>
      <c r="V50" s="965">
        <f>Z49</f>
        <v>4800000</v>
      </c>
      <c r="W50" s="967"/>
      <c r="X50" s="967"/>
      <c r="Y50" s="967"/>
      <c r="Z50" s="101"/>
      <c r="AA50" s="101"/>
      <c r="AB50" s="101"/>
    </row>
    <row r="51" spans="1:28">
      <c r="A51" s="118"/>
      <c r="B51" s="118"/>
      <c r="C51" s="118"/>
      <c r="D51" s="118"/>
      <c r="E51" s="118"/>
      <c r="F51" s="988"/>
      <c r="G51" s="989"/>
      <c r="H51" s="990"/>
      <c r="I51" s="990"/>
      <c r="J51" s="990"/>
      <c r="K51" s="992"/>
      <c r="L51" s="127" t="str">
        <f>IF(데이터입력!$BC$11=1,"     ( "&amp;보수일람표!$E$11&amp;" )",IF(데이터입력!$Y$28&lt;=0,"","     ( "&amp;IF(보수일람표!L11=0,보수일람표!$E$12,보수일람표!$E$11)&amp;" 외 "&amp;데이터입력!$BC$11-1&amp;" 명 )"))</f>
        <v xml:space="preserve">     ( 시설장(관리책임자) 외 2 명 )</v>
      </c>
      <c r="M51" s="263"/>
      <c r="N51" s="961"/>
      <c r="O51" s="962"/>
      <c r="P51" s="963"/>
      <c r="Q51" s="962"/>
      <c r="R51" s="964"/>
      <c r="S51" s="962"/>
      <c r="T51" s="962"/>
      <c r="U51" s="962"/>
      <c r="V51" s="965"/>
      <c r="W51" s="967"/>
      <c r="X51" s="967"/>
      <c r="Y51" s="967"/>
      <c r="Z51" s="101"/>
      <c r="AA51" s="101"/>
      <c r="AB51" s="101"/>
    </row>
    <row r="52" spans="1:28">
      <c r="A52" s="118"/>
      <c r="B52" s="118"/>
      <c r="C52" s="118"/>
      <c r="D52" s="118"/>
      <c r="E52" s="118"/>
      <c r="F52" s="993" t="s">
        <v>422</v>
      </c>
      <c r="G52" s="994" t="s">
        <v>384</v>
      </c>
      <c r="H52" s="995">
        <f>IFERROR(IF(VLOOKUP(K52,데이터입력!$C$42:$L$137,5,FALSE)&lt;1000,ROUNDUP(VLOOKUP(K52,데이터입력!$C$42:$L$137,5,FALSE)*1/1000,0),ROUND(VLOOKUP(K52,데이터입력!$C$42:$L$137,5,FALSE)*1/1000,0)),0)</f>
        <v>0</v>
      </c>
      <c r="I52" s="995">
        <f t="shared" ref="I52:I53" si="18">IFERROR(IF(F52="06",IF(V52&lt;1000,ROUNDUP((V52)*1/1000,0),ROUND((V52)*1/1000,0)),IF(F52="07",IF(W52&lt;1000,ROUNDUP((W52)*1/1000,0),ROUND((W52)*1/1000,0)),IF(F52="05",IF(X52&lt;1000,ROUNDUP((X52)*1/1000,0),ROUND((X52)*1/1000,0))))),0)</f>
        <v>0</v>
      </c>
      <c r="J52" s="996">
        <f>I52-H52</f>
        <v>0</v>
      </c>
      <c r="K52" s="285" t="str">
        <f>L52&amp;"("&amp;G52&amp;")"</f>
        <v>퇴직금 및 퇴직적립금(간접비)(보조금)</v>
      </c>
      <c r="L52" s="294" t="str">
        <f>L49</f>
        <v>퇴직금 및 퇴직적립금(간접비)</v>
      </c>
      <c r="M52" s="295"/>
      <c r="N52" s="997"/>
      <c r="O52" s="998"/>
      <c r="P52" s="999"/>
      <c r="Q52" s="998"/>
      <c r="R52" s="1000"/>
      <c r="S52" s="998"/>
      <c r="T52" s="998" t="s">
        <v>408</v>
      </c>
      <c r="U52" s="1001"/>
      <c r="V52" s="1002"/>
      <c r="W52" s="1003">
        <f>AA49</f>
        <v>0</v>
      </c>
      <c r="X52" s="1003"/>
      <c r="Y52" s="1003"/>
      <c r="Z52" s="101"/>
      <c r="AA52" s="101"/>
      <c r="AB52" s="101"/>
    </row>
    <row r="53" spans="1:28">
      <c r="A53" s="118"/>
      <c r="B53" s="118"/>
      <c r="C53" s="118"/>
      <c r="D53" s="134"/>
      <c r="E53" s="134"/>
      <c r="F53" s="1004" t="s">
        <v>85</v>
      </c>
      <c r="G53" s="1005" t="s">
        <v>19</v>
      </c>
      <c r="H53" s="1006">
        <f>IFERROR(IF(VLOOKUP(K53,데이터입력!$C$42:$L$137,5,FALSE)&lt;1000,ROUNDUP(VLOOKUP(K53,데이터입력!$C$42:$L$137,5,FALSE)*1/1000,0),ROUND(VLOOKUP(K53,데이터입력!$C$42:$L$137,5,FALSE)*1/1000,0)),0)</f>
        <v>0</v>
      </c>
      <c r="I53" s="1006">
        <f t="shared" si="18"/>
        <v>0</v>
      </c>
      <c r="J53" s="1007">
        <f>I53-H53</f>
        <v>0</v>
      </c>
      <c r="K53" s="286" t="str">
        <f t="shared" ref="K53" si="19">L53&amp;"("&amp;G53&amp;")"</f>
        <v>퇴직금 및 퇴직적립금(간접비)(후원금)</v>
      </c>
      <c r="L53" s="296" t="str">
        <f>L49</f>
        <v>퇴직금 및 퇴직적립금(간접비)</v>
      </c>
      <c r="M53" s="297"/>
      <c r="N53" s="1008"/>
      <c r="O53" s="1009"/>
      <c r="P53" s="1010"/>
      <c r="Q53" s="1009"/>
      <c r="R53" s="1011"/>
      <c r="S53" s="1009"/>
      <c r="T53" s="1009" t="s">
        <v>408</v>
      </c>
      <c r="U53" s="1012"/>
      <c r="V53" s="1013"/>
      <c r="W53" s="1014"/>
      <c r="X53" s="1013">
        <f>AB49</f>
        <v>0</v>
      </c>
      <c r="Y53" s="1013"/>
      <c r="Z53" s="101"/>
      <c r="AA53" s="101"/>
      <c r="AB53" s="101"/>
    </row>
    <row r="54" spans="1:28" s="303" customFormat="1">
      <c r="A54" s="118"/>
      <c r="B54" s="118"/>
      <c r="C54" s="106" t="s">
        <v>438</v>
      </c>
      <c r="D54" s="149"/>
      <c r="E54" s="149"/>
      <c r="F54" s="975"/>
      <c r="G54" s="976"/>
      <c r="H54" s="977">
        <f>SUM(H55:H70)</f>
        <v>18244</v>
      </c>
      <c r="I54" s="977">
        <f t="shared" ref="I54:J54" si="20">SUM(I55:I70)</f>
        <v>21710</v>
      </c>
      <c r="J54" s="977">
        <f t="shared" si="20"/>
        <v>3466</v>
      </c>
      <c r="K54" s="977"/>
      <c r="L54" s="293"/>
      <c r="M54" s="293"/>
      <c r="N54" s="978"/>
      <c r="O54" s="979"/>
      <c r="P54" s="978"/>
      <c r="Q54" s="979"/>
      <c r="R54" s="978"/>
      <c r="S54" s="979"/>
      <c r="T54" s="979"/>
      <c r="U54" s="979"/>
      <c r="V54" s="980">
        <f>SUM(V55,V63)</f>
        <v>21710590</v>
      </c>
      <c r="W54" s="980">
        <f>SUM(W55,W63)</f>
        <v>0</v>
      </c>
      <c r="X54" s="980">
        <f>SUM(X55,X63)</f>
        <v>0</v>
      </c>
      <c r="Y54" s="980">
        <f>SUM(V54:X54)</f>
        <v>21710590</v>
      </c>
      <c r="Z54" s="101"/>
      <c r="AA54" s="101"/>
      <c r="AB54" s="101"/>
    </row>
    <row r="55" spans="1:28">
      <c r="A55" s="118"/>
      <c r="B55" s="118"/>
      <c r="C55" s="133"/>
      <c r="D55" s="1669" t="s">
        <v>48</v>
      </c>
      <c r="E55" s="108">
        <v>501010601</v>
      </c>
      <c r="F55" s="981" t="s">
        <v>83</v>
      </c>
      <c r="G55" s="982" t="s">
        <v>6</v>
      </c>
      <c r="H55" s="983">
        <f>IFERROR(IF(VLOOKUP(K55,데이터입력!$C$42:$L$137,5,FALSE)&lt;1000,ROUNDUP(VLOOKUP(K55,데이터입력!$C$42:$L$137,5,FALSE)*1/1000,0),ROUND(VLOOKUP(K55,데이터입력!$C$42:$L$137,5,FALSE)*1/1000,0)),0)</f>
        <v>12380</v>
      </c>
      <c r="I55" s="983">
        <f>IFERROR(IF(F55="06",IF(V55&lt;1000,ROUNDUP((V55)*1/1000,0),ROUND((V55)*1/1000,0)),IF(F55="07",IF(W55&lt;1000,ROUNDUP((W55)*1/1000,0),ROUND((W55)*1/1000,0)),IF(F55="05",IF(X55&lt;1000,ROUNDUP((X55)*1/1000,0),ROUND((X55)*1/1000,0))))),0)</f>
        <v>13276</v>
      </c>
      <c r="J55" s="983">
        <f>I55-H55</f>
        <v>896</v>
      </c>
      <c r="K55" s="984" t="str">
        <f>L55&amp;"("&amp;G55&amp;")"</f>
        <v>사회보험부담금(직접비)(수익사업)</v>
      </c>
      <c r="L55" s="112" t="str">
        <f>D55</f>
        <v>사회보험부담금(직접비)</v>
      </c>
      <c r="M55" s="113"/>
      <c r="N55" s="985"/>
      <c r="O55" s="986"/>
      <c r="P55" s="985"/>
      <c r="Q55" s="986"/>
      <c r="R55" s="985"/>
      <c r="S55" s="986"/>
      <c r="T55" s="986"/>
      <c r="U55" s="986"/>
      <c r="V55" s="987">
        <f>SUM(V56:V62)-W55-X55</f>
        <v>13276370</v>
      </c>
      <c r="W55" s="987">
        <f>SUM(W56:W62)</f>
        <v>0</v>
      </c>
      <c r="X55" s="987">
        <f>SUM(X56:X62)</f>
        <v>0</v>
      </c>
      <c r="Y55" s="987">
        <f>SUM(V55:X55)</f>
        <v>13276370</v>
      </c>
      <c r="Z55" s="155">
        <f>보수일람표!M262</f>
        <v>13276370</v>
      </c>
      <c r="AA55" s="155">
        <f>데이터입력!$T$108</f>
        <v>0</v>
      </c>
      <c r="AB55" s="151">
        <f>데이터입력!$T$138</f>
        <v>0</v>
      </c>
    </row>
    <row r="56" spans="1:28">
      <c r="A56" s="118"/>
      <c r="B56" s="118"/>
      <c r="C56" s="118"/>
      <c r="D56" s="1670"/>
      <c r="E56" s="118"/>
      <c r="F56" s="988"/>
      <c r="G56" s="989"/>
      <c r="H56" s="990"/>
      <c r="I56" s="990"/>
      <c r="J56" s="990"/>
      <c r="K56" s="992"/>
      <c r="L56" s="127" t="s">
        <v>439</v>
      </c>
      <c r="M56" s="263"/>
      <c r="N56" s="961">
        <f>보수일람표!$S$262*데이터입력!$AF$14</f>
        <v>10578000</v>
      </c>
      <c r="O56" s="121" t="str">
        <f>IF(P56="","","x ")</f>
        <v xml:space="preserve">x </v>
      </c>
      <c r="P56" s="1015">
        <f>데이터입력!$AB$12</f>
        <v>4.4999999999999998E-2</v>
      </c>
      <c r="Q56" s="962" t="s">
        <v>407</v>
      </c>
      <c r="R56" s="964">
        <f>데이터입력!$Y$8</f>
        <v>12</v>
      </c>
      <c r="S56" s="962"/>
      <c r="T56" s="962" t="s">
        <v>408</v>
      </c>
      <c r="U56" s="962"/>
      <c r="V56" s="965">
        <f>ROUND(IF(P56=0,N56*R56,N56*P56*R56),0)</f>
        <v>5712120</v>
      </c>
      <c r="W56" s="967"/>
      <c r="X56" s="967"/>
      <c r="Y56" s="967"/>
      <c r="Z56" s="101"/>
      <c r="AA56" s="101"/>
      <c r="AB56" s="101"/>
    </row>
    <row r="57" spans="1:28">
      <c r="A57" s="118"/>
      <c r="B57" s="118"/>
      <c r="C57" s="118"/>
      <c r="D57" s="1670"/>
      <c r="E57" s="118"/>
      <c r="F57" s="988"/>
      <c r="G57" s="989"/>
      <c r="H57" s="990"/>
      <c r="I57" s="990"/>
      <c r="J57" s="990"/>
      <c r="K57" s="992"/>
      <c r="L57" s="127" t="s">
        <v>440</v>
      </c>
      <c r="M57" s="263"/>
      <c r="N57" s="961">
        <f>보수일람표!$S$262*데이터입력!$AF$14</f>
        <v>10578000</v>
      </c>
      <c r="O57" s="121" t="str">
        <f>IF(P57="","","x ")</f>
        <v xml:space="preserve">x </v>
      </c>
      <c r="P57" s="1084">
        <f>데이터입력!$AB$13</f>
        <v>3.5450000000000002E-2</v>
      </c>
      <c r="Q57" s="962" t="s">
        <v>407</v>
      </c>
      <c r="R57" s="964">
        <f>데이터입력!$Y$8</f>
        <v>12</v>
      </c>
      <c r="S57" s="962"/>
      <c r="T57" s="962" t="s">
        <v>408</v>
      </c>
      <c r="U57" s="962"/>
      <c r="V57" s="965">
        <f>ROUND(IF(P57=0,N57*R57,N57*P57*R57),-1)</f>
        <v>4499880</v>
      </c>
      <c r="W57" s="967"/>
      <c r="X57" s="967"/>
      <c r="Y57" s="967"/>
      <c r="Z57" s="101"/>
      <c r="AA57" s="101"/>
      <c r="AB57" s="101"/>
    </row>
    <row r="58" spans="1:28">
      <c r="A58" s="118"/>
      <c r="B58" s="118"/>
      <c r="C58" s="118"/>
      <c r="D58" s="1670"/>
      <c r="E58" s="118"/>
      <c r="F58" s="988"/>
      <c r="G58" s="989"/>
      <c r="H58" s="990"/>
      <c r="I58" s="990"/>
      <c r="J58" s="990"/>
      <c r="K58" s="992"/>
      <c r="L58" s="299" t="s">
        <v>441</v>
      </c>
      <c r="M58" s="300"/>
      <c r="N58" s="961">
        <f>ROUND(보수일람표!$S$262*$P$57*데이터입력!$AF$14,-1)</f>
        <v>374990</v>
      </c>
      <c r="O58" s="121" t="str">
        <f>IF(P58="","","x ")</f>
        <v xml:space="preserve">x </v>
      </c>
      <c r="P58" s="1016">
        <f>데이터입력!$AB$14</f>
        <v>0.12809999999999999</v>
      </c>
      <c r="Q58" s="962" t="s">
        <v>407</v>
      </c>
      <c r="R58" s="964">
        <f>데이터입력!$Y$8</f>
        <v>12</v>
      </c>
      <c r="S58" s="962"/>
      <c r="T58" s="962" t="s">
        <v>408</v>
      </c>
      <c r="U58" s="962"/>
      <c r="V58" s="965">
        <f>ROUND(IF(P58=0,N58*R58,N58*P58*R58),-1)</f>
        <v>576430</v>
      </c>
      <c r="W58" s="967"/>
      <c r="X58" s="967"/>
      <c r="Y58" s="967"/>
      <c r="Z58" s="101"/>
      <c r="AA58" s="101"/>
      <c r="AB58" s="101"/>
    </row>
    <row r="59" spans="1:28">
      <c r="A59" s="118"/>
      <c r="B59" s="118"/>
      <c r="C59" s="118"/>
      <c r="D59" s="1670"/>
      <c r="E59" s="118"/>
      <c r="F59" s="988"/>
      <c r="G59" s="989"/>
      <c r="H59" s="990"/>
      <c r="I59" s="990"/>
      <c r="J59" s="990"/>
      <c r="K59" s="992"/>
      <c r="L59" s="299" t="s">
        <v>442</v>
      </c>
      <c r="M59" s="300"/>
      <c r="N59" s="961">
        <f>보수일람표!$S$262*데이터입력!$AF$14</f>
        <v>10578000</v>
      </c>
      <c r="O59" s="121" t="str">
        <f>IF(P59="","","x ")</f>
        <v xml:space="preserve">x </v>
      </c>
      <c r="P59" s="1016">
        <f>데이터입력!$AD$13</f>
        <v>1.15E-2</v>
      </c>
      <c r="Q59" s="962" t="s">
        <v>407</v>
      </c>
      <c r="R59" s="964">
        <f>데이터입력!$Y$8</f>
        <v>12</v>
      </c>
      <c r="S59" s="962"/>
      <c r="T59" s="962" t="s">
        <v>408</v>
      </c>
      <c r="U59" s="962"/>
      <c r="V59" s="965">
        <f>ROUND(IF(P59=0,N59*R59,N59*P59*R59),-1)</f>
        <v>1459760</v>
      </c>
      <c r="W59" s="967"/>
      <c r="X59" s="967"/>
      <c r="Y59" s="967"/>
      <c r="Z59" s="101"/>
      <c r="AA59" s="101"/>
      <c r="AB59" s="101"/>
    </row>
    <row r="60" spans="1:28">
      <c r="A60" s="118"/>
      <c r="B60" s="118"/>
      <c r="C60" s="118"/>
      <c r="D60" s="1670"/>
      <c r="E60" s="118"/>
      <c r="F60" s="988"/>
      <c r="G60" s="989"/>
      <c r="H60" s="990"/>
      <c r="I60" s="990"/>
      <c r="J60" s="990"/>
      <c r="K60" s="992"/>
      <c r="L60" s="299" t="s">
        <v>443</v>
      </c>
      <c r="M60" s="300"/>
      <c r="N60" s="961">
        <f>보수일람표!$S$262*데이터입력!$AF$14</f>
        <v>10578000</v>
      </c>
      <c r="O60" s="121" t="str">
        <f>IF(P60="","","x ")</f>
        <v xml:space="preserve">x </v>
      </c>
      <c r="P60" s="1016">
        <f>데이터입력!$AD$14</f>
        <v>8.0999999999999996E-3</v>
      </c>
      <c r="Q60" s="962" t="s">
        <v>407</v>
      </c>
      <c r="R60" s="964">
        <f>데이터입력!$Y$8</f>
        <v>12</v>
      </c>
      <c r="S60" s="962"/>
      <c r="T60" s="962" t="s">
        <v>408</v>
      </c>
      <c r="U60" s="962"/>
      <c r="V60" s="965">
        <f>ROUND(IF(P60=0,N60*R60,N60*P60*R60),-1)</f>
        <v>1028180</v>
      </c>
      <c r="W60" s="967"/>
      <c r="X60" s="967"/>
      <c r="Y60" s="967"/>
      <c r="Z60" s="101"/>
      <c r="AA60" s="101"/>
      <c r="AB60" s="101"/>
    </row>
    <row r="61" spans="1:28">
      <c r="A61" s="118"/>
      <c r="B61" s="118"/>
      <c r="C61" s="118"/>
      <c r="D61" s="118"/>
      <c r="E61" s="118"/>
      <c r="F61" s="993" t="s">
        <v>422</v>
      </c>
      <c r="G61" s="994" t="s">
        <v>384</v>
      </c>
      <c r="H61" s="995">
        <f>IFERROR(IF(VLOOKUP(K61,데이터입력!$C$42:$L$137,5,FALSE)&lt;1000,ROUNDUP(VLOOKUP(K61,데이터입력!$C$42:$L$137,5,FALSE)*1/1000,0),ROUND(VLOOKUP(K61,데이터입력!$C$42:$L$137,5,FALSE)*1/1000,0)),0)</f>
        <v>0</v>
      </c>
      <c r="I61" s="995">
        <f t="shared" ref="I61:I62" si="21">IFERROR(IF(F61="06",IF(V61&lt;1000,ROUNDUP((V61)*1/1000,0),ROUND((V61)*1/1000,0)),IF(F61="07",IF(W61&lt;1000,ROUNDUP((W61)*1/1000,0),ROUND((W61)*1/1000,0)),IF(F61="05",IF(X61&lt;1000,ROUNDUP((X61)*1/1000,0),ROUND((X61)*1/1000,0))))),0)</f>
        <v>0</v>
      </c>
      <c r="J61" s="996">
        <f>I61-H61</f>
        <v>0</v>
      </c>
      <c r="K61" s="285" t="str">
        <f>L61&amp;"("&amp;G61&amp;")"</f>
        <v>사회보험부담금(직접비)(보조금)</v>
      </c>
      <c r="L61" s="294" t="str">
        <f>L55</f>
        <v>사회보험부담금(직접비)</v>
      </c>
      <c r="M61" s="295"/>
      <c r="N61" s="997"/>
      <c r="O61" s="998"/>
      <c r="P61" s="999"/>
      <c r="Q61" s="998"/>
      <c r="R61" s="1000"/>
      <c r="S61" s="998"/>
      <c r="T61" s="998" t="s">
        <v>408</v>
      </c>
      <c r="U61" s="1001"/>
      <c r="V61" s="1002"/>
      <c r="W61" s="1003">
        <f>AA55</f>
        <v>0</v>
      </c>
      <c r="X61" s="1003"/>
      <c r="Y61" s="1003"/>
      <c r="Z61" s="101"/>
      <c r="AA61" s="101"/>
      <c r="AB61" s="101"/>
    </row>
    <row r="62" spans="1:28">
      <c r="A62" s="118"/>
      <c r="B62" s="118"/>
      <c r="C62" s="118"/>
      <c r="D62" s="134"/>
      <c r="E62" s="134"/>
      <c r="F62" s="1004" t="s">
        <v>85</v>
      </c>
      <c r="G62" s="1005" t="s">
        <v>19</v>
      </c>
      <c r="H62" s="1006">
        <f>IFERROR(IF(VLOOKUP(K62,데이터입력!$C$42:$L$137,5,FALSE)&lt;1000,ROUNDUP(VLOOKUP(K62,데이터입력!$C$42:$L$137,5,FALSE)*1/1000,0),ROUND(VLOOKUP(K62,데이터입력!$C$42:$L$137,5,FALSE)*1/1000,0)),0)</f>
        <v>0</v>
      </c>
      <c r="I62" s="1006">
        <f t="shared" si="21"/>
        <v>0</v>
      </c>
      <c r="J62" s="1007">
        <f>I62-H62</f>
        <v>0</v>
      </c>
      <c r="K62" s="286" t="str">
        <f t="shared" ref="K62" si="22">L62&amp;"("&amp;G62&amp;")"</f>
        <v>사회보험부담금(직접비)(후원금)</v>
      </c>
      <c r="L62" s="296" t="str">
        <f>L55</f>
        <v>사회보험부담금(직접비)</v>
      </c>
      <c r="M62" s="297"/>
      <c r="N62" s="1008"/>
      <c r="O62" s="1009"/>
      <c r="P62" s="1010"/>
      <c r="Q62" s="1009"/>
      <c r="R62" s="1011"/>
      <c r="S62" s="1009"/>
      <c r="T62" s="1009" t="s">
        <v>408</v>
      </c>
      <c r="U62" s="1012"/>
      <c r="V62" s="1013"/>
      <c r="W62" s="1014"/>
      <c r="X62" s="1013">
        <f>AB55</f>
        <v>0</v>
      </c>
      <c r="Y62" s="1013"/>
      <c r="Z62" s="101"/>
      <c r="AA62" s="101"/>
      <c r="AB62" s="101"/>
    </row>
    <row r="63" spans="1:28">
      <c r="A63" s="118"/>
      <c r="B63" s="118"/>
      <c r="C63" s="118"/>
      <c r="D63" s="1669" t="s">
        <v>49</v>
      </c>
      <c r="E63" s="108">
        <v>501010602</v>
      </c>
      <c r="F63" s="981" t="s">
        <v>83</v>
      </c>
      <c r="G63" s="982" t="s">
        <v>6</v>
      </c>
      <c r="H63" s="983">
        <f>IFERROR(IF(VLOOKUP(K63,데이터입력!$C$42:$L$137,5,FALSE)&lt;1000,ROUNDUP(VLOOKUP(K63,데이터입력!$C$42:$L$137,5,FALSE)*1/1000,0),ROUND(VLOOKUP(K63,데이터입력!$C$42:$L$137,5,FALSE)*1/1000,0)),0)</f>
        <v>5864</v>
      </c>
      <c r="I63" s="983">
        <f>IFERROR(IF(F63="06",IF(V63&lt;1000,ROUNDUP((V63)*1/1000,0),ROUND((V63)*1/1000,0)),IF(F63="07",IF(W63&lt;1000,ROUNDUP((W63)*1/1000,0),ROUND((W63)*1/1000,0)),IF(F63="05",IF(X63&lt;1000,ROUNDUP((X63)*1/1000,0),ROUND((X63)*1/1000,0))))),0)</f>
        <v>8434</v>
      </c>
      <c r="J63" s="983">
        <f>I63-H63</f>
        <v>2570</v>
      </c>
      <c r="K63" s="984" t="str">
        <f>L63&amp;"("&amp;G63&amp;")"</f>
        <v>사회보험부담금(간접비)(수익사업)</v>
      </c>
      <c r="L63" s="112" t="str">
        <f>D63</f>
        <v>사회보험부담금(간접비)</v>
      </c>
      <c r="M63" s="113"/>
      <c r="N63" s="985"/>
      <c r="O63" s="986"/>
      <c r="P63" s="1017"/>
      <c r="Q63" s="986"/>
      <c r="R63" s="985"/>
      <c r="S63" s="986"/>
      <c r="T63" s="986"/>
      <c r="U63" s="986"/>
      <c r="V63" s="987">
        <f>SUM(V64:V70)-W63-X63</f>
        <v>8434220</v>
      </c>
      <c r="W63" s="987">
        <f>SUM(W64:W70)</f>
        <v>0</v>
      </c>
      <c r="X63" s="987">
        <f>SUM(X64:X70)</f>
        <v>0</v>
      </c>
      <c r="Y63" s="987">
        <f>SUM(V63:X63)</f>
        <v>8434220</v>
      </c>
      <c r="Z63" s="155">
        <f>보수일람표!M261</f>
        <v>8434220</v>
      </c>
      <c r="AA63" s="155">
        <f>데이터입력!$T$109</f>
        <v>0</v>
      </c>
      <c r="AB63" s="151">
        <f>데이터입력!$T$139</f>
        <v>0</v>
      </c>
    </row>
    <row r="64" spans="1:28">
      <c r="A64" s="118"/>
      <c r="B64" s="118"/>
      <c r="C64" s="118"/>
      <c r="D64" s="1670"/>
      <c r="E64" s="118"/>
      <c r="F64" s="988"/>
      <c r="G64" s="989"/>
      <c r="H64" s="990"/>
      <c r="I64" s="990"/>
      <c r="J64" s="990"/>
      <c r="K64" s="992"/>
      <c r="L64" s="127" t="s">
        <v>439</v>
      </c>
      <c r="M64" s="263"/>
      <c r="N64" s="961">
        <f>보수일람표!$S$261*데이터입력!$AE$14</f>
        <v>6720000</v>
      </c>
      <c r="O64" s="121" t="str">
        <f>IF(P64="","","x ")</f>
        <v xml:space="preserve">x </v>
      </c>
      <c r="P64" s="1015">
        <f>데이터입력!$AB$12</f>
        <v>4.4999999999999998E-2</v>
      </c>
      <c r="Q64" s="962" t="s">
        <v>407</v>
      </c>
      <c r="R64" s="964">
        <f>데이터입력!$Y$8</f>
        <v>12</v>
      </c>
      <c r="S64" s="962"/>
      <c r="T64" s="962" t="s">
        <v>408</v>
      </c>
      <c r="U64" s="962"/>
      <c r="V64" s="965">
        <f>ROUND(IF(P64=0,N64*R64,N64*P64*R64),-1)</f>
        <v>3628800</v>
      </c>
      <c r="W64" s="967"/>
      <c r="X64" s="967"/>
      <c r="Y64" s="967"/>
      <c r="Z64" s="101"/>
      <c r="AA64" s="101"/>
      <c r="AB64" s="101"/>
    </row>
    <row r="65" spans="1:28">
      <c r="A65" s="118"/>
      <c r="B65" s="118"/>
      <c r="C65" s="118"/>
      <c r="D65" s="1670"/>
      <c r="E65" s="118"/>
      <c r="F65" s="988"/>
      <c r="G65" s="989"/>
      <c r="H65" s="990"/>
      <c r="I65" s="990"/>
      <c r="J65" s="990"/>
      <c r="K65" s="992"/>
      <c r="L65" s="127" t="s">
        <v>440</v>
      </c>
      <c r="M65" s="263"/>
      <c r="N65" s="961">
        <f>보수일람표!$S$261*데이터입력!$AE$14</f>
        <v>6720000</v>
      </c>
      <c r="O65" s="121" t="str">
        <f>IF(P65="","","x ")</f>
        <v xml:space="preserve">x </v>
      </c>
      <c r="P65" s="1084">
        <f>데이터입력!$AB$13</f>
        <v>3.5450000000000002E-2</v>
      </c>
      <c r="Q65" s="962" t="s">
        <v>407</v>
      </c>
      <c r="R65" s="964">
        <f>데이터입력!$Y$8</f>
        <v>12</v>
      </c>
      <c r="S65" s="962"/>
      <c r="T65" s="962" t="s">
        <v>408</v>
      </c>
      <c r="U65" s="962"/>
      <c r="V65" s="965">
        <f>ROUND(IF(P65=0,N65*R65,N65*P65*R65),-1)</f>
        <v>2858690</v>
      </c>
      <c r="W65" s="967"/>
      <c r="X65" s="967"/>
      <c r="Y65" s="967"/>
      <c r="Z65" s="101"/>
      <c r="AA65" s="101"/>
      <c r="AB65" s="101"/>
    </row>
    <row r="66" spans="1:28">
      <c r="A66" s="118"/>
      <c r="B66" s="118"/>
      <c r="C66" s="118"/>
      <c r="D66" s="1670"/>
      <c r="E66" s="118"/>
      <c r="F66" s="988"/>
      <c r="G66" s="989"/>
      <c r="H66" s="990"/>
      <c r="I66" s="990"/>
      <c r="J66" s="990"/>
      <c r="K66" s="992"/>
      <c r="L66" s="299" t="s">
        <v>441</v>
      </c>
      <c r="M66" s="300"/>
      <c r="N66" s="961">
        <f>ROUND(보수일람표!$S$261*$P$65*데이터입력!$AE$14,-1)</f>
        <v>238220</v>
      </c>
      <c r="O66" s="121" t="str">
        <f>IF(P66="","","x ")</f>
        <v xml:space="preserve">x </v>
      </c>
      <c r="P66" s="1016">
        <f>데이터입력!$AB$14</f>
        <v>0.12809999999999999</v>
      </c>
      <c r="Q66" s="962" t="s">
        <v>407</v>
      </c>
      <c r="R66" s="964">
        <f>데이터입력!$Y$8</f>
        <v>12</v>
      </c>
      <c r="S66" s="962"/>
      <c r="T66" s="962" t="s">
        <v>408</v>
      </c>
      <c r="U66" s="962"/>
      <c r="V66" s="965">
        <f>ROUND(IF(P66=0,N66*R66,N66*P66*R66),-1)</f>
        <v>366190</v>
      </c>
      <c r="W66" s="967"/>
      <c r="X66" s="967"/>
      <c r="Y66" s="967"/>
      <c r="Z66" s="101"/>
      <c r="AA66" s="101"/>
      <c r="AB66" s="101"/>
    </row>
    <row r="67" spans="1:28">
      <c r="A67" s="118"/>
      <c r="B67" s="118"/>
      <c r="C67" s="118"/>
      <c r="D67" s="1670"/>
      <c r="E67" s="118"/>
      <c r="F67" s="988"/>
      <c r="G67" s="989"/>
      <c r="H67" s="990"/>
      <c r="I67" s="990"/>
      <c r="J67" s="990"/>
      <c r="K67" s="992"/>
      <c r="L67" s="299" t="s">
        <v>442</v>
      </c>
      <c r="M67" s="300"/>
      <c r="N67" s="961">
        <f>보수일람표!$S$261*데이터입력!$AE$14</f>
        <v>6720000</v>
      </c>
      <c r="O67" s="121" t="str">
        <f>IF(P67="","","x ")</f>
        <v xml:space="preserve">x </v>
      </c>
      <c r="P67" s="1016">
        <f>데이터입력!$AD$13</f>
        <v>1.15E-2</v>
      </c>
      <c r="Q67" s="962" t="s">
        <v>407</v>
      </c>
      <c r="R67" s="964">
        <f>데이터입력!$Y$8</f>
        <v>12</v>
      </c>
      <c r="S67" s="962"/>
      <c r="T67" s="962" t="s">
        <v>408</v>
      </c>
      <c r="U67" s="962"/>
      <c r="V67" s="965">
        <f>ROUND(IF(P67=0,N67*R67,N67*P67*R67),-1)</f>
        <v>927360</v>
      </c>
      <c r="W67" s="967"/>
      <c r="X67" s="967"/>
      <c r="Y67" s="967"/>
      <c r="Z67" s="101"/>
      <c r="AA67" s="101"/>
      <c r="AB67" s="101"/>
    </row>
    <row r="68" spans="1:28">
      <c r="A68" s="118"/>
      <c r="B68" s="118"/>
      <c r="C68" s="118"/>
      <c r="D68" s="1670"/>
      <c r="E68" s="118"/>
      <c r="F68" s="988"/>
      <c r="G68" s="989"/>
      <c r="H68" s="990"/>
      <c r="I68" s="990"/>
      <c r="J68" s="990"/>
      <c r="K68" s="992"/>
      <c r="L68" s="299" t="s">
        <v>443</v>
      </c>
      <c r="M68" s="300"/>
      <c r="N68" s="961">
        <f>보수일람표!$S$261*데이터입력!$AE$14</f>
        <v>6720000</v>
      </c>
      <c r="O68" s="121" t="str">
        <f>IF(P68="","","x ")</f>
        <v xml:space="preserve">x </v>
      </c>
      <c r="P68" s="1016">
        <f>데이터입력!$AD$14</f>
        <v>8.0999999999999996E-3</v>
      </c>
      <c r="Q68" s="962" t="s">
        <v>407</v>
      </c>
      <c r="R68" s="964">
        <f>데이터입력!$Y$8</f>
        <v>12</v>
      </c>
      <c r="S68" s="962"/>
      <c r="T68" s="962" t="s">
        <v>408</v>
      </c>
      <c r="U68" s="962"/>
      <c r="V68" s="965">
        <f>ROUND(IF(P68=0,N68*R68,N68*P68*R68),-1)</f>
        <v>653180</v>
      </c>
      <c r="W68" s="967"/>
      <c r="X68" s="967"/>
      <c r="Y68" s="967"/>
      <c r="Z68" s="101"/>
      <c r="AA68" s="101"/>
      <c r="AB68" s="101"/>
    </row>
    <row r="69" spans="1:28">
      <c r="A69" s="118"/>
      <c r="B69" s="118"/>
      <c r="C69" s="118"/>
      <c r="D69" s="118"/>
      <c r="E69" s="118"/>
      <c r="F69" s="993" t="s">
        <v>422</v>
      </c>
      <c r="G69" s="994" t="s">
        <v>384</v>
      </c>
      <c r="H69" s="995">
        <f>IFERROR(IF(VLOOKUP(K69,데이터입력!$C$42:$L$137,5,FALSE)&lt;1000,ROUNDUP(VLOOKUP(K69,데이터입력!$C$42:$L$137,5,FALSE)*1/1000,0),ROUND(VLOOKUP(K69,데이터입력!$C$42:$L$137,5,FALSE)*1/1000,0)),0)</f>
        <v>0</v>
      </c>
      <c r="I69" s="995">
        <f t="shared" ref="I69:I70" si="23">IFERROR(IF(F69="06",IF(V69&lt;1000,ROUNDUP((V69)*1/1000,0),ROUND((V69)*1/1000,0)),IF(F69="07",IF(W69&lt;1000,ROUNDUP((W69)*1/1000,0),ROUND((W69)*1/1000,0)),IF(F69="05",IF(X69&lt;1000,ROUNDUP((X69)*1/1000,0),ROUND((X69)*1/1000,0))))),0)</f>
        <v>0</v>
      </c>
      <c r="J69" s="996">
        <f>I69-H69</f>
        <v>0</v>
      </c>
      <c r="K69" s="285" t="str">
        <f>L69&amp;"("&amp;G69&amp;")"</f>
        <v>사회보험부담금(간접비)(보조금)</v>
      </c>
      <c r="L69" s="294" t="str">
        <f>L63</f>
        <v>사회보험부담금(간접비)</v>
      </c>
      <c r="M69" s="295"/>
      <c r="N69" s="997"/>
      <c r="O69" s="998"/>
      <c r="P69" s="999"/>
      <c r="Q69" s="998"/>
      <c r="R69" s="1000"/>
      <c r="S69" s="998"/>
      <c r="T69" s="998" t="s">
        <v>408</v>
      </c>
      <c r="U69" s="1001"/>
      <c r="V69" s="1002"/>
      <c r="W69" s="1003">
        <f>AA63</f>
        <v>0</v>
      </c>
      <c r="X69" s="1003"/>
      <c r="Y69" s="1003"/>
      <c r="Z69" s="101"/>
      <c r="AA69" s="101"/>
      <c r="AB69" s="101"/>
    </row>
    <row r="70" spans="1:28">
      <c r="A70" s="118"/>
      <c r="B70" s="118"/>
      <c r="C70" s="118"/>
      <c r="D70" s="134"/>
      <c r="E70" s="134"/>
      <c r="F70" s="1004" t="s">
        <v>85</v>
      </c>
      <c r="G70" s="1005" t="s">
        <v>19</v>
      </c>
      <c r="H70" s="1006">
        <f>IFERROR(IF(VLOOKUP(K70,데이터입력!$C$42:$L$137,5,FALSE)&lt;1000,ROUNDUP(VLOOKUP(K70,데이터입력!$C$42:$L$137,5,FALSE)*1/1000,0),ROUND(VLOOKUP(K70,데이터입력!$C$42:$L$137,5,FALSE)*1/1000,0)),0)</f>
        <v>0</v>
      </c>
      <c r="I70" s="1006">
        <f t="shared" si="23"/>
        <v>0</v>
      </c>
      <c r="J70" s="1007">
        <f>I70-H70</f>
        <v>0</v>
      </c>
      <c r="K70" s="286" t="str">
        <f t="shared" ref="K70" si="24">L70&amp;"("&amp;G70&amp;")"</f>
        <v>사회보험부담금(간접비)(후원금)</v>
      </c>
      <c r="L70" s="296" t="str">
        <f>L63</f>
        <v>사회보험부담금(간접비)</v>
      </c>
      <c r="M70" s="297"/>
      <c r="N70" s="1008"/>
      <c r="O70" s="1009"/>
      <c r="P70" s="1010"/>
      <c r="Q70" s="1009"/>
      <c r="R70" s="1011"/>
      <c r="S70" s="1009"/>
      <c r="T70" s="1009" t="s">
        <v>408</v>
      </c>
      <c r="U70" s="1012"/>
      <c r="V70" s="1013"/>
      <c r="W70" s="1014"/>
      <c r="X70" s="1013">
        <f>AB63</f>
        <v>0</v>
      </c>
      <c r="Y70" s="1013"/>
      <c r="Z70" s="101"/>
      <c r="AA70" s="101"/>
      <c r="AB70" s="101"/>
    </row>
    <row r="71" spans="1:28" s="309" customFormat="1">
      <c r="A71" s="325"/>
      <c r="B71" s="310" t="s">
        <v>304</v>
      </c>
      <c r="C71" s="311"/>
      <c r="D71" s="312"/>
      <c r="E71" s="312"/>
      <c r="F71" s="1018"/>
      <c r="G71" s="1018"/>
      <c r="H71" s="301">
        <f>SUM(H72:H100)</f>
        <v>12000</v>
      </c>
      <c r="I71" s="301">
        <f>SUM(I72:I100)</f>
        <v>10800</v>
      </c>
      <c r="J71" s="301">
        <f>SUM(J72:J100)</f>
        <v>-1200</v>
      </c>
      <c r="K71" s="301"/>
      <c r="L71" s="313"/>
      <c r="M71" s="313"/>
      <c r="N71" s="313"/>
      <c r="O71" s="313"/>
      <c r="P71" s="313"/>
      <c r="Q71" s="313"/>
      <c r="R71" s="313"/>
      <c r="S71" s="313"/>
      <c r="T71" s="313"/>
      <c r="U71" s="313"/>
      <c r="V71" s="302">
        <f>SUM(V72,V82,V91)</f>
        <v>10800000</v>
      </c>
      <c r="W71" s="302">
        <f>SUM(W72,W82,W91)</f>
        <v>0</v>
      </c>
      <c r="X71" s="302">
        <f>SUM(X72,X82,X91)</f>
        <v>0</v>
      </c>
      <c r="Y71" s="302">
        <f>SUM(V71:X71)</f>
        <v>10800000</v>
      </c>
      <c r="Z71" s="156"/>
      <c r="AA71" s="156"/>
      <c r="AB71" s="156"/>
    </row>
    <row r="72" spans="1:28">
      <c r="A72" s="118"/>
      <c r="B72" s="118"/>
      <c r="C72" s="108" t="s">
        <v>50</v>
      </c>
      <c r="D72" s="108" t="s">
        <v>50</v>
      </c>
      <c r="E72" s="108">
        <v>501020101</v>
      </c>
      <c r="F72" s="981" t="s">
        <v>83</v>
      </c>
      <c r="G72" s="982" t="s">
        <v>6</v>
      </c>
      <c r="H72" s="983">
        <f>IFERROR(IF(VLOOKUP(K72,데이터입력!$C$42:$L$137,5,FALSE)&lt;1000,ROUNDUP(VLOOKUP(K72,데이터입력!$C$42:$L$137,5,FALSE)*1/1000,0),ROUND(VLOOKUP(K72,데이터입력!$C$42:$L$137,5,FALSE)*1/1000,0)),0)</f>
        <v>3600</v>
      </c>
      <c r="I72" s="983">
        <f>IFERROR(IF(F72="06",IF(V72&lt;1000,ROUNDUP((V72)*1/1000,0),ROUND((V72)*1/1000,0)),IF(F72="07",IF(W72&lt;1000,ROUNDUP((W72)*1/1000,0),ROUND((W72)*1/1000,0)),IF(F72="05",IF(X72&lt;1000,ROUNDUP((X72)*1/1000,0),ROUND((X72)*1/1000,0))))),0)</f>
        <v>1800</v>
      </c>
      <c r="J72" s="983">
        <f>I72-H72</f>
        <v>-1800</v>
      </c>
      <c r="K72" s="984" t="str">
        <f>L72&amp;"("&amp;G72&amp;")"</f>
        <v>기관운영비(수익사업)</v>
      </c>
      <c r="L72" s="112" t="str">
        <f>D72</f>
        <v>기관운영비</v>
      </c>
      <c r="M72" s="113"/>
      <c r="N72" s="985"/>
      <c r="O72" s="986"/>
      <c r="P72" s="985"/>
      <c r="Q72" s="986"/>
      <c r="R72" s="985"/>
      <c r="S72" s="986"/>
      <c r="T72" s="986"/>
      <c r="U72" s="986"/>
      <c r="V72" s="987">
        <f>SUM(V73:V81)</f>
        <v>1800000</v>
      </c>
      <c r="W72" s="987">
        <f>SUM(W73:W81)</f>
        <v>0</v>
      </c>
      <c r="X72" s="987">
        <f>SUM(X73:X81)</f>
        <v>0</v>
      </c>
      <c r="Y72" s="987">
        <f>SUM(V72:X72)</f>
        <v>1800000</v>
      </c>
      <c r="Z72" s="282">
        <f>IFERROR(VLOOKUP($L72,데이터입력!$R$67:$U$99,3,FALSE),0)</f>
        <v>1800000</v>
      </c>
      <c r="AA72" s="282">
        <f>IFERROR(VLOOKUP($L80,데이터입력!$R$100:$U$129,3,FALSE),0)</f>
        <v>0</v>
      </c>
      <c r="AB72" s="282">
        <f>IFERROR(VLOOKUP($L81,데이터입력!$R$130:$U$155,3,FALSE),0)</f>
        <v>0</v>
      </c>
    </row>
    <row r="73" spans="1:28">
      <c r="A73" s="118"/>
      <c r="B73" s="118"/>
      <c r="C73" s="118"/>
      <c r="D73" s="118"/>
      <c r="E73" s="118"/>
      <c r="F73" s="988"/>
      <c r="G73" s="989"/>
      <c r="H73" s="990"/>
      <c r="I73" s="990"/>
      <c r="J73" s="990"/>
      <c r="K73" s="991"/>
      <c r="L73" s="299" t="str">
        <f>"  - "&amp;데이터입력!AD35</f>
        <v xml:space="preserve">  - 상담,타시설 미팅등</v>
      </c>
      <c r="M73" s="300"/>
      <c r="N73" s="961">
        <f>데이터입력!AE35</f>
        <v>25000</v>
      </c>
      <c r="O73" s="121" t="str">
        <f>IF(P73="","","x ")</f>
        <v/>
      </c>
      <c r="P73" s="963"/>
      <c r="Q73" s="962" t="str">
        <f>IF(R73="","","x ")</f>
        <v xml:space="preserve">x </v>
      </c>
      <c r="R73" s="964">
        <f>IF(OR(데이터입력!AF35=0,데이터입력!AF35=""),데이터입력!$Y$8,데이터입력!AF35)</f>
        <v>12</v>
      </c>
      <c r="S73" s="962"/>
      <c r="T73" s="962" t="s">
        <v>408</v>
      </c>
      <c r="U73" s="962"/>
      <c r="V73" s="965">
        <f>IF(R73="",N73,N73*R73)</f>
        <v>300000</v>
      </c>
      <c r="W73" s="967"/>
      <c r="X73" s="967"/>
      <c r="Y73" s="967"/>
      <c r="Z73" s="283"/>
      <c r="AA73" s="283"/>
      <c r="AB73" s="284"/>
    </row>
    <row r="74" spans="1:28">
      <c r="A74" s="118"/>
      <c r="B74" s="118"/>
      <c r="C74" s="118"/>
      <c r="D74" s="118"/>
      <c r="E74" s="118"/>
      <c r="F74" s="988"/>
      <c r="G74" s="989"/>
      <c r="H74" s="990"/>
      <c r="I74" s="990"/>
      <c r="J74" s="990"/>
      <c r="K74" s="992"/>
      <c r="L74" s="299" t="str">
        <f>"  - "&amp;데이터입력!AD36</f>
        <v xml:space="preserve">  - 직원복지관련비용</v>
      </c>
      <c r="M74" s="300"/>
      <c r="N74" s="961">
        <f>데이터입력!AE36</f>
        <v>100000</v>
      </c>
      <c r="O74" s="121" t="str">
        <f>IF(P74="","","x ")</f>
        <v/>
      </c>
      <c r="P74" s="963"/>
      <c r="Q74" s="962" t="s">
        <v>407</v>
      </c>
      <c r="R74" s="964">
        <f>IF(OR(데이터입력!AF36=0,데이터입력!AF36=""),데이터입력!$Y$8,데이터입력!AF36)</f>
        <v>12</v>
      </c>
      <c r="S74" s="962"/>
      <c r="T74" s="962" t="s">
        <v>408</v>
      </c>
      <c r="U74" s="962"/>
      <c r="V74" s="965">
        <f t="shared" ref="V74:V79" si="25">IF(R74="",N74,N74*R74)</f>
        <v>1200000</v>
      </c>
      <c r="W74" s="967"/>
      <c r="X74" s="967"/>
      <c r="Y74" s="967"/>
      <c r="Z74" s="283"/>
      <c r="AA74" s="283"/>
      <c r="AB74" s="284"/>
    </row>
    <row r="75" spans="1:28">
      <c r="A75" s="118"/>
      <c r="B75" s="118"/>
      <c r="C75" s="118"/>
      <c r="D75" s="118"/>
      <c r="E75" s="118"/>
      <c r="F75" s="988"/>
      <c r="G75" s="989"/>
      <c r="H75" s="990"/>
      <c r="I75" s="990"/>
      <c r="J75" s="990"/>
      <c r="K75" s="992"/>
      <c r="L75" s="299" t="str">
        <f>"  - "&amp;데이터입력!AD37</f>
        <v xml:space="preserve">  - 경조사비(직원)</v>
      </c>
      <c r="M75" s="300"/>
      <c r="N75" s="961">
        <f>데이터입력!AE37</f>
        <v>100000</v>
      </c>
      <c r="O75" s="121" t="str">
        <f>IF(P75="","","x ")</f>
        <v/>
      </c>
      <c r="P75" s="963"/>
      <c r="Q75" s="962" t="str">
        <f t="shared" ref="Q75" si="26">IF(R75="","","x ")</f>
        <v xml:space="preserve">x </v>
      </c>
      <c r="R75" s="964">
        <f>IF(OR(데이터입력!AF37=0,데이터입력!AF37=""),데이터입력!$Y$8,데이터입력!AF37)</f>
        <v>3</v>
      </c>
      <c r="S75" s="962"/>
      <c r="T75" s="962" t="s">
        <v>408</v>
      </c>
      <c r="U75" s="962"/>
      <c r="V75" s="965">
        <f t="shared" si="25"/>
        <v>300000</v>
      </c>
      <c r="W75" s="967"/>
      <c r="X75" s="967"/>
      <c r="Y75" s="967"/>
      <c r="Z75" s="283"/>
      <c r="AA75" s="283"/>
      <c r="AB75" s="284"/>
    </row>
    <row r="76" spans="1:28">
      <c r="A76" s="118"/>
      <c r="B76" s="118"/>
      <c r="C76" s="118"/>
      <c r="D76" s="118"/>
      <c r="E76" s="118"/>
      <c r="F76" s="988"/>
      <c r="G76" s="989"/>
      <c r="H76" s="990"/>
      <c r="I76" s="990"/>
      <c r="J76" s="990"/>
      <c r="K76" s="992"/>
      <c r="L76" s="299" t="str">
        <f>"  - "&amp;데이터입력!AD38</f>
        <v xml:space="preserve">  - </v>
      </c>
      <c r="M76" s="300"/>
      <c r="N76" s="961">
        <f>데이터입력!AE38</f>
        <v>0</v>
      </c>
      <c r="O76" s="121" t="str">
        <f>IF(P76="","","x ")</f>
        <v/>
      </c>
      <c r="P76" s="963"/>
      <c r="Q76" s="962" t="s">
        <v>407</v>
      </c>
      <c r="R76" s="964">
        <f>IF(OR(데이터입력!AF38=0,데이터입력!AF38=""),데이터입력!$Y$8,데이터입력!AF38)</f>
        <v>12</v>
      </c>
      <c r="S76" s="962"/>
      <c r="T76" s="962" t="s">
        <v>408</v>
      </c>
      <c r="U76" s="962"/>
      <c r="V76" s="965">
        <f t="shared" si="25"/>
        <v>0</v>
      </c>
      <c r="W76" s="967"/>
      <c r="X76" s="967"/>
      <c r="Y76" s="967"/>
      <c r="Z76" s="283"/>
      <c r="AA76" s="283"/>
      <c r="AB76" s="284"/>
    </row>
    <row r="77" spans="1:28" hidden="1">
      <c r="A77" s="118"/>
      <c r="B77" s="118"/>
      <c r="C77" s="118"/>
      <c r="D77" s="118"/>
      <c r="E77" s="118"/>
      <c r="F77" s="988"/>
      <c r="G77" s="989"/>
      <c r="H77" s="990"/>
      <c r="I77" s="990"/>
      <c r="J77" s="990"/>
      <c r="K77" s="992"/>
      <c r="L77" s="299" t="str">
        <f>"  - "&amp;데이터입력!AD39</f>
        <v xml:space="preserve">  - </v>
      </c>
      <c r="M77" s="300"/>
      <c r="N77" s="961">
        <f>데이터입력!AE39</f>
        <v>0</v>
      </c>
      <c r="O77" s="962" t="str">
        <f t="shared" ref="O77" si="27">IF(R77="","","x ")</f>
        <v xml:space="preserve">x </v>
      </c>
      <c r="P77" s="963"/>
      <c r="Q77" s="962" t="str">
        <f t="shared" ref="Q77" si="28">IF(R77="","","x ")</f>
        <v xml:space="preserve">x </v>
      </c>
      <c r="R77" s="964">
        <f>IF(OR(데이터입력!AF39=0,데이터입력!AF39=""),데이터입력!$Y$8,데이터입력!AF39)</f>
        <v>12</v>
      </c>
      <c r="S77" s="962"/>
      <c r="T77" s="962" t="s">
        <v>408</v>
      </c>
      <c r="U77" s="962"/>
      <c r="V77" s="965">
        <f t="shared" si="25"/>
        <v>0</v>
      </c>
      <c r="W77" s="967"/>
      <c r="X77" s="967"/>
      <c r="Y77" s="967"/>
      <c r="Z77" s="283"/>
      <c r="AA77" s="283"/>
      <c r="AB77" s="284"/>
    </row>
    <row r="78" spans="1:28" hidden="1">
      <c r="A78" s="118"/>
      <c r="B78" s="118"/>
      <c r="C78" s="118"/>
      <c r="D78" s="118"/>
      <c r="E78" s="118"/>
      <c r="F78" s="988"/>
      <c r="G78" s="989"/>
      <c r="H78" s="990"/>
      <c r="I78" s="990"/>
      <c r="J78" s="990"/>
      <c r="K78" s="992"/>
      <c r="L78" s="299" t="str">
        <f>"  - "&amp;데이터입력!AD40</f>
        <v xml:space="preserve">  - </v>
      </c>
      <c r="M78" s="300"/>
      <c r="N78" s="961">
        <f>데이터입력!AE40</f>
        <v>0</v>
      </c>
      <c r="O78" s="962" t="s">
        <v>407</v>
      </c>
      <c r="P78" s="963"/>
      <c r="Q78" s="962" t="s">
        <v>407</v>
      </c>
      <c r="R78" s="964">
        <f>IF(OR(데이터입력!AF40=0,데이터입력!AF40=""),데이터입력!$Y$8,데이터입력!AF40)</f>
        <v>12</v>
      </c>
      <c r="S78" s="962"/>
      <c r="T78" s="962" t="s">
        <v>408</v>
      </c>
      <c r="U78" s="962"/>
      <c r="V78" s="965">
        <f t="shared" si="25"/>
        <v>0</v>
      </c>
      <c r="W78" s="967"/>
      <c r="X78" s="967"/>
      <c r="Y78" s="967"/>
      <c r="Z78" s="283"/>
      <c r="AA78" s="283"/>
      <c r="AB78" s="284"/>
    </row>
    <row r="79" spans="1:28" hidden="1">
      <c r="A79" s="118"/>
      <c r="B79" s="118"/>
      <c r="C79" s="118"/>
      <c r="D79" s="118"/>
      <c r="E79" s="118"/>
      <c r="F79" s="988"/>
      <c r="G79" s="989"/>
      <c r="H79" s="990"/>
      <c r="I79" s="990"/>
      <c r="J79" s="990"/>
      <c r="K79" s="992"/>
      <c r="L79" s="299" t="str">
        <f>"  - "&amp;데이터입력!AD41</f>
        <v xml:space="preserve">  - </v>
      </c>
      <c r="M79" s="300"/>
      <c r="N79" s="961">
        <f>데이터입력!AE41</f>
        <v>0</v>
      </c>
      <c r="O79" s="962" t="str">
        <f t="shared" ref="O79" si="29">IF(R79="","","x ")</f>
        <v xml:space="preserve">x </v>
      </c>
      <c r="P79" s="963"/>
      <c r="Q79" s="962" t="str">
        <f t="shared" ref="Q79" si="30">IF(R79="","","x ")</f>
        <v xml:space="preserve">x </v>
      </c>
      <c r="R79" s="964">
        <f>IF(OR(데이터입력!AF41=0,데이터입력!AF41=""),데이터입력!$Y$8,데이터입력!AF41)</f>
        <v>12</v>
      </c>
      <c r="S79" s="962"/>
      <c r="T79" s="962" t="s">
        <v>408</v>
      </c>
      <c r="U79" s="962"/>
      <c r="V79" s="965">
        <f t="shared" si="25"/>
        <v>0</v>
      </c>
      <c r="W79" s="967"/>
      <c r="X79" s="967"/>
      <c r="Y79" s="967"/>
      <c r="Z79" s="283"/>
      <c r="AA79" s="283"/>
      <c r="AB79" s="284"/>
    </row>
    <row r="80" spans="1:28">
      <c r="A80" s="118"/>
      <c r="B80" s="118"/>
      <c r="C80" s="118"/>
      <c r="D80" s="118"/>
      <c r="E80" s="118"/>
      <c r="F80" s="993" t="s">
        <v>422</v>
      </c>
      <c r="G80" s="994" t="s">
        <v>384</v>
      </c>
      <c r="H80" s="995">
        <f>IFERROR(IF(VLOOKUP(K80,데이터입력!$C$42:$L$137,5,FALSE)&lt;1000,ROUNDUP(VLOOKUP(K80,데이터입력!$C$42:$L$137,5,FALSE)*1/1000,0),ROUND(VLOOKUP(K80,데이터입력!$C$42:$L$137,5,FALSE)*1/1000,0)),0)</f>
        <v>0</v>
      </c>
      <c r="I80" s="995">
        <f t="shared" ref="I80:I81" si="31">IFERROR(IF(F80="06",IF(V80&lt;1000,ROUNDUP((V80)*1/1000,0),ROUND((V80)*1/1000,0)),IF(F80="07",IF(W80&lt;1000,ROUNDUP((W80)*1/1000,0),ROUND((W80)*1/1000,0)),IF(F80="05",IF(X80&lt;1000,ROUNDUP((X80)*1/1000,0),ROUND((X80)*1/1000,0))))),0)</f>
        <v>0</v>
      </c>
      <c r="J80" s="996">
        <f>I80-H80</f>
        <v>0</v>
      </c>
      <c r="K80" s="285" t="str">
        <f>L80&amp;"("&amp;G80&amp;")"</f>
        <v>기관운영비(보조금)</v>
      </c>
      <c r="L80" s="294" t="str">
        <f>L72</f>
        <v>기관운영비</v>
      </c>
      <c r="M80" s="295"/>
      <c r="N80" s="997">
        <f>IF(R80="",AA72,ROUNDUP(AA72/R80,-3))</f>
        <v>0</v>
      </c>
      <c r="O80" s="1310" t="str">
        <f t="shared" ref="O80:O81" si="32">IF(P80="","","x ")</f>
        <v/>
      </c>
      <c r="P80" s="999"/>
      <c r="Q80" s="998" t="s">
        <v>407</v>
      </c>
      <c r="R80" s="1000">
        <f>IF(VLOOKUP($L80,데이터입력!$R$100:$U$129,4,FALSE)="",데이터입력!$Y$8,VLOOKUP($L80,데이터입력!$R$100:$U$129,4,FALSE))</f>
        <v>12</v>
      </c>
      <c r="S80" s="998"/>
      <c r="T80" s="998" t="s">
        <v>408</v>
      </c>
      <c r="U80" s="998"/>
      <c r="V80" s="1003"/>
      <c r="W80" s="1003">
        <f>IF(P80=0,N80*R80,N80*P80*R80)</f>
        <v>0</v>
      </c>
      <c r="X80" s="1003"/>
      <c r="Y80" s="1003"/>
      <c r="Z80" s="284"/>
      <c r="AA80" s="284"/>
      <c r="AB80" s="284"/>
    </row>
    <row r="81" spans="1:28">
      <c r="A81" s="118"/>
      <c r="B81" s="118"/>
      <c r="C81" s="118"/>
      <c r="D81" s="118"/>
      <c r="E81" s="118"/>
      <c r="F81" s="1004" t="s">
        <v>85</v>
      </c>
      <c r="G81" s="1005" t="s">
        <v>19</v>
      </c>
      <c r="H81" s="1006">
        <f>IFERROR(IF(VLOOKUP(K81,데이터입력!$C$42:$L$137,5,FALSE)&lt;1000,ROUNDUP(VLOOKUP(K81,데이터입력!$C$42:$L$137,5,FALSE)*1/1000,0),ROUND(VLOOKUP(K81,데이터입력!$C$42:$L$137,5,FALSE)*1/1000,0)),0)</f>
        <v>0</v>
      </c>
      <c r="I81" s="1006">
        <f t="shared" si="31"/>
        <v>0</v>
      </c>
      <c r="J81" s="1007">
        <f>I81-H81</f>
        <v>0</v>
      </c>
      <c r="K81" s="286" t="str">
        <f t="shared" ref="K81" si="33">L81&amp;"("&amp;G81&amp;")"</f>
        <v>기관운영비(후원금)</v>
      </c>
      <c r="L81" s="296" t="str">
        <f>L72</f>
        <v>기관운영비</v>
      </c>
      <c r="M81" s="297"/>
      <c r="N81" s="1008">
        <f>IF(R81="",AB72,ROUNDUP(AB72/R81,-3))</f>
        <v>0</v>
      </c>
      <c r="O81" s="1309" t="str">
        <f t="shared" si="32"/>
        <v/>
      </c>
      <c r="P81" s="1010"/>
      <c r="Q81" s="1009" t="s">
        <v>407</v>
      </c>
      <c r="R81" s="1011">
        <f>IF(VLOOKUP($L81,데이터입력!$R$130:$U$155,4,FALSE)="",데이터입력!$Y$8,VLOOKUP($L81,데이터입력!$R$130:$U$155,4,FALSE))</f>
        <v>12</v>
      </c>
      <c r="S81" s="1009"/>
      <c r="T81" s="1009" t="s">
        <v>408</v>
      </c>
      <c r="U81" s="1009"/>
      <c r="V81" s="1014"/>
      <c r="W81" s="1014"/>
      <c r="X81" s="1013">
        <f>IF(P81=0,N81*R81,N81*P81*R81)</f>
        <v>0</v>
      </c>
      <c r="Y81" s="1013"/>
      <c r="Z81" s="101"/>
      <c r="AA81" s="101"/>
      <c r="AB81" s="101"/>
    </row>
    <row r="82" spans="1:28">
      <c r="A82" s="118"/>
      <c r="B82" s="118"/>
      <c r="C82" s="108" t="s">
        <v>51</v>
      </c>
      <c r="D82" s="108" t="s">
        <v>51</v>
      </c>
      <c r="E82" s="108">
        <v>501020201</v>
      </c>
      <c r="F82" s="981" t="s">
        <v>83</v>
      </c>
      <c r="G82" s="982" t="s">
        <v>6</v>
      </c>
      <c r="H82" s="983">
        <f>IFERROR(IF(VLOOKUP(K82,데이터입력!$C$42:$L$137,5,FALSE)&lt;1000,ROUNDUP(VLOOKUP(K82,데이터입력!$C$42:$L$137,5,FALSE)*1/1000,0),ROUND(VLOOKUP(K82,데이터입력!$C$42:$L$137,5,FALSE)*1/1000,0)),0)</f>
        <v>8400</v>
      </c>
      <c r="I82" s="983">
        <f>IFERROR(IF(F82="06",IF(V82&lt;1000,ROUNDUP((V82)*1/1000,0),ROUND((V82)*1/1000,0)),IF(F82="07",IF(W82&lt;1000,ROUNDUP((W82)*1/1000,0),ROUND((W82)*1/1000,0)),IF(F82="05",IF(X82&lt;1000,ROUNDUP((X82)*1/1000,0),ROUND((X82)*1/1000,0))))),0)</f>
        <v>9000</v>
      </c>
      <c r="J82" s="983">
        <f>I82-H82</f>
        <v>600</v>
      </c>
      <c r="K82" s="984" t="str">
        <f>L82&amp;"("&amp;G82&amp;")"</f>
        <v>직책보조비(수익사업)</v>
      </c>
      <c r="L82" s="112" t="str">
        <f>D82</f>
        <v>직책보조비</v>
      </c>
      <c r="M82" s="113"/>
      <c r="N82" s="985"/>
      <c r="O82" s="986"/>
      <c r="P82" s="985"/>
      <c r="Q82" s="986"/>
      <c r="R82" s="985"/>
      <c r="S82" s="986"/>
      <c r="T82" s="986"/>
      <c r="U82" s="986"/>
      <c r="V82" s="987">
        <f>SUM(V83:V90)</f>
        <v>9000000</v>
      </c>
      <c r="W82" s="987">
        <f>SUM(W83:W91)</f>
        <v>0</v>
      </c>
      <c r="X82" s="987">
        <f>SUM(X83:X91)</f>
        <v>0</v>
      </c>
      <c r="Y82" s="987">
        <f>SUM(V82:X82)</f>
        <v>9000000</v>
      </c>
      <c r="Z82" s="282">
        <f>IFERROR(VLOOKUP($L82,데이터입력!$R$67:$U$99,3,FALSE),0)</f>
        <v>9000000</v>
      </c>
      <c r="AA82" s="282">
        <f>IFERROR(VLOOKUP($L90,데이터입력!$R$100:$U$129,3,FALSE),0)</f>
        <v>0</v>
      </c>
      <c r="AB82" s="282">
        <f>IFERROR(VLOOKUP($L91,데이터입력!$R$130:$U$155,3,FALSE),0)</f>
        <v>0</v>
      </c>
    </row>
    <row r="83" spans="1:28">
      <c r="A83" s="118"/>
      <c r="B83" s="118"/>
      <c r="C83" s="118"/>
      <c r="D83" s="118"/>
      <c r="E83" s="118"/>
      <c r="F83" s="988"/>
      <c r="G83" s="989"/>
      <c r="H83" s="990"/>
      <c r="I83" s="990"/>
      <c r="J83" s="990"/>
      <c r="K83" s="992"/>
      <c r="L83" s="299" t="str">
        <f>"  - "&amp;데이터입력!X35</f>
        <v xml:space="preserve">  - 직책보조비</v>
      </c>
      <c r="M83" s="263"/>
      <c r="N83" s="961">
        <f>데이터입력!Y35</f>
        <v>750000</v>
      </c>
      <c r="O83" s="121" t="str">
        <f t="shared" ref="O83:O89" si="34">IF(P83="","","x ")</f>
        <v/>
      </c>
      <c r="P83" s="963"/>
      <c r="Q83" s="962" t="str">
        <f>IF(R83="","","x ")</f>
        <v xml:space="preserve">x </v>
      </c>
      <c r="R83" s="964">
        <f>IF(VLOOKUP($L82,데이터입력!$R$67:$U$99,4,FALSE)="",데이터입력!$Y$8,VLOOKUP($L82,데이터입력!$R$67:$U$99,4,FALSE))</f>
        <v>12</v>
      </c>
      <c r="S83" s="962"/>
      <c r="T83" s="962" t="s">
        <v>408</v>
      </c>
      <c r="U83" s="962"/>
      <c r="V83" s="965">
        <f>IF(R83="",N83,N83*R83)</f>
        <v>9000000</v>
      </c>
      <c r="W83" s="967"/>
      <c r="X83" s="967"/>
      <c r="Y83" s="967"/>
      <c r="Z83" s="283"/>
      <c r="AA83" s="283"/>
      <c r="AB83" s="284"/>
    </row>
    <row r="84" spans="1:28">
      <c r="A84" s="118"/>
      <c r="B84" s="118"/>
      <c r="C84" s="118"/>
      <c r="D84" s="118"/>
      <c r="E84" s="118"/>
      <c r="F84" s="988"/>
      <c r="G84" s="989"/>
      <c r="H84" s="990"/>
      <c r="I84" s="990"/>
      <c r="J84" s="990"/>
      <c r="K84" s="992"/>
      <c r="L84" s="299" t="str">
        <f>"  - "&amp;데이터입력!X36</f>
        <v xml:space="preserve">  - </v>
      </c>
      <c r="M84" s="263"/>
      <c r="N84" s="961">
        <f>데이터입력!Y36</f>
        <v>0</v>
      </c>
      <c r="O84" s="121" t="str">
        <f t="shared" si="34"/>
        <v/>
      </c>
      <c r="P84" s="963"/>
      <c r="Q84" s="962" t="s">
        <v>407</v>
      </c>
      <c r="R84" s="964">
        <f>데이터입력!$Y$8</f>
        <v>12</v>
      </c>
      <c r="S84" s="962"/>
      <c r="T84" s="962" t="s">
        <v>408</v>
      </c>
      <c r="U84" s="962"/>
      <c r="V84" s="965">
        <f t="shared" ref="V84:V89" si="35">IF(R84="",N84,N84*R84)</f>
        <v>0</v>
      </c>
      <c r="W84" s="967"/>
      <c r="X84" s="967"/>
      <c r="Y84" s="967"/>
      <c r="Z84" s="283"/>
      <c r="AA84" s="283"/>
      <c r="AB84" s="284"/>
    </row>
    <row r="85" spans="1:28" hidden="1">
      <c r="A85" s="118"/>
      <c r="B85" s="118"/>
      <c r="C85" s="118"/>
      <c r="D85" s="118"/>
      <c r="E85" s="118"/>
      <c r="F85" s="988"/>
      <c r="G85" s="989"/>
      <c r="H85" s="990"/>
      <c r="I85" s="990"/>
      <c r="J85" s="990"/>
      <c r="K85" s="992"/>
      <c r="L85" s="299" t="str">
        <f>"  - "&amp;데이터입력!X37</f>
        <v xml:space="preserve">  - </v>
      </c>
      <c r="M85" s="263"/>
      <c r="N85" s="961">
        <f>데이터입력!Y37</f>
        <v>0</v>
      </c>
      <c r="O85" s="121" t="str">
        <f t="shared" si="34"/>
        <v/>
      </c>
      <c r="P85" s="963"/>
      <c r="Q85" s="962" t="s">
        <v>407</v>
      </c>
      <c r="R85" s="964">
        <f>데이터입력!$Y$8</f>
        <v>12</v>
      </c>
      <c r="S85" s="962"/>
      <c r="T85" s="962" t="s">
        <v>408</v>
      </c>
      <c r="U85" s="962"/>
      <c r="V85" s="965">
        <f t="shared" si="35"/>
        <v>0</v>
      </c>
      <c r="W85" s="967"/>
      <c r="X85" s="967"/>
      <c r="Y85" s="967"/>
      <c r="Z85" s="283"/>
      <c r="AA85" s="283"/>
      <c r="AB85" s="284"/>
    </row>
    <row r="86" spans="1:28" hidden="1">
      <c r="A86" s="118"/>
      <c r="B86" s="118"/>
      <c r="C86" s="118"/>
      <c r="D86" s="118"/>
      <c r="E86" s="118"/>
      <c r="F86" s="988"/>
      <c r="G86" s="989"/>
      <c r="H86" s="990"/>
      <c r="I86" s="990"/>
      <c r="J86" s="990"/>
      <c r="K86" s="992"/>
      <c r="L86" s="299" t="str">
        <f>"  - "&amp;데이터입력!X38</f>
        <v xml:space="preserve">  - </v>
      </c>
      <c r="M86" s="263"/>
      <c r="N86" s="961">
        <f>데이터입력!Y38</f>
        <v>0</v>
      </c>
      <c r="O86" s="121" t="str">
        <f t="shared" si="34"/>
        <v/>
      </c>
      <c r="P86" s="963"/>
      <c r="Q86" s="962" t="s">
        <v>407</v>
      </c>
      <c r="R86" s="964">
        <f>데이터입력!$Y$8</f>
        <v>12</v>
      </c>
      <c r="S86" s="962"/>
      <c r="T86" s="962" t="s">
        <v>408</v>
      </c>
      <c r="U86" s="962"/>
      <c r="V86" s="965">
        <f t="shared" si="35"/>
        <v>0</v>
      </c>
      <c r="W86" s="967"/>
      <c r="X86" s="967"/>
      <c r="Y86" s="967"/>
      <c r="Z86" s="283"/>
      <c r="AA86" s="283"/>
      <c r="AB86" s="284"/>
    </row>
    <row r="87" spans="1:28" hidden="1">
      <c r="A87" s="118"/>
      <c r="B87" s="118"/>
      <c r="C87" s="118"/>
      <c r="D87" s="118"/>
      <c r="E87" s="118"/>
      <c r="F87" s="988"/>
      <c r="G87" s="989"/>
      <c r="H87" s="990"/>
      <c r="I87" s="990"/>
      <c r="J87" s="990"/>
      <c r="K87" s="992"/>
      <c r="L87" s="299" t="str">
        <f>"  - "&amp;데이터입력!X39</f>
        <v xml:space="preserve">  - </v>
      </c>
      <c r="M87" s="263"/>
      <c r="N87" s="961">
        <f>데이터입력!Y39</f>
        <v>0</v>
      </c>
      <c r="O87" s="121" t="str">
        <f t="shared" si="34"/>
        <v/>
      </c>
      <c r="P87" s="963"/>
      <c r="Q87" s="962" t="s">
        <v>407</v>
      </c>
      <c r="R87" s="964">
        <f>데이터입력!$Y$8</f>
        <v>12</v>
      </c>
      <c r="S87" s="962"/>
      <c r="T87" s="962" t="s">
        <v>408</v>
      </c>
      <c r="U87" s="962"/>
      <c r="V87" s="965">
        <f t="shared" si="35"/>
        <v>0</v>
      </c>
      <c r="W87" s="967"/>
      <c r="X87" s="967"/>
      <c r="Y87" s="967"/>
      <c r="Z87" s="283"/>
      <c r="AA87" s="283"/>
      <c r="AB87" s="284"/>
    </row>
    <row r="88" spans="1:28" hidden="1">
      <c r="A88" s="118"/>
      <c r="B88" s="118"/>
      <c r="C88" s="118"/>
      <c r="D88" s="118"/>
      <c r="E88" s="118"/>
      <c r="F88" s="988"/>
      <c r="G88" s="989"/>
      <c r="H88" s="990"/>
      <c r="I88" s="990"/>
      <c r="J88" s="990"/>
      <c r="K88" s="992"/>
      <c r="L88" s="299" t="str">
        <f>"  - "&amp;데이터입력!X40</f>
        <v xml:space="preserve">  - </v>
      </c>
      <c r="M88" s="263"/>
      <c r="N88" s="961">
        <f>데이터입력!Y40</f>
        <v>0</v>
      </c>
      <c r="O88" s="121" t="str">
        <f t="shared" si="34"/>
        <v/>
      </c>
      <c r="P88" s="963"/>
      <c r="Q88" s="962" t="s">
        <v>407</v>
      </c>
      <c r="R88" s="964">
        <f>데이터입력!$Y$8</f>
        <v>12</v>
      </c>
      <c r="S88" s="962"/>
      <c r="T88" s="962" t="s">
        <v>408</v>
      </c>
      <c r="U88" s="962"/>
      <c r="V88" s="965">
        <f t="shared" si="35"/>
        <v>0</v>
      </c>
      <c r="W88" s="967"/>
      <c r="X88" s="967"/>
      <c r="Y88" s="967"/>
      <c r="Z88" s="283"/>
      <c r="AA88" s="283"/>
      <c r="AB88" s="284"/>
    </row>
    <row r="89" spans="1:28" hidden="1">
      <c r="A89" s="118"/>
      <c r="B89" s="118"/>
      <c r="C89" s="118"/>
      <c r="D89" s="118"/>
      <c r="E89" s="118"/>
      <c r="F89" s="988"/>
      <c r="G89" s="989"/>
      <c r="H89" s="990"/>
      <c r="I89" s="990"/>
      <c r="J89" s="990"/>
      <c r="K89" s="992"/>
      <c r="L89" s="299" t="str">
        <f>"  - "&amp;데이터입력!X41</f>
        <v xml:space="preserve">  - </v>
      </c>
      <c r="M89" s="263"/>
      <c r="N89" s="961">
        <f>데이터입력!Y41</f>
        <v>0</v>
      </c>
      <c r="O89" s="121" t="str">
        <f t="shared" si="34"/>
        <v/>
      </c>
      <c r="P89" s="963"/>
      <c r="Q89" s="962" t="s">
        <v>407</v>
      </c>
      <c r="R89" s="964">
        <f>데이터입력!$Y$8</f>
        <v>12</v>
      </c>
      <c r="S89" s="962"/>
      <c r="T89" s="962" t="s">
        <v>408</v>
      </c>
      <c r="U89" s="962"/>
      <c r="V89" s="965">
        <f t="shared" si="35"/>
        <v>0</v>
      </c>
      <c r="W89" s="967"/>
      <c r="X89" s="967"/>
      <c r="Y89" s="967"/>
      <c r="Z89" s="283"/>
      <c r="AA89" s="283"/>
      <c r="AB89" s="284"/>
    </row>
    <row r="90" spans="1:28">
      <c r="A90" s="118"/>
      <c r="B90" s="118"/>
      <c r="C90" s="118"/>
      <c r="D90" s="118"/>
      <c r="E90" s="118"/>
      <c r="F90" s="1004" t="s">
        <v>422</v>
      </c>
      <c r="G90" s="1005" t="s">
        <v>384</v>
      </c>
      <c r="H90" s="1006">
        <f>IFERROR(IF(VLOOKUP(K90,데이터입력!$C$42:$L$137,5,FALSE)&lt;1000,ROUNDUP(VLOOKUP(K90,데이터입력!$C$42:$L$137,5,FALSE)*1/1000,0),ROUND(VLOOKUP(K90,데이터입력!$C$42:$L$137,5,FALSE)*1/1000,0)),0)</f>
        <v>0</v>
      </c>
      <c r="I90" s="1006">
        <f t="shared" ref="I90" si="36">IFERROR(IF(F90="06",IF(V90&lt;1000,ROUNDUP((V90)*1/1000,0),ROUND((V90)*1/1000,0)),IF(F90="07",IF(W90&lt;1000,ROUNDUP((W90)*1/1000,0),ROUND((W90)*1/1000,0)),IF(F90="05",IF(X90&lt;1000,ROUNDUP((X90)*1/1000,0),ROUND((X90)*1/1000,0))))),0)</f>
        <v>0</v>
      </c>
      <c r="J90" s="1007">
        <f>I90-H90</f>
        <v>0</v>
      </c>
      <c r="K90" s="286" t="str">
        <f>L90&amp;"("&amp;G90&amp;")"</f>
        <v>직책보조비(보조금)</v>
      </c>
      <c r="L90" s="296" t="str">
        <f>L82</f>
        <v>직책보조비</v>
      </c>
      <c r="M90" s="297"/>
      <c r="N90" s="1008">
        <f>IF(R90="",AA82,ROUND(AA82/R90,-3))</f>
        <v>0</v>
      </c>
      <c r="O90" s="1309" t="str">
        <f t="shared" ref="O90" si="37">IF(P90="","","x ")</f>
        <v/>
      </c>
      <c r="P90" s="1010"/>
      <c r="Q90" s="1009" t="s">
        <v>407</v>
      </c>
      <c r="R90" s="1011">
        <f>IF(VLOOKUP($L90,데이터입력!$R$100:$U$129,4,FALSE)="",데이터입력!$Y$8,VLOOKUP($L90,데이터입력!$R$100:$U$129,4,FALSE))</f>
        <v>12</v>
      </c>
      <c r="S90" s="1009"/>
      <c r="T90" s="1009" t="s">
        <v>408</v>
      </c>
      <c r="U90" s="1009"/>
      <c r="V90" s="1013"/>
      <c r="W90" s="1013">
        <f>IF(P90=0,N90*R90,N90*P90*R90)</f>
        <v>0</v>
      </c>
      <c r="X90" s="1014"/>
      <c r="Y90" s="1014"/>
      <c r="Z90" s="284"/>
      <c r="AA90" s="284"/>
      <c r="AB90" s="284"/>
    </row>
    <row r="91" spans="1:28">
      <c r="A91" s="118"/>
      <c r="B91" s="118"/>
      <c r="C91" s="108" t="s">
        <v>52</v>
      </c>
      <c r="D91" s="108" t="s">
        <v>52</v>
      </c>
      <c r="E91" s="108">
        <v>501020301</v>
      </c>
      <c r="F91" s="981" t="s">
        <v>83</v>
      </c>
      <c r="G91" s="982" t="s">
        <v>6</v>
      </c>
      <c r="H91" s="983">
        <f>IFERROR(IF(VLOOKUP(K91,데이터입력!$C$42:$L$137,5,FALSE)&lt;1000,ROUNDUP(VLOOKUP(K91,데이터입력!$C$42:$L$137,5,FALSE)*1/1000,0),ROUND(VLOOKUP(K91,데이터입력!$C$42:$L$137,5,FALSE)*1/1000,0)),0)</f>
        <v>0</v>
      </c>
      <c r="I91" s="983">
        <f>IFERROR(IF(F91="06",IF(V91&lt;1000,ROUNDUP((V91)*1/1000,0),ROUND((V91)*1/1000,0)),IF(F91="07",IF(W91&lt;1000,ROUNDUP((W91)*1/1000,0),ROUND((W91)*1/1000,0)),IF(F91="05",IF(X91&lt;1000,ROUNDUP((X91)*1/1000,0),ROUND((X91)*1/1000,0))))),0)</f>
        <v>0</v>
      </c>
      <c r="J91" s="983">
        <f>I91-H91</f>
        <v>0</v>
      </c>
      <c r="K91" s="984" t="str">
        <f>L91&amp;"("&amp;G91&amp;")"</f>
        <v>회의비(수익사업)</v>
      </c>
      <c r="L91" s="112" t="str">
        <f>D91</f>
        <v>회의비</v>
      </c>
      <c r="M91" s="113"/>
      <c r="N91" s="985"/>
      <c r="O91" s="986"/>
      <c r="P91" s="985"/>
      <c r="Q91" s="986"/>
      <c r="R91" s="985"/>
      <c r="S91" s="986"/>
      <c r="T91" s="986"/>
      <c r="U91" s="986"/>
      <c r="V91" s="987">
        <f>SUM(V92:V100)</f>
        <v>0</v>
      </c>
      <c r="W91" s="987">
        <f>SUM(W92:W100)</f>
        <v>0</v>
      </c>
      <c r="X91" s="987">
        <f>SUM(X92:X100)</f>
        <v>0</v>
      </c>
      <c r="Y91" s="987">
        <f>SUM(V91:X91)</f>
        <v>0</v>
      </c>
      <c r="Z91" s="282">
        <f>IFERROR(VLOOKUP($L91,데이터입력!$R$67:$U$99,3,FALSE),0)</f>
        <v>0</v>
      </c>
      <c r="AA91" s="282">
        <f>IFERROR(VLOOKUP($L99,데이터입력!$R$100:$U$129,3,FALSE),0)</f>
        <v>0</v>
      </c>
      <c r="AB91" s="282">
        <f>IFERROR(VLOOKUP($L100,데이터입력!$R$130:$U$155,3,FALSE),0)</f>
        <v>0</v>
      </c>
    </row>
    <row r="92" spans="1:28">
      <c r="A92" s="118"/>
      <c r="B92" s="118"/>
      <c r="C92" s="118"/>
      <c r="D92" s="118"/>
      <c r="E92" s="118"/>
      <c r="F92" s="988"/>
      <c r="G92" s="989"/>
      <c r="H92" s="990"/>
      <c r="I92" s="990"/>
      <c r="J92" s="990"/>
      <c r="K92" s="991"/>
      <c r="L92" s="299" t="str">
        <f>"  - "&amp;데이터입력!Z35</f>
        <v xml:space="preserve">  - 회의비</v>
      </c>
      <c r="M92" s="263"/>
      <c r="N92" s="961">
        <f>데이터입력!AA35</f>
        <v>0</v>
      </c>
      <c r="O92" s="121" t="str">
        <f t="shared" ref="O92:O98" si="38">IF(P92="","","x ")</f>
        <v/>
      </c>
      <c r="P92" s="963"/>
      <c r="Q92" s="962" t="str">
        <f>IF(R92="","","x ")</f>
        <v xml:space="preserve">x </v>
      </c>
      <c r="R92" s="964">
        <f>IF(VLOOKUP($L91,데이터입력!$R$67:$U$99,4,FALSE)="",데이터입력!$Y$8,VLOOKUP($L91,데이터입력!$R$67:$U$99,4,FALSE))</f>
        <v>4</v>
      </c>
      <c r="S92" s="962"/>
      <c r="T92" s="962" t="s">
        <v>408</v>
      </c>
      <c r="U92" s="962"/>
      <c r="V92" s="965">
        <f>IF(R92="",N92,N92*R92)</f>
        <v>0</v>
      </c>
      <c r="W92" s="967"/>
      <c r="X92" s="967"/>
      <c r="Y92" s="967"/>
      <c r="Z92" s="283"/>
      <c r="AA92" s="283"/>
      <c r="AB92" s="284"/>
    </row>
    <row r="93" spans="1:28">
      <c r="A93" s="118"/>
      <c r="B93" s="118"/>
      <c r="C93" s="118"/>
      <c r="D93" s="118"/>
      <c r="E93" s="118"/>
      <c r="F93" s="988"/>
      <c r="G93" s="989"/>
      <c r="H93" s="990"/>
      <c r="I93" s="990"/>
      <c r="J93" s="990"/>
      <c r="K93" s="992"/>
      <c r="L93" s="299" t="str">
        <f>"  - "&amp;데이터입력!Z36</f>
        <v xml:space="preserve">  - </v>
      </c>
      <c r="M93" s="263"/>
      <c r="N93" s="961">
        <f>데이터입력!AA36</f>
        <v>0</v>
      </c>
      <c r="O93" s="121" t="str">
        <f t="shared" si="38"/>
        <v/>
      </c>
      <c r="P93" s="963"/>
      <c r="Q93" s="962" t="str">
        <f t="shared" ref="Q93:Q98" si="39">IF(R93="","","x ")</f>
        <v xml:space="preserve">x </v>
      </c>
      <c r="R93" s="964">
        <f>IF(VLOOKUP($L91,데이터입력!$R$67:$U$99,4,FALSE)="",데이터입력!$Y$8,VLOOKUP($L91,데이터입력!$R$67:$U$99,4,FALSE))</f>
        <v>4</v>
      </c>
      <c r="S93" s="962"/>
      <c r="T93" s="962" t="s">
        <v>408</v>
      </c>
      <c r="U93" s="962"/>
      <c r="V93" s="965">
        <f>IF(P93=0,N93*R93,N93*P93*R93)</f>
        <v>0</v>
      </c>
      <c r="W93" s="967"/>
      <c r="X93" s="967"/>
      <c r="Y93" s="967"/>
      <c r="Z93" s="283"/>
      <c r="AA93" s="283"/>
      <c r="AB93" s="284"/>
    </row>
    <row r="94" spans="1:28" hidden="1">
      <c r="A94" s="118"/>
      <c r="B94" s="118"/>
      <c r="C94" s="118"/>
      <c r="D94" s="118"/>
      <c r="E94" s="118"/>
      <c r="F94" s="988"/>
      <c r="G94" s="989"/>
      <c r="H94" s="990"/>
      <c r="I94" s="990"/>
      <c r="J94" s="990"/>
      <c r="K94" s="992"/>
      <c r="L94" s="299" t="str">
        <f>"  - "&amp;데이터입력!Z37</f>
        <v xml:space="preserve">  - </v>
      </c>
      <c r="M94" s="263"/>
      <c r="N94" s="961">
        <f>데이터입력!AA37</f>
        <v>0</v>
      </c>
      <c r="O94" s="121" t="str">
        <f t="shared" si="38"/>
        <v/>
      </c>
      <c r="P94" s="963"/>
      <c r="Q94" s="962" t="str">
        <f t="shared" si="39"/>
        <v xml:space="preserve">x </v>
      </c>
      <c r="R94" s="964">
        <f>IF(VLOOKUP($L91,데이터입력!$R$67:$U$99,4,FALSE)="",데이터입력!$Y$8,VLOOKUP($L91,데이터입력!$R$67:$U$99,4,FALSE))</f>
        <v>4</v>
      </c>
      <c r="S94" s="962"/>
      <c r="T94" s="962" t="s">
        <v>408</v>
      </c>
      <c r="U94" s="962"/>
      <c r="V94" s="965"/>
      <c r="W94" s="967"/>
      <c r="X94" s="967"/>
      <c r="Y94" s="967"/>
      <c r="Z94" s="283"/>
      <c r="AA94" s="283"/>
      <c r="AB94" s="284"/>
    </row>
    <row r="95" spans="1:28" hidden="1">
      <c r="A95" s="118"/>
      <c r="B95" s="118"/>
      <c r="C95" s="118"/>
      <c r="D95" s="118"/>
      <c r="E95" s="118"/>
      <c r="F95" s="988"/>
      <c r="G95" s="989"/>
      <c r="H95" s="990"/>
      <c r="I95" s="990"/>
      <c r="J95" s="990"/>
      <c r="K95" s="992"/>
      <c r="L95" s="299" t="str">
        <f>"  - "&amp;데이터입력!Z38</f>
        <v xml:space="preserve">  - </v>
      </c>
      <c r="M95" s="263"/>
      <c r="N95" s="961">
        <f>데이터입력!AA38</f>
        <v>0</v>
      </c>
      <c r="O95" s="121" t="str">
        <f t="shared" si="38"/>
        <v/>
      </c>
      <c r="P95" s="963"/>
      <c r="Q95" s="962" t="str">
        <f t="shared" si="39"/>
        <v xml:space="preserve">x </v>
      </c>
      <c r="R95" s="964">
        <f>IF(VLOOKUP($L91,데이터입력!$R$67:$U$99,4,FALSE)="",데이터입력!$Y$8,VLOOKUP($L91,데이터입력!$R$67:$U$99,4,FALSE))</f>
        <v>4</v>
      </c>
      <c r="S95" s="962"/>
      <c r="T95" s="962" t="s">
        <v>408</v>
      </c>
      <c r="U95" s="962"/>
      <c r="V95" s="965"/>
      <c r="W95" s="967"/>
      <c r="X95" s="967"/>
      <c r="Y95" s="967"/>
      <c r="Z95" s="283"/>
      <c r="AA95" s="283"/>
      <c r="AB95" s="284"/>
    </row>
    <row r="96" spans="1:28" hidden="1">
      <c r="A96" s="118"/>
      <c r="B96" s="118"/>
      <c r="C96" s="118"/>
      <c r="D96" s="118"/>
      <c r="E96" s="118"/>
      <c r="F96" s="988"/>
      <c r="G96" s="989"/>
      <c r="H96" s="990"/>
      <c r="I96" s="990"/>
      <c r="J96" s="990"/>
      <c r="K96" s="992"/>
      <c r="L96" s="299" t="str">
        <f>"  - "&amp;데이터입력!Z39</f>
        <v xml:space="preserve">  - </v>
      </c>
      <c r="M96" s="263"/>
      <c r="N96" s="961">
        <f>데이터입력!AA39</f>
        <v>0</v>
      </c>
      <c r="O96" s="121" t="str">
        <f t="shared" si="38"/>
        <v/>
      </c>
      <c r="P96" s="963"/>
      <c r="Q96" s="962" t="str">
        <f t="shared" si="39"/>
        <v xml:space="preserve">x </v>
      </c>
      <c r="R96" s="964">
        <f>IF(VLOOKUP($L91,데이터입력!$R$67:$U$99,4,FALSE)="",데이터입력!$Y$8,VLOOKUP($L91,데이터입력!$R$67:$U$99,4,FALSE))</f>
        <v>4</v>
      </c>
      <c r="S96" s="962"/>
      <c r="T96" s="962" t="s">
        <v>408</v>
      </c>
      <c r="U96" s="962"/>
      <c r="V96" s="965"/>
      <c r="W96" s="967"/>
      <c r="X96" s="967"/>
      <c r="Y96" s="967"/>
      <c r="Z96" s="283"/>
      <c r="AA96" s="283"/>
      <c r="AB96" s="284"/>
    </row>
    <row r="97" spans="1:28" hidden="1">
      <c r="A97" s="118"/>
      <c r="B97" s="118"/>
      <c r="C97" s="118"/>
      <c r="D97" s="118"/>
      <c r="E97" s="118"/>
      <c r="F97" s="988"/>
      <c r="G97" s="989"/>
      <c r="H97" s="990"/>
      <c r="I97" s="990"/>
      <c r="J97" s="990"/>
      <c r="K97" s="992"/>
      <c r="L97" s="299" t="str">
        <f>"  - "&amp;데이터입력!Z40</f>
        <v xml:space="preserve">  - </v>
      </c>
      <c r="M97" s="263"/>
      <c r="N97" s="961">
        <f>데이터입력!AA40</f>
        <v>0</v>
      </c>
      <c r="O97" s="121" t="str">
        <f t="shared" si="38"/>
        <v/>
      </c>
      <c r="P97" s="963"/>
      <c r="Q97" s="962" t="str">
        <f t="shared" si="39"/>
        <v xml:space="preserve">x </v>
      </c>
      <c r="R97" s="964">
        <f>IF(VLOOKUP($L91,데이터입력!$R$67:$U$99,4,FALSE)="",데이터입력!$Y$8,VLOOKUP($L91,데이터입력!$R$67:$U$99,4,FALSE))</f>
        <v>4</v>
      </c>
      <c r="S97" s="962"/>
      <c r="T97" s="962" t="s">
        <v>408</v>
      </c>
      <c r="U97" s="962"/>
      <c r="V97" s="965"/>
      <c r="W97" s="967"/>
      <c r="X97" s="967"/>
      <c r="Y97" s="967"/>
      <c r="Z97" s="283"/>
      <c r="AA97" s="283"/>
      <c r="AB97" s="284"/>
    </row>
    <row r="98" spans="1:28" hidden="1">
      <c r="A98" s="118"/>
      <c r="B98" s="118"/>
      <c r="C98" s="118"/>
      <c r="D98" s="118"/>
      <c r="E98" s="118"/>
      <c r="F98" s="988"/>
      <c r="G98" s="989"/>
      <c r="H98" s="990"/>
      <c r="I98" s="990"/>
      <c r="J98" s="990"/>
      <c r="K98" s="992"/>
      <c r="L98" s="299" t="str">
        <f>"  - "&amp;데이터입력!Z41</f>
        <v xml:space="preserve">  - </v>
      </c>
      <c r="M98" s="263"/>
      <c r="N98" s="961">
        <f>데이터입력!AA41</f>
        <v>0</v>
      </c>
      <c r="O98" s="121" t="str">
        <f t="shared" si="38"/>
        <v/>
      </c>
      <c r="P98" s="963"/>
      <c r="Q98" s="962" t="str">
        <f t="shared" si="39"/>
        <v xml:space="preserve">x </v>
      </c>
      <c r="R98" s="964">
        <f>IF(VLOOKUP($L91,데이터입력!$R$67:$U$99,4,FALSE)="",데이터입력!$Y$8,VLOOKUP($L91,데이터입력!$R$67:$U$99,4,FALSE))</f>
        <v>4</v>
      </c>
      <c r="S98" s="962"/>
      <c r="T98" s="962" t="s">
        <v>408</v>
      </c>
      <c r="U98" s="962"/>
      <c r="V98" s="965"/>
      <c r="W98" s="967"/>
      <c r="X98" s="967"/>
      <c r="Y98" s="967"/>
      <c r="Z98" s="283"/>
      <c r="AA98" s="283"/>
      <c r="AB98" s="284"/>
    </row>
    <row r="99" spans="1:28">
      <c r="A99" s="118"/>
      <c r="B99" s="118"/>
      <c r="C99" s="118"/>
      <c r="D99" s="118"/>
      <c r="E99" s="118"/>
      <c r="F99" s="993" t="s">
        <v>422</v>
      </c>
      <c r="G99" s="994" t="s">
        <v>384</v>
      </c>
      <c r="H99" s="995">
        <f>IFERROR(IF(VLOOKUP(K99,데이터입력!$C$42:$L$137,5,FALSE)&lt;1000,ROUNDUP(VLOOKUP(K99,데이터입력!$C$42:$L$137,5,FALSE)*1/1000,0),ROUND(VLOOKUP(K99,데이터입력!$C$42:$L$137,5,FALSE)*1/1000,0)),0)</f>
        <v>0</v>
      </c>
      <c r="I99" s="995">
        <f t="shared" ref="I99:I100" si="40">IFERROR(IF(F99="06",IF(V99&lt;1000,ROUNDUP((V99)*1/1000,0),ROUND((V99)*1/1000,0)),IF(F99="07",IF(W99&lt;1000,ROUNDUP((W99)*1/1000,0),ROUND((W99)*1/1000,0)),IF(F99="05",IF(X99&lt;1000,ROUNDUP((X99)*1/1000,0),ROUND((X99)*1/1000,0))))),0)</f>
        <v>0</v>
      </c>
      <c r="J99" s="996">
        <f>I99-H99</f>
        <v>0</v>
      </c>
      <c r="K99" s="285" t="str">
        <f>L99&amp;"("&amp;G99&amp;")"</f>
        <v>회의비(보조금)</v>
      </c>
      <c r="L99" s="294" t="str">
        <f>L91</f>
        <v>회의비</v>
      </c>
      <c r="M99" s="295"/>
      <c r="N99" s="997">
        <f>IF(R99="",AA91,ROUNDUP(AA91/R99,-3))</f>
        <v>0</v>
      </c>
      <c r="O99" s="1310" t="str">
        <f t="shared" ref="O99:O100" si="41">IF(P99="","","x ")</f>
        <v/>
      </c>
      <c r="P99" s="999"/>
      <c r="Q99" s="998" t="s">
        <v>407</v>
      </c>
      <c r="R99" s="1000">
        <f>IF(VLOOKUP($L99,데이터입력!$R$100:$U$129,4,FALSE)="",데이터입력!$Y$8,VLOOKUP($L99,데이터입력!$R$100:$U$129,4,FALSE))</f>
        <v>12</v>
      </c>
      <c r="S99" s="998"/>
      <c r="T99" s="998" t="s">
        <v>408</v>
      </c>
      <c r="U99" s="998"/>
      <c r="V99" s="1003"/>
      <c r="W99" s="1003">
        <f>IF(P99=0,N99*R99,N99*P99*R99)</f>
        <v>0</v>
      </c>
      <c r="X99" s="1003"/>
      <c r="Y99" s="1003"/>
      <c r="Z99" s="284"/>
      <c r="AA99" s="284"/>
      <c r="AB99" s="284"/>
    </row>
    <row r="100" spans="1:28">
      <c r="A100" s="118"/>
      <c r="B100" s="118"/>
      <c r="C100" s="134"/>
      <c r="D100" s="134"/>
      <c r="E100" s="134"/>
      <c r="F100" s="1004" t="s">
        <v>85</v>
      </c>
      <c r="G100" s="1005" t="s">
        <v>19</v>
      </c>
      <c r="H100" s="1006">
        <f>IFERROR(IF(VLOOKUP(K100,데이터입력!$C$42:$L$137,5,FALSE)&lt;1000,ROUNDUP(VLOOKUP(K100,데이터입력!$C$42:$L$137,5,FALSE)*1/1000,0),ROUND(VLOOKUP(K100,데이터입력!$C$42:$L$137,5,FALSE)*1/1000,0)),0)</f>
        <v>0</v>
      </c>
      <c r="I100" s="1006">
        <f t="shared" si="40"/>
        <v>0</v>
      </c>
      <c r="J100" s="1007">
        <f>I100-H100</f>
        <v>0</v>
      </c>
      <c r="K100" s="286" t="str">
        <f t="shared" ref="K100" si="42">L100&amp;"("&amp;G100&amp;")"</f>
        <v>회의비(후원금)</v>
      </c>
      <c r="L100" s="296" t="str">
        <f>L91</f>
        <v>회의비</v>
      </c>
      <c r="M100" s="297"/>
      <c r="N100" s="1008">
        <f>IF(R100="",AB91,ROUNDUP(AB91/R100,-3))</f>
        <v>0</v>
      </c>
      <c r="O100" s="1309" t="str">
        <f t="shared" si="41"/>
        <v/>
      </c>
      <c r="P100" s="1010"/>
      <c r="Q100" s="1009" t="s">
        <v>407</v>
      </c>
      <c r="R100" s="1011">
        <f>IF(VLOOKUP($L100,데이터입력!$R$130:$U$155,4,FALSE)="",데이터입력!$Y$8,VLOOKUP($L100,데이터입력!$R$130:$U$155,4,FALSE))</f>
        <v>12</v>
      </c>
      <c r="S100" s="1009"/>
      <c r="T100" s="1009" t="s">
        <v>408</v>
      </c>
      <c r="U100" s="1009"/>
      <c r="V100" s="1014"/>
      <c r="W100" s="1014"/>
      <c r="X100" s="1013">
        <f>IF(P100=0,N100*R100,N100*P100*R100)</f>
        <v>0</v>
      </c>
      <c r="Y100" s="1013"/>
      <c r="Z100" s="284"/>
      <c r="AA100" s="284"/>
      <c r="AB100" s="284"/>
    </row>
    <row r="101" spans="1:28" s="309" customFormat="1">
      <c r="A101" s="325"/>
      <c r="B101" s="310" t="s">
        <v>307</v>
      </c>
      <c r="C101" s="311"/>
      <c r="D101" s="312"/>
      <c r="E101" s="312"/>
      <c r="F101" s="1018"/>
      <c r="G101" s="1018"/>
      <c r="H101" s="301">
        <f>SUM(H102:H166)</f>
        <v>38696</v>
      </c>
      <c r="I101" s="301">
        <f>SUM(I102:I166)</f>
        <v>52132</v>
      </c>
      <c r="J101" s="301">
        <f>SUM(J102:J166)</f>
        <v>13436</v>
      </c>
      <c r="K101" s="301"/>
      <c r="L101" s="313"/>
      <c r="M101" s="313"/>
      <c r="N101" s="313"/>
      <c r="O101" s="313"/>
      <c r="P101" s="313"/>
      <c r="Q101" s="313"/>
      <c r="R101" s="313"/>
      <c r="S101" s="313"/>
      <c r="T101" s="313"/>
      <c r="U101" s="313"/>
      <c r="V101" s="302">
        <f>SUM(V102,V112,V122,V139,V149,V154)</f>
        <v>52132000</v>
      </c>
      <c r="W101" s="302">
        <f>SUM(W102,W112,W122,W139,W149,W154)</f>
        <v>0</v>
      </c>
      <c r="X101" s="302">
        <f>SUM(X102,X112,X122,X139,X149,X154)</f>
        <v>0</v>
      </c>
      <c r="Y101" s="302">
        <f>SUM(V101:X101)</f>
        <v>52132000</v>
      </c>
      <c r="Z101" s="156"/>
      <c r="AA101" s="156"/>
      <c r="AB101" s="156"/>
    </row>
    <row r="102" spans="1:28">
      <c r="A102" s="118"/>
      <c r="B102" s="118"/>
      <c r="C102" s="108" t="s">
        <v>53</v>
      </c>
      <c r="D102" s="108" t="s">
        <v>53</v>
      </c>
      <c r="E102" s="108">
        <v>501030101</v>
      </c>
      <c r="F102" s="981" t="s">
        <v>83</v>
      </c>
      <c r="G102" s="982" t="s">
        <v>6</v>
      </c>
      <c r="H102" s="983">
        <f>IFERROR(IF(VLOOKUP(K102,데이터입력!$C$42:$L$137,5,FALSE)&lt;1000,ROUNDUP(VLOOKUP(K102,데이터입력!$C$42:$L$137,5,FALSE)*1/1000,0),ROUND(VLOOKUP(K102,데이터입력!$C$42:$L$137,5,FALSE)*1/1000,0)),0)</f>
        <v>0</v>
      </c>
      <c r="I102" s="983">
        <f>IFERROR(IF(F102="06",IF(V102&lt;1000,ROUNDUP((V102)*1/1000,0),ROUND((V102)*1/1000,0)),IF(F102="07",IF(W102&lt;1000,ROUNDUP((W102)*1/1000,0),ROUND((W102)*1/1000,0)),IF(F102="05",IF(X102&lt;1000,ROUNDUP((X102)*1/1000,0),ROUND((X102)*1/1000,0))))),0)</f>
        <v>0</v>
      </c>
      <c r="J102" s="983">
        <f>I102-H102</f>
        <v>0</v>
      </c>
      <c r="K102" s="984" t="str">
        <f>L102&amp;"("&amp;G102&amp;")"</f>
        <v>여비(수익사업)</v>
      </c>
      <c r="L102" s="112" t="str">
        <f>D102</f>
        <v>여비</v>
      </c>
      <c r="M102" s="113"/>
      <c r="N102" s="985"/>
      <c r="O102" s="986"/>
      <c r="P102" s="985"/>
      <c r="Q102" s="986"/>
      <c r="R102" s="985"/>
      <c r="S102" s="986"/>
      <c r="T102" s="986"/>
      <c r="U102" s="986"/>
      <c r="V102" s="987">
        <f>SUM(V103:V111)</f>
        <v>0</v>
      </c>
      <c r="W102" s="987">
        <f>SUM(W103:W111)</f>
        <v>0</v>
      </c>
      <c r="X102" s="987">
        <f>SUM(X103:X111)</f>
        <v>0</v>
      </c>
      <c r="Y102" s="987">
        <f>SUM(V102:X102)</f>
        <v>0</v>
      </c>
      <c r="Z102" s="282">
        <f>IFERROR(VLOOKUP($L102,데이터입력!$R$67:$U$99,3,FALSE),0)</f>
        <v>0</v>
      </c>
      <c r="AA102" s="282">
        <f>IFERROR(VLOOKUP($L110,데이터입력!$R$100:$U$129,3,FALSE),0)</f>
        <v>0</v>
      </c>
      <c r="AB102" s="282">
        <f>IFERROR(VLOOKUP($L111,데이터입력!$R$130:$U$155,3,FALSE),0)</f>
        <v>0</v>
      </c>
    </row>
    <row r="103" spans="1:28">
      <c r="A103" s="118"/>
      <c r="B103" s="118"/>
      <c r="C103" s="118"/>
      <c r="D103" s="118"/>
      <c r="E103" s="118"/>
      <c r="F103" s="988"/>
      <c r="G103" s="989"/>
      <c r="H103" s="990"/>
      <c r="I103" s="990"/>
      <c r="J103" s="990"/>
      <c r="K103" s="991"/>
      <c r="L103" s="299" t="str">
        <f>"  - "&amp;데이터입력!AB35</f>
        <v xml:space="preserve">  - 여비</v>
      </c>
      <c r="M103" s="263"/>
      <c r="N103" s="961">
        <f>데이터입력!AC35</f>
        <v>0</v>
      </c>
      <c r="O103" s="121" t="str">
        <f t="shared" ref="O103:O109" si="43">IF(P103="","","x ")</f>
        <v/>
      </c>
      <c r="P103" s="963"/>
      <c r="Q103" s="962" t="str">
        <f>IF(R103="","","x ")</f>
        <v xml:space="preserve">x </v>
      </c>
      <c r="R103" s="964">
        <f>IF(VLOOKUP($L102,데이터입력!$R$67:$U$99,4,FALSE)="",데이터입력!$Y$8,VLOOKUP($L102,데이터입력!$R$67:$U$99,4,FALSE))</f>
        <v>12</v>
      </c>
      <c r="S103" s="962"/>
      <c r="T103" s="962" t="s">
        <v>408</v>
      </c>
      <c r="U103" s="962"/>
      <c r="V103" s="965">
        <f>IF(R103="",N103,N103*R103)</f>
        <v>0</v>
      </c>
      <c r="W103" s="967"/>
      <c r="X103" s="967"/>
      <c r="Y103" s="967"/>
      <c r="Z103" s="283"/>
      <c r="AA103" s="283"/>
      <c r="AB103" s="284"/>
    </row>
    <row r="104" spans="1:28">
      <c r="A104" s="118"/>
      <c r="B104" s="118"/>
      <c r="C104" s="118"/>
      <c r="D104" s="118"/>
      <c r="E104" s="118"/>
      <c r="F104" s="988"/>
      <c r="G104" s="989"/>
      <c r="H104" s="990"/>
      <c r="I104" s="990"/>
      <c r="J104" s="990"/>
      <c r="K104" s="992"/>
      <c r="L104" s="299" t="str">
        <f>"  - "&amp;데이터입력!AB36</f>
        <v xml:space="preserve">  - </v>
      </c>
      <c r="M104" s="300"/>
      <c r="N104" s="961">
        <f>데이터입력!AC36</f>
        <v>0</v>
      </c>
      <c r="O104" s="121" t="str">
        <f t="shared" si="43"/>
        <v/>
      </c>
      <c r="P104" s="963"/>
      <c r="Q104" s="962" t="s">
        <v>407</v>
      </c>
      <c r="R104" s="964">
        <f>데이터입력!$Y$8</f>
        <v>12</v>
      </c>
      <c r="S104" s="962"/>
      <c r="T104" s="962" t="s">
        <v>408</v>
      </c>
      <c r="U104" s="962"/>
      <c r="V104" s="965">
        <f t="shared" ref="V104:V109" si="44">IF(R104="",N104,N104*R104)</f>
        <v>0</v>
      </c>
      <c r="W104" s="967"/>
      <c r="X104" s="967"/>
      <c r="Y104" s="967"/>
      <c r="Z104" s="283"/>
      <c r="AA104" s="283"/>
      <c r="AB104" s="284"/>
    </row>
    <row r="105" spans="1:28" hidden="1">
      <c r="A105" s="118"/>
      <c r="B105" s="118"/>
      <c r="C105" s="118"/>
      <c r="D105" s="118"/>
      <c r="E105" s="118"/>
      <c r="F105" s="988"/>
      <c r="G105" s="989"/>
      <c r="H105" s="990"/>
      <c r="I105" s="990"/>
      <c r="J105" s="990"/>
      <c r="K105" s="992"/>
      <c r="L105" s="299" t="str">
        <f>"  - "&amp;데이터입력!AB37</f>
        <v xml:space="preserve">  - </v>
      </c>
      <c r="M105" s="300"/>
      <c r="N105" s="961">
        <f>데이터입력!AC37</f>
        <v>0</v>
      </c>
      <c r="O105" s="121" t="str">
        <f t="shared" si="43"/>
        <v/>
      </c>
      <c r="P105" s="963"/>
      <c r="Q105" s="962" t="s">
        <v>407</v>
      </c>
      <c r="R105" s="964">
        <f>데이터입력!$Y$8</f>
        <v>12</v>
      </c>
      <c r="S105" s="962"/>
      <c r="T105" s="962" t="s">
        <v>408</v>
      </c>
      <c r="U105" s="962"/>
      <c r="V105" s="965">
        <f t="shared" si="44"/>
        <v>0</v>
      </c>
      <c r="W105" s="967"/>
      <c r="X105" s="967"/>
      <c r="Y105" s="967"/>
      <c r="Z105" s="283"/>
      <c r="AA105" s="283"/>
      <c r="AB105" s="284"/>
    </row>
    <row r="106" spans="1:28" hidden="1">
      <c r="A106" s="118"/>
      <c r="B106" s="118"/>
      <c r="C106" s="118"/>
      <c r="D106" s="118"/>
      <c r="E106" s="118"/>
      <c r="F106" s="988"/>
      <c r="G106" s="989"/>
      <c r="H106" s="990"/>
      <c r="I106" s="990"/>
      <c r="J106" s="990"/>
      <c r="K106" s="992"/>
      <c r="L106" s="299" t="str">
        <f>"  - "&amp;데이터입력!AB38</f>
        <v xml:space="preserve">  - </v>
      </c>
      <c r="M106" s="300"/>
      <c r="N106" s="961">
        <f>데이터입력!AC38</f>
        <v>0</v>
      </c>
      <c r="O106" s="121" t="str">
        <f t="shared" si="43"/>
        <v/>
      </c>
      <c r="P106" s="963"/>
      <c r="Q106" s="962" t="s">
        <v>407</v>
      </c>
      <c r="R106" s="964">
        <f>데이터입력!$Y$8</f>
        <v>12</v>
      </c>
      <c r="S106" s="962"/>
      <c r="T106" s="962" t="s">
        <v>408</v>
      </c>
      <c r="U106" s="962"/>
      <c r="V106" s="965">
        <f t="shared" si="44"/>
        <v>0</v>
      </c>
      <c r="W106" s="967"/>
      <c r="X106" s="967"/>
      <c r="Y106" s="967"/>
      <c r="Z106" s="283"/>
      <c r="AA106" s="283"/>
      <c r="AB106" s="284"/>
    </row>
    <row r="107" spans="1:28" hidden="1">
      <c r="A107" s="118"/>
      <c r="B107" s="118"/>
      <c r="C107" s="118"/>
      <c r="D107" s="118"/>
      <c r="E107" s="118"/>
      <c r="F107" s="988"/>
      <c r="G107" s="989"/>
      <c r="H107" s="990"/>
      <c r="I107" s="990"/>
      <c r="J107" s="990"/>
      <c r="K107" s="992"/>
      <c r="L107" s="299" t="str">
        <f>"  - "&amp;데이터입력!AB39</f>
        <v xml:space="preserve">  - </v>
      </c>
      <c r="M107" s="300"/>
      <c r="N107" s="961">
        <f>데이터입력!AC39</f>
        <v>0</v>
      </c>
      <c r="O107" s="121" t="str">
        <f t="shared" si="43"/>
        <v/>
      </c>
      <c r="P107" s="963"/>
      <c r="Q107" s="962" t="s">
        <v>407</v>
      </c>
      <c r="R107" s="964">
        <f>데이터입력!$Y$8</f>
        <v>12</v>
      </c>
      <c r="S107" s="962"/>
      <c r="T107" s="962" t="s">
        <v>408</v>
      </c>
      <c r="U107" s="962"/>
      <c r="V107" s="965">
        <f t="shared" si="44"/>
        <v>0</v>
      </c>
      <c r="W107" s="967"/>
      <c r="X107" s="967"/>
      <c r="Y107" s="967"/>
      <c r="Z107" s="283"/>
      <c r="AA107" s="283"/>
      <c r="AB107" s="284"/>
    </row>
    <row r="108" spans="1:28" hidden="1">
      <c r="A108" s="118"/>
      <c r="B108" s="118"/>
      <c r="C108" s="118"/>
      <c r="D108" s="118"/>
      <c r="E108" s="118"/>
      <c r="F108" s="988"/>
      <c r="G108" s="989"/>
      <c r="H108" s="990"/>
      <c r="I108" s="990"/>
      <c r="J108" s="990"/>
      <c r="K108" s="992"/>
      <c r="L108" s="299" t="str">
        <f>"  - "&amp;데이터입력!AB40</f>
        <v xml:space="preserve">  - </v>
      </c>
      <c r="M108" s="300"/>
      <c r="N108" s="961">
        <f>데이터입력!AC40</f>
        <v>0</v>
      </c>
      <c r="O108" s="121" t="str">
        <f t="shared" si="43"/>
        <v/>
      </c>
      <c r="P108" s="963"/>
      <c r="Q108" s="962" t="s">
        <v>407</v>
      </c>
      <c r="R108" s="964">
        <f>데이터입력!$Y$8</f>
        <v>12</v>
      </c>
      <c r="S108" s="962"/>
      <c r="T108" s="962" t="s">
        <v>408</v>
      </c>
      <c r="U108" s="962"/>
      <c r="V108" s="965">
        <f t="shared" si="44"/>
        <v>0</v>
      </c>
      <c r="W108" s="967"/>
      <c r="X108" s="967"/>
      <c r="Y108" s="967"/>
      <c r="Z108" s="283"/>
      <c r="AA108" s="283"/>
      <c r="AB108" s="284"/>
    </row>
    <row r="109" spans="1:28" hidden="1">
      <c r="A109" s="118"/>
      <c r="B109" s="118"/>
      <c r="C109" s="118"/>
      <c r="D109" s="118"/>
      <c r="E109" s="118"/>
      <c r="F109" s="988"/>
      <c r="G109" s="989"/>
      <c r="H109" s="990"/>
      <c r="I109" s="990"/>
      <c r="J109" s="990"/>
      <c r="K109" s="992"/>
      <c r="L109" s="299" t="str">
        <f>"  - "&amp;데이터입력!AB41</f>
        <v xml:space="preserve">  - </v>
      </c>
      <c r="M109" s="300"/>
      <c r="N109" s="961">
        <f>데이터입력!AC41</f>
        <v>0</v>
      </c>
      <c r="O109" s="121" t="str">
        <f t="shared" si="43"/>
        <v/>
      </c>
      <c r="P109" s="963"/>
      <c r="Q109" s="962" t="s">
        <v>407</v>
      </c>
      <c r="R109" s="964">
        <f>데이터입력!$Y$8</f>
        <v>12</v>
      </c>
      <c r="S109" s="962"/>
      <c r="T109" s="962" t="s">
        <v>408</v>
      </c>
      <c r="U109" s="962"/>
      <c r="V109" s="965">
        <f t="shared" si="44"/>
        <v>0</v>
      </c>
      <c r="W109" s="967"/>
      <c r="X109" s="967"/>
      <c r="Y109" s="967"/>
      <c r="Z109" s="283"/>
      <c r="AA109" s="283"/>
      <c r="AB109" s="284"/>
    </row>
    <row r="110" spans="1:28">
      <c r="A110" s="118"/>
      <c r="B110" s="118"/>
      <c r="C110" s="118"/>
      <c r="D110" s="118"/>
      <c r="E110" s="118"/>
      <c r="F110" s="993" t="s">
        <v>422</v>
      </c>
      <c r="G110" s="994" t="s">
        <v>384</v>
      </c>
      <c r="H110" s="995">
        <f>IFERROR(IF(VLOOKUP(K110,데이터입력!$C$42:$L$137,5,FALSE)&lt;1000,ROUNDUP(VLOOKUP(K110,데이터입력!$C$42:$L$137,5,FALSE)*1/1000,0),ROUND(VLOOKUP(K110,데이터입력!$C$42:$L$137,5,FALSE)*1/1000,0)),0)</f>
        <v>0</v>
      </c>
      <c r="I110" s="995">
        <f t="shared" ref="I110:I111" si="45">IFERROR(IF(F110="06",IF(V110&lt;1000,ROUNDUP((V110)*1/1000,0),ROUND((V110)*1/1000,0)),IF(F110="07",IF(W110&lt;1000,ROUNDUP((W110)*1/1000,0),ROUND((W110)*1/1000,0)),IF(F110="05",IF(X110&lt;1000,ROUNDUP((X110)*1/1000,0),ROUND((X110)*1/1000,0))))),0)</f>
        <v>0</v>
      </c>
      <c r="J110" s="996">
        <f>I110-H110</f>
        <v>0</v>
      </c>
      <c r="K110" s="285" t="str">
        <f>L110&amp;"("&amp;G110&amp;")"</f>
        <v>여비(보조금)</v>
      </c>
      <c r="L110" s="294" t="str">
        <f>L102</f>
        <v>여비</v>
      </c>
      <c r="M110" s="295"/>
      <c r="N110" s="997">
        <f>IF(R110="",AA102,ROUNDUP(AA102/R110,-3))</f>
        <v>0</v>
      </c>
      <c r="O110" s="1310" t="str">
        <f t="shared" ref="O110:O111" si="46">IF(P110="","","x ")</f>
        <v/>
      </c>
      <c r="P110" s="999"/>
      <c r="Q110" s="998" t="s">
        <v>407</v>
      </c>
      <c r="R110" s="1000">
        <f>IF(VLOOKUP($L110,데이터입력!$R$100:$U$129,4,FALSE)="",데이터입력!$Y$8,VLOOKUP($L110,데이터입력!$R$100:$U$129,4,FALSE))</f>
        <v>12</v>
      </c>
      <c r="S110" s="998"/>
      <c r="T110" s="998" t="s">
        <v>408</v>
      </c>
      <c r="U110" s="998"/>
      <c r="V110" s="1003"/>
      <c r="W110" s="1003">
        <f>IF(P110=0,N110*R110,N110*P110*R110)</f>
        <v>0</v>
      </c>
      <c r="X110" s="1003"/>
      <c r="Y110" s="1003"/>
      <c r="Z110" s="284"/>
      <c r="AA110" s="284"/>
      <c r="AB110" s="284"/>
    </row>
    <row r="111" spans="1:28">
      <c r="A111" s="118"/>
      <c r="B111" s="118"/>
      <c r="C111" s="118"/>
      <c r="D111" s="118"/>
      <c r="E111" s="118"/>
      <c r="F111" s="1004" t="s">
        <v>85</v>
      </c>
      <c r="G111" s="1005" t="s">
        <v>19</v>
      </c>
      <c r="H111" s="1006">
        <f>IFERROR(IF(VLOOKUP(K111,데이터입력!$C$42:$L$137,5,FALSE)&lt;1000,ROUNDUP(VLOOKUP(K111,데이터입력!$C$42:$L$137,5,FALSE)*1/1000,0),ROUND(VLOOKUP(K111,데이터입력!$C$42:$L$137,5,FALSE)*1/1000,0)),0)</f>
        <v>0</v>
      </c>
      <c r="I111" s="1006">
        <f t="shared" si="45"/>
        <v>0</v>
      </c>
      <c r="J111" s="1007">
        <f>I111-H111</f>
        <v>0</v>
      </c>
      <c r="K111" s="286" t="str">
        <f t="shared" ref="K111" si="47">L111&amp;"("&amp;G111&amp;")"</f>
        <v>여비(후원금)</v>
      </c>
      <c r="L111" s="296" t="str">
        <f>L102</f>
        <v>여비</v>
      </c>
      <c r="M111" s="297"/>
      <c r="N111" s="1008">
        <f>IF(R111="",AB102,ROUNDUP(AB102/R111,-3))</f>
        <v>0</v>
      </c>
      <c r="O111" s="1309" t="str">
        <f t="shared" si="46"/>
        <v/>
      </c>
      <c r="P111" s="1010"/>
      <c r="Q111" s="1009" t="s">
        <v>407</v>
      </c>
      <c r="R111" s="1011">
        <f>IF(VLOOKUP($L111,데이터입력!$R$130:$U$155,4,FALSE)="",데이터입력!$Y$8,VLOOKUP($L111,데이터입력!$R$130:$U$155,4,FALSE))</f>
        <v>12</v>
      </c>
      <c r="S111" s="1009"/>
      <c r="T111" s="1009" t="s">
        <v>408</v>
      </c>
      <c r="U111" s="1009"/>
      <c r="V111" s="1014"/>
      <c r="W111" s="1014"/>
      <c r="X111" s="1013">
        <f>IF(P111=0,N111*R111,N111*P111*R111)</f>
        <v>0</v>
      </c>
      <c r="Y111" s="1013"/>
      <c r="Z111" s="284"/>
      <c r="AA111" s="284"/>
      <c r="AB111" s="284"/>
    </row>
    <row r="112" spans="1:28">
      <c r="A112" s="118"/>
      <c r="B112" s="118"/>
      <c r="C112" s="108" t="s">
        <v>54</v>
      </c>
      <c r="D112" s="108" t="s">
        <v>54</v>
      </c>
      <c r="E112" s="108">
        <v>501030201</v>
      </c>
      <c r="F112" s="981" t="s">
        <v>83</v>
      </c>
      <c r="G112" s="982" t="s">
        <v>6</v>
      </c>
      <c r="H112" s="983">
        <f>IFERROR(IF(VLOOKUP(K112,데이터입력!$C$42:$L$137,5,FALSE)&lt;1000,ROUNDUP(VLOOKUP(K112,데이터입력!$C$42:$L$137,5,FALSE)*1/1000,0),ROUND(VLOOKUP(K112,데이터입력!$C$42:$L$137,5,FALSE)*1/1000,0)),0)</f>
        <v>4800</v>
      </c>
      <c r="I112" s="983">
        <f>IFERROR(IF(F112="06",IF(V112&lt;1000,ROUNDUP((V112)*1/1000,0),ROUND((V112)*1/1000,0)),IF(F112="07",IF(W112&lt;1000,ROUNDUP((W112)*1/1000,0),ROUND((W112)*1/1000,0)),IF(F112="05",IF(X112&lt;1000,ROUNDUP((X112)*1/1000,0),ROUND((X112)*1/1000,0))))),0)</f>
        <v>6600</v>
      </c>
      <c r="J112" s="983">
        <f>I112-H112</f>
        <v>1800</v>
      </c>
      <c r="K112" s="984" t="str">
        <f>L112&amp;"("&amp;G112&amp;")"</f>
        <v>수용비 및 수수료(수익사업)</v>
      </c>
      <c r="L112" s="112" t="str">
        <f>D112</f>
        <v>수용비 및 수수료</v>
      </c>
      <c r="M112" s="113"/>
      <c r="N112" s="985"/>
      <c r="O112" s="986"/>
      <c r="P112" s="985"/>
      <c r="Q112" s="986"/>
      <c r="R112" s="985"/>
      <c r="S112" s="986"/>
      <c r="T112" s="986"/>
      <c r="U112" s="986"/>
      <c r="V112" s="987">
        <f>SUM(V113:V121)</f>
        <v>6600000</v>
      </c>
      <c r="W112" s="987">
        <f t="shared" ref="W112:X112" si="48">SUM(W113:W121)</f>
        <v>0</v>
      </c>
      <c r="X112" s="987">
        <f t="shared" si="48"/>
        <v>0</v>
      </c>
      <c r="Y112" s="987">
        <f>SUM(V112:X112)</f>
        <v>6600000</v>
      </c>
      <c r="Z112" s="282">
        <f>IFERROR(VLOOKUP($L112,데이터입력!$R$67:$U$99,3,FALSE),0)</f>
        <v>6600000</v>
      </c>
      <c r="AA112" s="282">
        <f>IFERROR(VLOOKUP($L120,데이터입력!$R$100:$U$129,3,FALSE),0)</f>
        <v>0</v>
      </c>
      <c r="AB112" s="282">
        <f>IFERROR(VLOOKUP($L121,데이터입력!$R$130:$U$155,3,FALSE),0)</f>
        <v>0</v>
      </c>
    </row>
    <row r="113" spans="1:28">
      <c r="A113" s="118"/>
      <c r="B113" s="118"/>
      <c r="C113" s="118"/>
      <c r="D113" s="118"/>
      <c r="E113" s="118"/>
      <c r="F113" s="988"/>
      <c r="G113" s="989"/>
      <c r="H113" s="990"/>
      <c r="I113" s="990"/>
      <c r="J113" s="990"/>
      <c r="K113" s="992"/>
      <c r="L113" s="127" t="str">
        <f>"  - "&amp;데이터입력!X43</f>
        <v xml:space="preserve">  - 각종수수료</v>
      </c>
      <c r="M113" s="263"/>
      <c r="N113" s="961">
        <f>데이터입력!Y43</f>
        <v>320000</v>
      </c>
      <c r="O113" s="121" t="str">
        <f t="shared" ref="O113:O119" si="49">IF(P113="","","x ")</f>
        <v/>
      </c>
      <c r="P113" s="963"/>
      <c r="Q113" s="962" t="s">
        <v>407</v>
      </c>
      <c r="R113" s="964">
        <f>데이터입력!$Y$8</f>
        <v>12</v>
      </c>
      <c r="S113" s="962"/>
      <c r="T113" s="962" t="s">
        <v>408</v>
      </c>
      <c r="U113" s="962"/>
      <c r="V113" s="965">
        <f>IF(P113=0,N113*R113,N113*P113*R113)</f>
        <v>3840000</v>
      </c>
      <c r="W113" s="967"/>
      <c r="X113" s="967"/>
      <c r="Y113" s="967"/>
      <c r="Z113" s="283"/>
      <c r="AA113" s="283"/>
      <c r="AB113" s="284"/>
    </row>
    <row r="114" spans="1:28">
      <c r="A114" s="118"/>
      <c r="B114" s="118"/>
      <c r="C114" s="118"/>
      <c r="D114" s="118"/>
      <c r="E114" s="118"/>
      <c r="F114" s="988"/>
      <c r="G114" s="989"/>
      <c r="H114" s="990"/>
      <c r="I114" s="990"/>
      <c r="J114" s="990"/>
      <c r="K114" s="992"/>
      <c r="L114" s="127" t="str">
        <f>"  - "&amp;데이터입력!X44</f>
        <v xml:space="preserve">  - 렌탈료</v>
      </c>
      <c r="M114" s="263"/>
      <c r="N114" s="961">
        <f>데이터입력!Y44</f>
        <v>80000</v>
      </c>
      <c r="O114" s="121" t="str">
        <f t="shared" si="49"/>
        <v/>
      </c>
      <c r="P114" s="963"/>
      <c r="Q114" s="962" t="s">
        <v>407</v>
      </c>
      <c r="R114" s="964">
        <f>데이터입력!$Y$8</f>
        <v>12</v>
      </c>
      <c r="S114" s="962"/>
      <c r="T114" s="962" t="s">
        <v>408</v>
      </c>
      <c r="U114" s="962"/>
      <c r="V114" s="965">
        <f>IF(P114=0,N114*R114,N114*P114*R114)</f>
        <v>960000</v>
      </c>
      <c r="W114" s="967"/>
      <c r="X114" s="967"/>
      <c r="Y114" s="967"/>
      <c r="Z114" s="283"/>
      <c r="AA114" s="283"/>
      <c r="AB114" s="284"/>
    </row>
    <row r="115" spans="1:28">
      <c r="A115" s="118"/>
      <c r="B115" s="118"/>
      <c r="C115" s="118"/>
      <c r="D115" s="118"/>
      <c r="E115" s="118"/>
      <c r="F115" s="988"/>
      <c r="G115" s="989"/>
      <c r="H115" s="990"/>
      <c r="I115" s="990"/>
      <c r="J115" s="990"/>
      <c r="K115" s="992"/>
      <c r="L115" s="127" t="str">
        <f>"  - "&amp;데이터입력!X45</f>
        <v xml:space="preserve">  - 사무용품</v>
      </c>
      <c r="M115" s="263"/>
      <c r="N115" s="961">
        <f>데이터입력!Y45</f>
        <v>50000</v>
      </c>
      <c r="O115" s="121" t="str">
        <f t="shared" si="49"/>
        <v/>
      </c>
      <c r="P115" s="963"/>
      <c r="Q115" s="962" t="s">
        <v>407</v>
      </c>
      <c r="R115" s="964">
        <f>데이터입력!$Y$8</f>
        <v>12</v>
      </c>
      <c r="S115" s="962"/>
      <c r="T115" s="962" t="s">
        <v>408</v>
      </c>
      <c r="U115" s="962"/>
      <c r="V115" s="965">
        <f>IF(P115=0,N115*R115,N115*P115*R115)</f>
        <v>600000</v>
      </c>
      <c r="W115" s="967"/>
      <c r="X115" s="967"/>
      <c r="Y115" s="967"/>
      <c r="Z115" s="283"/>
      <c r="AA115" s="283"/>
      <c r="AB115" s="284"/>
    </row>
    <row r="116" spans="1:28">
      <c r="A116" s="118"/>
      <c r="B116" s="118"/>
      <c r="C116" s="118"/>
      <c r="D116" s="118"/>
      <c r="E116" s="118"/>
      <c r="F116" s="988"/>
      <c r="G116" s="989"/>
      <c r="H116" s="990"/>
      <c r="I116" s="990"/>
      <c r="J116" s="990"/>
      <c r="K116" s="992"/>
      <c r="L116" s="127" t="str">
        <f>"  - "&amp;데이터입력!X46</f>
        <v xml:space="preserve">  - 기타(소독,점검비 등)</v>
      </c>
      <c r="M116" s="263"/>
      <c r="N116" s="961">
        <f>데이터입력!Y46</f>
        <v>100000</v>
      </c>
      <c r="O116" s="121" t="str">
        <f t="shared" si="49"/>
        <v/>
      </c>
      <c r="P116" s="963"/>
      <c r="Q116" s="962" t="s">
        <v>407</v>
      </c>
      <c r="R116" s="964">
        <f>데이터입력!$Y$8</f>
        <v>12</v>
      </c>
      <c r="S116" s="962"/>
      <c r="T116" s="962" t="s">
        <v>408</v>
      </c>
      <c r="U116" s="962"/>
      <c r="V116" s="965">
        <f>IF(P116=0,N116*R116,N116*P116*R116)</f>
        <v>1200000</v>
      </c>
      <c r="W116" s="967"/>
      <c r="X116" s="967"/>
      <c r="Y116" s="967"/>
      <c r="Z116" s="283"/>
      <c r="AA116" s="283"/>
      <c r="AB116" s="284"/>
    </row>
    <row r="117" spans="1:28">
      <c r="A117" s="118"/>
      <c r="B117" s="118"/>
      <c r="C117" s="118"/>
      <c r="D117" s="118"/>
      <c r="E117" s="118"/>
      <c r="F117" s="988"/>
      <c r="G117" s="989"/>
      <c r="H117" s="990"/>
      <c r="I117" s="990"/>
      <c r="J117" s="990"/>
      <c r="K117" s="992"/>
      <c r="L117" s="127" t="str">
        <f>"  - "&amp;데이터입력!X47</f>
        <v xml:space="preserve">  - </v>
      </c>
      <c r="M117" s="263"/>
      <c r="N117" s="961">
        <f>데이터입력!Y47</f>
        <v>0</v>
      </c>
      <c r="O117" s="121" t="str">
        <f t="shared" si="49"/>
        <v/>
      </c>
      <c r="P117" s="963"/>
      <c r="Q117" s="962" t="s">
        <v>407</v>
      </c>
      <c r="R117" s="964">
        <f>데이터입력!$Y$8</f>
        <v>12</v>
      </c>
      <c r="S117" s="962"/>
      <c r="T117" s="962" t="s">
        <v>408</v>
      </c>
      <c r="U117" s="962"/>
      <c r="V117" s="965">
        <f t="shared" ref="V117:V118" si="50">IF(P117=0,N117*R117,N117*P117*R117)</f>
        <v>0</v>
      </c>
      <c r="W117" s="967"/>
      <c r="X117" s="967"/>
      <c r="Y117" s="967"/>
      <c r="Z117" s="283"/>
      <c r="AA117" s="283"/>
      <c r="AB117" s="284"/>
    </row>
    <row r="118" spans="1:28">
      <c r="A118" s="118"/>
      <c r="B118" s="118"/>
      <c r="C118" s="118"/>
      <c r="D118" s="118"/>
      <c r="E118" s="118"/>
      <c r="F118" s="988"/>
      <c r="G118" s="989"/>
      <c r="H118" s="990"/>
      <c r="I118" s="990"/>
      <c r="J118" s="990"/>
      <c r="K118" s="992"/>
      <c r="L118" s="127" t="str">
        <f>"  - "&amp;데이터입력!X48</f>
        <v xml:space="preserve">  - </v>
      </c>
      <c r="M118" s="263"/>
      <c r="N118" s="961">
        <f>데이터입력!Y48</f>
        <v>0</v>
      </c>
      <c r="O118" s="121" t="str">
        <f t="shared" si="49"/>
        <v/>
      </c>
      <c r="P118" s="963"/>
      <c r="Q118" s="962" t="s">
        <v>407</v>
      </c>
      <c r="R118" s="964">
        <f>데이터입력!$Y$8</f>
        <v>12</v>
      </c>
      <c r="S118" s="962"/>
      <c r="T118" s="962" t="s">
        <v>408</v>
      </c>
      <c r="U118" s="962"/>
      <c r="V118" s="965">
        <f t="shared" si="50"/>
        <v>0</v>
      </c>
      <c r="W118" s="967"/>
      <c r="X118" s="967"/>
      <c r="Y118" s="967"/>
      <c r="Z118" s="283"/>
      <c r="AA118" s="283"/>
      <c r="AB118" s="284"/>
    </row>
    <row r="119" spans="1:28" hidden="1">
      <c r="A119" s="118"/>
      <c r="B119" s="118"/>
      <c r="C119" s="118"/>
      <c r="D119" s="118"/>
      <c r="E119" s="118"/>
      <c r="F119" s="988"/>
      <c r="G119" s="989"/>
      <c r="H119" s="990"/>
      <c r="I119" s="990"/>
      <c r="J119" s="990"/>
      <c r="K119" s="992"/>
      <c r="L119" s="127" t="str">
        <f>"  - "&amp;데이터입력!X49</f>
        <v xml:space="preserve">  - </v>
      </c>
      <c r="M119" s="263"/>
      <c r="N119" s="961">
        <f>데이터입력!Y49</f>
        <v>0</v>
      </c>
      <c r="O119" s="121" t="str">
        <f t="shared" si="49"/>
        <v/>
      </c>
      <c r="P119" s="963"/>
      <c r="Q119" s="962" t="s">
        <v>407</v>
      </c>
      <c r="R119" s="964">
        <f>데이터입력!$Y$8</f>
        <v>12</v>
      </c>
      <c r="S119" s="962"/>
      <c r="T119" s="962" t="s">
        <v>408</v>
      </c>
      <c r="U119" s="962"/>
      <c r="V119" s="965">
        <f t="shared" ref="V119" si="51">IF(P119=0,N119*R119,N119*P119*R119)</f>
        <v>0</v>
      </c>
      <c r="W119" s="967"/>
      <c r="X119" s="967"/>
      <c r="Y119" s="967"/>
      <c r="Z119" s="283"/>
      <c r="AA119" s="283"/>
      <c r="AB119" s="284"/>
    </row>
    <row r="120" spans="1:28">
      <c r="A120" s="118"/>
      <c r="B120" s="118"/>
      <c r="C120" s="118"/>
      <c r="D120" s="118"/>
      <c r="E120" s="118"/>
      <c r="F120" s="993" t="s">
        <v>422</v>
      </c>
      <c r="G120" s="994" t="s">
        <v>384</v>
      </c>
      <c r="H120" s="995">
        <f>IFERROR(IF(VLOOKUP(K120,데이터입력!$C$42:$L$137,5,FALSE)&lt;1000,ROUNDUP(VLOOKUP(K120,데이터입력!$C$42:$L$137,5,FALSE)*1/1000,0),ROUND(VLOOKUP(K120,데이터입력!$C$42:$L$137,5,FALSE)*1/1000,0)),0)</f>
        <v>0</v>
      </c>
      <c r="I120" s="995">
        <f t="shared" ref="I120:I121" si="52">IFERROR(IF(F120="06",IF(V120&lt;1000,ROUNDUP((V120)*1/1000,0),ROUND((V120)*1/1000,0)),IF(F120="07",IF(W120&lt;1000,ROUNDUP((W120)*1/1000,0),ROUND((W120)*1/1000,0)),IF(F120="05",IF(X120&lt;1000,ROUNDUP((X120)*1/1000,0),ROUND((X120)*1/1000,0))))),0)</f>
        <v>0</v>
      </c>
      <c r="J120" s="996">
        <f>I120-H120</f>
        <v>0</v>
      </c>
      <c r="K120" s="285" t="str">
        <f>L120&amp;"("&amp;G120&amp;")"</f>
        <v>수용비 및 수수료(보조금)</v>
      </c>
      <c r="L120" s="294" t="str">
        <f>L112</f>
        <v>수용비 및 수수료</v>
      </c>
      <c r="M120" s="295"/>
      <c r="N120" s="997">
        <f>IF(R120="",AA112,ROUNDUP(AA112/R120,-3))</f>
        <v>0</v>
      </c>
      <c r="O120" s="1310" t="str">
        <f t="shared" ref="O120:O121" si="53">IF(P120="","","x ")</f>
        <v/>
      </c>
      <c r="P120" s="999"/>
      <c r="Q120" s="998" t="s">
        <v>407</v>
      </c>
      <c r="R120" s="1000">
        <f>IF(VLOOKUP($L120,데이터입력!$R$100:$U$129,4,FALSE)="",데이터입력!$Y$8,VLOOKUP($L120,데이터입력!$R$100:$U$129,4,FALSE))</f>
        <v>12</v>
      </c>
      <c r="S120" s="998"/>
      <c r="T120" s="998" t="s">
        <v>408</v>
      </c>
      <c r="U120" s="998"/>
      <c r="V120" s="1003"/>
      <c r="W120" s="1003">
        <f>IF(P120=0,N120*R120,N120*P120*R120)</f>
        <v>0</v>
      </c>
      <c r="X120" s="1003"/>
      <c r="Y120" s="1003"/>
      <c r="Z120" s="284"/>
      <c r="AA120" s="284"/>
      <c r="AB120" s="284"/>
    </row>
    <row r="121" spans="1:28">
      <c r="A121" s="118"/>
      <c r="B121" s="118"/>
      <c r="C121" s="118"/>
      <c r="D121" s="118"/>
      <c r="E121" s="118"/>
      <c r="F121" s="1004" t="s">
        <v>85</v>
      </c>
      <c r="G121" s="1005" t="s">
        <v>19</v>
      </c>
      <c r="H121" s="1006">
        <f>IFERROR(IF(VLOOKUP(K121,데이터입력!$C$42:$L$137,5,FALSE)&lt;1000,ROUNDUP(VLOOKUP(K121,데이터입력!$C$42:$L$137,5,FALSE)*1/1000,0),ROUND(VLOOKUP(K121,데이터입력!$C$42:$L$137,5,FALSE)*1/1000,0)),0)</f>
        <v>0</v>
      </c>
      <c r="I121" s="1006">
        <f t="shared" si="52"/>
        <v>0</v>
      </c>
      <c r="J121" s="1007">
        <f>I121-H121</f>
        <v>0</v>
      </c>
      <c r="K121" s="286" t="str">
        <f t="shared" ref="K121" si="54">L121&amp;"("&amp;G121&amp;")"</f>
        <v>수용비 및 수수료(후원금)</v>
      </c>
      <c r="L121" s="296" t="str">
        <f>L112</f>
        <v>수용비 및 수수료</v>
      </c>
      <c r="M121" s="297"/>
      <c r="N121" s="1008">
        <f>IF(R121="",AB112,ROUNDUP(AB112/R121,-3))</f>
        <v>0</v>
      </c>
      <c r="O121" s="1309" t="str">
        <f t="shared" si="53"/>
        <v/>
      </c>
      <c r="P121" s="1010"/>
      <c r="Q121" s="1009" t="s">
        <v>407</v>
      </c>
      <c r="R121" s="1011">
        <f>IF(VLOOKUP($L121,데이터입력!$R$130:$U$155,4,FALSE)="",데이터입력!$Y$8,VLOOKUP($L121,데이터입력!$R$130:$U$155,4,FALSE))</f>
        <v>12</v>
      </c>
      <c r="S121" s="1009"/>
      <c r="T121" s="1009" t="s">
        <v>408</v>
      </c>
      <c r="U121" s="1009"/>
      <c r="V121" s="1014"/>
      <c r="W121" s="1014"/>
      <c r="X121" s="1013">
        <f>IF(P121=0,N121*R121,N121*P121*R121)</f>
        <v>0</v>
      </c>
      <c r="Y121" s="1013"/>
      <c r="Z121" s="284"/>
      <c r="AA121" s="284"/>
      <c r="AB121" s="284"/>
    </row>
    <row r="122" spans="1:28" ht="24">
      <c r="A122" s="118"/>
      <c r="B122" s="118"/>
      <c r="C122" s="108" t="str">
        <f>데이터입력!$B$57</f>
        <v>공공요금 및 각종 세금공과금</v>
      </c>
      <c r="D122" s="108" t="str">
        <f>C122</f>
        <v>공공요금 및 각종 세금공과금</v>
      </c>
      <c r="E122" s="108">
        <v>501030301</v>
      </c>
      <c r="F122" s="981" t="s">
        <v>83</v>
      </c>
      <c r="G122" s="982" t="s">
        <v>6</v>
      </c>
      <c r="H122" s="983">
        <f>IFERROR(IF(VLOOKUP(K122,데이터입력!$C$42:$L$137,5,FALSE)&lt;1000,ROUNDUP(VLOOKUP(K122,데이터입력!$C$42:$L$137,5,FALSE)*1/1000,0),ROUND(VLOOKUP(K122,데이터입력!$C$42:$L$137,5,FALSE)*1/1000,0)),0)</f>
        <v>9000</v>
      </c>
      <c r="I122" s="983">
        <f>IFERROR(IF(F122="06",IF(V122&lt;1000,ROUNDUP((V122)*1/1000,0),ROUND((V122)*1/1000,0)),IF(F122="07",IF(W122&lt;1000,ROUNDUP((W122)*1/1000,0),ROUND((W122)*1/1000,0)),IF(F122="05",IF(X122&lt;1000,ROUNDUP((X122)*1/1000,0),ROUND((X122)*1/1000,0))))),0)</f>
        <v>6840</v>
      </c>
      <c r="J122" s="983">
        <f>I122-H122</f>
        <v>-2160</v>
      </c>
      <c r="K122" s="984" t="str">
        <f>L122&amp;"("&amp;G122&amp;")"</f>
        <v>공공요금 및 각종 세금공과금(수익사업)</v>
      </c>
      <c r="L122" s="112" t="str">
        <f>D122</f>
        <v>공공요금 및 각종 세금공과금</v>
      </c>
      <c r="M122" s="113"/>
      <c r="N122" s="985"/>
      <c r="O122" s="986"/>
      <c r="P122" s="985"/>
      <c r="Q122" s="986"/>
      <c r="R122" s="985"/>
      <c r="S122" s="986"/>
      <c r="T122" s="986"/>
      <c r="U122" s="986"/>
      <c r="V122" s="987">
        <f>SUM(V123,V130)</f>
        <v>6840000</v>
      </c>
      <c r="W122" s="987">
        <f>SUM(W123:W138)</f>
        <v>0</v>
      </c>
      <c r="X122" s="987">
        <f>SUM(X123:X138)</f>
        <v>0</v>
      </c>
      <c r="Y122" s="987">
        <f>SUM(V122:X122)</f>
        <v>6840000</v>
      </c>
      <c r="Z122" s="282">
        <f>IFERROR(VLOOKUP($L122,데이터입력!$R$67:$U$99,3,FALSE),0)</f>
        <v>6840000</v>
      </c>
      <c r="AA122" s="282">
        <f>IFERROR(VLOOKUP($L137,데이터입력!$R$100:$U$129,3,FALSE),0)</f>
        <v>0</v>
      </c>
      <c r="AB122" s="282">
        <f>IFERROR(VLOOKUP($L138,데이터입력!$R$130:$U$155,3,FALSE),0)</f>
        <v>0</v>
      </c>
    </row>
    <row r="123" spans="1:28">
      <c r="A123" s="118"/>
      <c r="B123" s="118"/>
      <c r="C123" s="118"/>
      <c r="D123" s="118"/>
      <c r="E123" s="118"/>
      <c r="F123" s="988"/>
      <c r="G123" s="989"/>
      <c r="H123" s="990"/>
      <c r="I123" s="990"/>
      <c r="J123" s="990"/>
      <c r="K123" s="992"/>
      <c r="L123" s="127" t="s">
        <v>179</v>
      </c>
      <c r="M123" s="263"/>
      <c r="O123" s="949"/>
      <c r="Q123" s="949"/>
      <c r="S123" s="949"/>
      <c r="T123" s="949"/>
      <c r="U123" s="949"/>
      <c r="V123" s="1019">
        <f>SUM(V124:V129)</f>
        <v>3768000</v>
      </c>
      <c r="W123" s="1019"/>
      <c r="X123" s="1019"/>
      <c r="Y123" s="1019"/>
      <c r="Z123" s="157"/>
      <c r="AA123" s="157"/>
      <c r="AB123" s="101"/>
    </row>
    <row r="124" spans="1:28">
      <c r="A124" s="118"/>
      <c r="B124" s="118"/>
      <c r="C124" s="118"/>
      <c r="D124" s="118"/>
      <c r="E124" s="118"/>
      <c r="F124" s="988"/>
      <c r="G124" s="989"/>
      <c r="H124" s="990"/>
      <c r="I124" s="990"/>
      <c r="J124" s="990"/>
      <c r="K124" s="992"/>
      <c r="L124" s="127" t="str">
        <f>"  - "&amp;데이터입력!Z44</f>
        <v xml:space="preserve">  - 공공요금</v>
      </c>
      <c r="M124" s="263"/>
      <c r="N124" s="961">
        <f>데이터입력!AA44</f>
        <v>34000</v>
      </c>
      <c r="O124" s="121" t="str">
        <f>IF(P124="","","x ")</f>
        <v/>
      </c>
      <c r="P124" s="963"/>
      <c r="Q124" s="962" t="s">
        <v>407</v>
      </c>
      <c r="R124" s="964">
        <f>데이터입력!$Y$8</f>
        <v>12</v>
      </c>
      <c r="S124" s="962"/>
      <c r="T124" s="962" t="s">
        <v>408</v>
      </c>
      <c r="U124" s="962"/>
      <c r="V124" s="965">
        <f>IF(P124=0,N124*R124,N124*P124*R124)</f>
        <v>408000</v>
      </c>
      <c r="W124" s="967"/>
      <c r="X124" s="967"/>
      <c r="Y124" s="967"/>
      <c r="Z124" s="101"/>
      <c r="AA124" s="101"/>
      <c r="AB124" s="101"/>
    </row>
    <row r="125" spans="1:28">
      <c r="A125" s="118"/>
      <c r="B125" s="118"/>
      <c r="C125" s="118"/>
      <c r="D125" s="118"/>
      <c r="E125" s="118"/>
      <c r="F125" s="988"/>
      <c r="G125" s="989"/>
      <c r="H125" s="990"/>
      <c r="I125" s="990"/>
      <c r="J125" s="990"/>
      <c r="K125" s="992"/>
      <c r="L125" s="127" t="str">
        <f>"  - "&amp;데이터입력!Z45</f>
        <v xml:space="preserve">  - TV,통신요금 등</v>
      </c>
      <c r="M125" s="263"/>
      <c r="N125" s="961">
        <f>데이터입력!AA45</f>
        <v>80000</v>
      </c>
      <c r="O125" s="121" t="str">
        <f>IF(P125="","","x ")</f>
        <v/>
      </c>
      <c r="P125" s="963"/>
      <c r="Q125" s="962" t="s">
        <v>407</v>
      </c>
      <c r="R125" s="964">
        <f>데이터입력!$Y$8</f>
        <v>12</v>
      </c>
      <c r="S125" s="962"/>
      <c r="T125" s="962" t="s">
        <v>408</v>
      </c>
      <c r="U125" s="962"/>
      <c r="V125" s="965">
        <f>IF(P125=0,N125*R125,N125*P125*R125)</f>
        <v>960000</v>
      </c>
      <c r="W125" s="967"/>
      <c r="X125" s="967"/>
      <c r="Y125" s="967"/>
      <c r="Z125" s="101"/>
      <c r="AA125" s="101"/>
      <c r="AB125" s="101"/>
    </row>
    <row r="126" spans="1:28">
      <c r="A126" s="118"/>
      <c r="B126" s="118"/>
      <c r="C126" s="118"/>
      <c r="D126" s="118"/>
      <c r="E126" s="118"/>
      <c r="F126" s="988"/>
      <c r="G126" s="989"/>
      <c r="H126" s="990"/>
      <c r="I126" s="990"/>
      <c r="J126" s="990"/>
      <c r="K126" s="992"/>
      <c r="L126" s="127" t="str">
        <f>"  - "&amp;데이터입력!Z46</f>
        <v xml:space="preserve">  - 기타(관리비 등)</v>
      </c>
      <c r="M126" s="263"/>
      <c r="N126" s="961">
        <f>데이터입력!AA46</f>
        <v>200000</v>
      </c>
      <c r="O126" s="121" t="str">
        <f>IF(P126="","","x ")</f>
        <v/>
      </c>
      <c r="P126" s="963"/>
      <c r="Q126" s="962" t="s">
        <v>407</v>
      </c>
      <c r="R126" s="964">
        <f>데이터입력!$Y$8</f>
        <v>12</v>
      </c>
      <c r="S126" s="962"/>
      <c r="T126" s="962" t="s">
        <v>408</v>
      </c>
      <c r="U126" s="962"/>
      <c r="V126" s="965">
        <f>IF(P126=0,N126*R126,N126*P126*R126)</f>
        <v>2400000</v>
      </c>
      <c r="W126" s="967"/>
      <c r="X126" s="967"/>
      <c r="Y126" s="967"/>
      <c r="Z126" s="101"/>
      <c r="AA126" s="101"/>
      <c r="AB126" s="101"/>
    </row>
    <row r="127" spans="1:28">
      <c r="A127" s="118"/>
      <c r="B127" s="118"/>
      <c r="C127" s="118"/>
      <c r="D127" s="118"/>
      <c r="E127" s="118"/>
      <c r="F127" s="988"/>
      <c r="G127" s="989"/>
      <c r="H127" s="990"/>
      <c r="I127" s="990"/>
      <c r="J127" s="990"/>
      <c r="K127" s="992"/>
      <c r="L127" s="127" t="str">
        <f>"  - "&amp;데이터입력!Z47</f>
        <v xml:space="preserve">  - </v>
      </c>
      <c r="M127" s="263"/>
      <c r="N127" s="961">
        <f>데이터입력!AA47</f>
        <v>0</v>
      </c>
      <c r="O127" s="121" t="str">
        <f>IF(P127="","","x ")</f>
        <v/>
      </c>
      <c r="P127" s="963"/>
      <c r="Q127" s="962" t="s">
        <v>407</v>
      </c>
      <c r="R127" s="964">
        <f>데이터입력!$Y$8</f>
        <v>12</v>
      </c>
      <c r="S127" s="962"/>
      <c r="T127" s="962" t="s">
        <v>408</v>
      </c>
      <c r="U127" s="962"/>
      <c r="V127" s="965">
        <f t="shared" ref="V127:V129" si="55">IF(P127=0,N127*R127,N127*P127*R127)</f>
        <v>0</v>
      </c>
      <c r="W127" s="967"/>
      <c r="X127" s="967"/>
      <c r="Y127" s="967"/>
      <c r="Z127" s="101"/>
      <c r="AA127" s="101"/>
      <c r="AB127" s="101"/>
    </row>
    <row r="128" spans="1:28" hidden="1">
      <c r="A128" s="118"/>
      <c r="B128" s="118"/>
      <c r="C128" s="118"/>
      <c r="D128" s="118"/>
      <c r="E128" s="118"/>
      <c r="F128" s="988"/>
      <c r="G128" s="989"/>
      <c r="H128" s="990"/>
      <c r="I128" s="990"/>
      <c r="J128" s="990"/>
      <c r="K128" s="992"/>
      <c r="L128" s="127" t="str">
        <f>"  - "&amp;데이터입력!Z48</f>
        <v xml:space="preserve">  - </v>
      </c>
      <c r="M128" s="263"/>
      <c r="N128" s="961">
        <f>데이터입력!AA48</f>
        <v>0</v>
      </c>
      <c r="O128" s="962" t="s">
        <v>407</v>
      </c>
      <c r="P128" s="963"/>
      <c r="Q128" s="962" t="s">
        <v>407</v>
      </c>
      <c r="R128" s="964">
        <f>데이터입력!$Y$8</f>
        <v>12</v>
      </c>
      <c r="S128" s="962"/>
      <c r="T128" s="962" t="s">
        <v>408</v>
      </c>
      <c r="U128" s="962"/>
      <c r="V128" s="965">
        <f t="shared" si="55"/>
        <v>0</v>
      </c>
      <c r="W128" s="967"/>
      <c r="X128" s="967"/>
      <c r="Y128" s="967"/>
      <c r="Z128" s="101"/>
      <c r="AA128" s="101"/>
      <c r="AB128" s="101"/>
    </row>
    <row r="129" spans="1:28" hidden="1">
      <c r="A129" s="118"/>
      <c r="B129" s="118"/>
      <c r="C129" s="118"/>
      <c r="D129" s="118"/>
      <c r="E129" s="118"/>
      <c r="F129" s="988"/>
      <c r="G129" s="989"/>
      <c r="H129" s="990"/>
      <c r="I129" s="990"/>
      <c r="J129" s="990"/>
      <c r="K129" s="992"/>
      <c r="L129" s="127" t="str">
        <f>"  - "&amp;데이터입력!Z49</f>
        <v xml:space="preserve">  - </v>
      </c>
      <c r="M129" s="263"/>
      <c r="N129" s="961">
        <f>데이터입력!AA49</f>
        <v>0</v>
      </c>
      <c r="O129" s="962" t="s">
        <v>407</v>
      </c>
      <c r="P129" s="963"/>
      <c r="Q129" s="962" t="s">
        <v>407</v>
      </c>
      <c r="R129" s="964">
        <f>데이터입력!$Y$8</f>
        <v>12</v>
      </c>
      <c r="S129" s="962"/>
      <c r="T129" s="962" t="s">
        <v>408</v>
      </c>
      <c r="U129" s="962"/>
      <c r="V129" s="965">
        <f t="shared" si="55"/>
        <v>0</v>
      </c>
      <c r="W129" s="967"/>
      <c r="X129" s="967"/>
      <c r="Y129" s="967"/>
      <c r="Z129" s="101"/>
      <c r="AA129" s="101"/>
      <c r="AB129" s="101"/>
    </row>
    <row r="130" spans="1:28">
      <c r="A130" s="118"/>
      <c r="B130" s="118"/>
      <c r="C130" s="118"/>
      <c r="D130" s="118"/>
      <c r="E130" s="118"/>
      <c r="F130" s="988"/>
      <c r="G130" s="989"/>
      <c r="H130" s="990"/>
      <c r="I130" s="990"/>
      <c r="J130" s="990"/>
      <c r="K130" s="992"/>
      <c r="L130" s="127" t="s">
        <v>183</v>
      </c>
      <c r="M130" s="263"/>
      <c r="O130" s="949"/>
      <c r="Q130" s="949"/>
      <c r="S130" s="949"/>
      <c r="T130" s="949"/>
      <c r="U130" s="949"/>
      <c r="V130" s="1019">
        <f>SUM(V131:V136)</f>
        <v>3072000</v>
      </c>
      <c r="W130" s="1019"/>
      <c r="X130" s="1019"/>
      <c r="Y130" s="1019"/>
      <c r="Z130" s="151"/>
      <c r="AA130" s="151"/>
      <c r="AB130" s="101"/>
    </row>
    <row r="131" spans="1:28">
      <c r="A131" s="118"/>
      <c r="B131" s="118"/>
      <c r="C131" s="118"/>
      <c r="D131" s="118"/>
      <c r="E131" s="118"/>
      <c r="F131" s="988"/>
      <c r="G131" s="989"/>
      <c r="H131" s="990"/>
      <c r="I131" s="990"/>
      <c r="J131" s="990"/>
      <c r="K131" s="992"/>
      <c r="L131" s="127" t="str">
        <f>"  - "&amp;데이터입력!AB44</f>
        <v xml:space="preserve">  - 각종세금 등</v>
      </c>
      <c r="M131" s="263"/>
      <c r="N131" s="961">
        <f>데이터입력!AC44</f>
        <v>6000</v>
      </c>
      <c r="O131" s="121" t="str">
        <f t="shared" ref="O131:O136" si="56">IF(P131="","","x ")</f>
        <v/>
      </c>
      <c r="P131" s="963"/>
      <c r="Q131" s="962" t="s">
        <v>407</v>
      </c>
      <c r="R131" s="964">
        <f>데이터입력!$Y$8</f>
        <v>12</v>
      </c>
      <c r="S131" s="962"/>
      <c r="T131" s="962" t="s">
        <v>408</v>
      </c>
      <c r="U131" s="962"/>
      <c r="V131" s="965">
        <f>IF(P131=0,N131*R131,N131*P131*R131)</f>
        <v>72000</v>
      </c>
      <c r="W131" s="967"/>
      <c r="X131" s="967"/>
      <c r="Y131" s="967"/>
      <c r="Z131" s="101"/>
      <c r="AA131" s="101"/>
      <c r="AB131" s="101"/>
    </row>
    <row r="132" spans="1:28">
      <c r="A132" s="118"/>
      <c r="B132" s="118"/>
      <c r="C132" s="118"/>
      <c r="D132" s="118"/>
      <c r="E132" s="118"/>
      <c r="F132" s="988"/>
      <c r="G132" s="989"/>
      <c r="H132" s="990"/>
      <c r="I132" s="990"/>
      <c r="J132" s="990"/>
      <c r="K132" s="992"/>
      <c r="L132" s="127" t="str">
        <f>"  - "&amp;데이터입력!AB45</f>
        <v xml:space="preserve">  - 각종공과금 등</v>
      </c>
      <c r="M132" s="263"/>
      <c r="N132" s="961">
        <f>데이터입력!AC45</f>
        <v>170000</v>
      </c>
      <c r="O132" s="121" t="str">
        <f t="shared" si="56"/>
        <v/>
      </c>
      <c r="P132" s="963"/>
      <c r="Q132" s="962" t="s">
        <v>407</v>
      </c>
      <c r="R132" s="964">
        <f>데이터입력!$Y$8</f>
        <v>12</v>
      </c>
      <c r="S132" s="962"/>
      <c r="T132" s="962" t="s">
        <v>408</v>
      </c>
      <c r="U132" s="962"/>
      <c r="V132" s="965">
        <f>IF(P132=0,N132*R132,N132*P132*R132)</f>
        <v>2040000</v>
      </c>
      <c r="W132" s="967"/>
      <c r="X132" s="967"/>
      <c r="Y132" s="967"/>
      <c r="Z132" s="101"/>
      <c r="AA132" s="101"/>
      <c r="AB132" s="101"/>
    </row>
    <row r="133" spans="1:28">
      <c r="A133" s="118"/>
      <c r="B133" s="118"/>
      <c r="C133" s="118"/>
      <c r="D133" s="118"/>
      <c r="E133" s="118"/>
      <c r="F133" s="988"/>
      <c r="G133" s="989"/>
      <c r="H133" s="990"/>
      <c r="I133" s="990"/>
      <c r="J133" s="990"/>
      <c r="K133" s="992"/>
      <c r="L133" s="127" t="str">
        <f>"  - "&amp;데이터입력!AB46</f>
        <v xml:space="preserve">  - 기타(보험료 등)</v>
      </c>
      <c r="M133" s="263"/>
      <c r="N133" s="961">
        <f>데이터입력!AC46</f>
        <v>80000</v>
      </c>
      <c r="O133" s="121" t="str">
        <f t="shared" si="56"/>
        <v/>
      </c>
      <c r="P133" s="963"/>
      <c r="Q133" s="962" t="s">
        <v>407</v>
      </c>
      <c r="R133" s="964">
        <f>데이터입력!$Y$8</f>
        <v>12</v>
      </c>
      <c r="S133" s="962"/>
      <c r="T133" s="962" t="s">
        <v>408</v>
      </c>
      <c r="U133" s="962"/>
      <c r="V133" s="965">
        <f>IF(P133=0,N133*R133,N133*P133*R133)</f>
        <v>960000</v>
      </c>
      <c r="W133" s="967"/>
      <c r="X133" s="967"/>
      <c r="Y133" s="967"/>
      <c r="Z133" s="101"/>
      <c r="AA133" s="101"/>
      <c r="AB133" s="101"/>
    </row>
    <row r="134" spans="1:28">
      <c r="A134" s="118"/>
      <c r="B134" s="118"/>
      <c r="C134" s="118"/>
      <c r="D134" s="118"/>
      <c r="E134" s="118"/>
      <c r="F134" s="988"/>
      <c r="G134" s="989"/>
      <c r="H134" s="990"/>
      <c r="I134" s="990"/>
      <c r="J134" s="990"/>
      <c r="K134" s="992"/>
      <c r="L134" s="127" t="str">
        <f>"  - "&amp;데이터입력!AB47</f>
        <v xml:space="preserve">  - </v>
      </c>
      <c r="M134" s="263"/>
      <c r="N134" s="961">
        <f>데이터입력!AC47</f>
        <v>0</v>
      </c>
      <c r="O134" s="121" t="str">
        <f t="shared" si="56"/>
        <v/>
      </c>
      <c r="P134" s="963"/>
      <c r="Q134" s="962" t="s">
        <v>407</v>
      </c>
      <c r="R134" s="964">
        <f>데이터입력!$Y$8</f>
        <v>12</v>
      </c>
      <c r="S134" s="962"/>
      <c r="T134" s="962" t="s">
        <v>408</v>
      </c>
      <c r="U134" s="962"/>
      <c r="V134" s="965">
        <f t="shared" ref="V134:V136" si="57">IF(P134=0,N134*R134,N134*P134*R134)</f>
        <v>0</v>
      </c>
      <c r="W134" s="967"/>
      <c r="X134" s="967"/>
      <c r="Y134" s="967"/>
      <c r="Z134" s="101"/>
      <c r="AA134" s="101"/>
      <c r="AB134" s="101"/>
    </row>
    <row r="135" spans="1:28" hidden="1">
      <c r="A135" s="118"/>
      <c r="B135" s="118"/>
      <c r="C135" s="118"/>
      <c r="D135" s="118"/>
      <c r="E135" s="118"/>
      <c r="F135" s="988"/>
      <c r="G135" s="989"/>
      <c r="H135" s="990"/>
      <c r="I135" s="990"/>
      <c r="J135" s="990"/>
      <c r="K135" s="992"/>
      <c r="L135" s="127" t="str">
        <f>"  - "&amp;데이터입력!AB48</f>
        <v xml:space="preserve">  - </v>
      </c>
      <c r="M135" s="263"/>
      <c r="N135" s="961">
        <f>데이터입력!AC48</f>
        <v>0</v>
      </c>
      <c r="O135" s="121" t="str">
        <f t="shared" si="56"/>
        <v/>
      </c>
      <c r="P135" s="963"/>
      <c r="Q135" s="962" t="s">
        <v>407</v>
      </c>
      <c r="R135" s="964">
        <f>데이터입력!$Y$8</f>
        <v>12</v>
      </c>
      <c r="S135" s="962"/>
      <c r="T135" s="962" t="s">
        <v>408</v>
      </c>
      <c r="U135" s="962"/>
      <c r="V135" s="965">
        <f t="shared" si="57"/>
        <v>0</v>
      </c>
      <c r="W135" s="967"/>
      <c r="X135" s="967"/>
      <c r="Y135" s="967"/>
      <c r="Z135" s="101"/>
      <c r="AA135" s="101"/>
      <c r="AB135" s="101"/>
    </row>
    <row r="136" spans="1:28" hidden="1">
      <c r="A136" s="118"/>
      <c r="B136" s="118"/>
      <c r="C136" s="118"/>
      <c r="D136" s="118"/>
      <c r="E136" s="118"/>
      <c r="F136" s="988"/>
      <c r="G136" s="989"/>
      <c r="H136" s="990"/>
      <c r="I136" s="990"/>
      <c r="J136" s="990"/>
      <c r="K136" s="992"/>
      <c r="L136" s="127" t="str">
        <f>"  - "&amp;데이터입력!AB49</f>
        <v xml:space="preserve">  - </v>
      </c>
      <c r="M136" s="263"/>
      <c r="N136" s="961">
        <f>데이터입력!AC49</f>
        <v>0</v>
      </c>
      <c r="O136" s="121" t="str">
        <f t="shared" si="56"/>
        <v/>
      </c>
      <c r="P136" s="963"/>
      <c r="Q136" s="962" t="s">
        <v>407</v>
      </c>
      <c r="R136" s="964">
        <f>데이터입력!$Y$8</f>
        <v>12</v>
      </c>
      <c r="S136" s="962"/>
      <c r="T136" s="962" t="s">
        <v>408</v>
      </c>
      <c r="U136" s="962"/>
      <c r="V136" s="965">
        <f t="shared" si="57"/>
        <v>0</v>
      </c>
      <c r="W136" s="967"/>
      <c r="X136" s="967"/>
      <c r="Y136" s="967"/>
      <c r="Z136" s="101"/>
      <c r="AA136" s="101"/>
      <c r="AB136" s="101"/>
    </row>
    <row r="137" spans="1:28">
      <c r="A137" s="118"/>
      <c r="B137" s="118"/>
      <c r="C137" s="118"/>
      <c r="D137" s="118"/>
      <c r="E137" s="118"/>
      <c r="F137" s="993" t="s">
        <v>422</v>
      </c>
      <c r="G137" s="994" t="s">
        <v>384</v>
      </c>
      <c r="H137" s="995">
        <f>IFERROR(IF(VLOOKUP(K137,데이터입력!$C$42:$L$137,5,FALSE)&lt;1000,ROUNDUP(VLOOKUP(K137,데이터입력!$C$42:$L$137,5,FALSE)*1/1000,0),ROUND(VLOOKUP(K137,데이터입력!$C$42:$L$137,5,FALSE)*1/1000,0)),0)</f>
        <v>0</v>
      </c>
      <c r="I137" s="995">
        <f t="shared" ref="I137:I138" si="58">IFERROR(IF(F137="06",IF(V137&lt;1000,ROUNDUP((V137)*1/1000,0),ROUND((V137)*1/1000,0)),IF(F137="07",IF(W137&lt;1000,ROUNDUP((W137)*1/1000,0),ROUND((W137)*1/1000,0)),IF(F137="05",IF(X137&lt;1000,ROUNDUP((X137)*1/1000,0),ROUND((X137)*1/1000,0))))),0)</f>
        <v>0</v>
      </c>
      <c r="J137" s="996">
        <f>I137-H137</f>
        <v>0</v>
      </c>
      <c r="K137" s="285" t="str">
        <f>L137&amp;"("&amp;G137&amp;")"</f>
        <v>공공요금 및 각종 세금공과금(보조금)</v>
      </c>
      <c r="L137" s="294" t="str">
        <f>L122</f>
        <v>공공요금 및 각종 세금공과금</v>
      </c>
      <c r="M137" s="295"/>
      <c r="N137" s="997">
        <f>IF(R137="",AA122,ROUNDUP(AA122/R137,-3))</f>
        <v>0</v>
      </c>
      <c r="O137" s="1310" t="str">
        <f t="shared" ref="O137:O138" si="59">IF(P137="","","x ")</f>
        <v/>
      </c>
      <c r="P137" s="999"/>
      <c r="Q137" s="998" t="s">
        <v>407</v>
      </c>
      <c r="R137" s="1000">
        <f>IF(VLOOKUP($L137,데이터입력!$R$100:$U$129,4,FALSE)="",데이터입력!$Y$8,VLOOKUP($L137,데이터입력!$R$100:$U$129,4,FALSE))</f>
        <v>12</v>
      </c>
      <c r="S137" s="998"/>
      <c r="T137" s="998" t="s">
        <v>408</v>
      </c>
      <c r="U137" s="998"/>
      <c r="V137" s="1003"/>
      <c r="W137" s="1003">
        <f>IF(P137=0,N137*R137,N137*P137*R137)</f>
        <v>0</v>
      </c>
      <c r="X137" s="1002"/>
      <c r="Y137" s="1002"/>
      <c r="Z137" s="101"/>
      <c r="AA137" s="101"/>
      <c r="AB137" s="101"/>
    </row>
    <row r="138" spans="1:28">
      <c r="A138" s="118"/>
      <c r="B138" s="118"/>
      <c r="C138" s="118"/>
      <c r="D138" s="118"/>
      <c r="E138" s="118"/>
      <c r="F138" s="1004" t="s">
        <v>85</v>
      </c>
      <c r="G138" s="1005" t="s">
        <v>19</v>
      </c>
      <c r="H138" s="1006">
        <f>IFERROR(IF(VLOOKUP(K138,데이터입력!$C$42:$L$137,5,FALSE)&lt;1000,ROUNDUP(VLOOKUP(K138,데이터입력!$C$42:$L$137,5,FALSE)*1/1000,0),ROUND(VLOOKUP(K138,데이터입력!$C$42:$L$137,5,FALSE)*1/1000,0)),0)</f>
        <v>0</v>
      </c>
      <c r="I138" s="1006">
        <f t="shared" si="58"/>
        <v>0</v>
      </c>
      <c r="J138" s="1007">
        <f>I138-H138</f>
        <v>0</v>
      </c>
      <c r="K138" s="286" t="str">
        <f t="shared" ref="K138" si="60">L138&amp;"("&amp;G138&amp;")"</f>
        <v>공공요금 및 각종 세금공과금(후원금)</v>
      </c>
      <c r="L138" s="296" t="str">
        <f>L122</f>
        <v>공공요금 및 각종 세금공과금</v>
      </c>
      <c r="M138" s="297"/>
      <c r="N138" s="1008">
        <f>IF(R138="",AB122,ROUNDUP(AB122/R138,-3))</f>
        <v>0</v>
      </c>
      <c r="O138" s="1309" t="str">
        <f t="shared" si="59"/>
        <v/>
      </c>
      <c r="P138" s="1010"/>
      <c r="Q138" s="1009" t="s">
        <v>407</v>
      </c>
      <c r="R138" s="1011">
        <f>IF(VLOOKUP($L138,데이터입력!$R$130:$U$155,4,FALSE)="",데이터입력!$Y$8,VLOOKUP($L138,데이터입력!$R$130:$U$155,4,FALSE))</f>
        <v>12</v>
      </c>
      <c r="S138" s="1009"/>
      <c r="T138" s="1009" t="s">
        <v>408</v>
      </c>
      <c r="U138" s="1009"/>
      <c r="V138" s="1014"/>
      <c r="W138" s="1014"/>
      <c r="X138" s="1013">
        <f>IF(P138=0,N138*R138,N138*P138*R138)</f>
        <v>0</v>
      </c>
      <c r="Y138" s="1013"/>
      <c r="Z138" s="101"/>
      <c r="AA138" s="101"/>
      <c r="AB138" s="101"/>
    </row>
    <row r="139" spans="1:28">
      <c r="A139" s="118"/>
      <c r="B139" s="118"/>
      <c r="C139" s="108" t="s">
        <v>55</v>
      </c>
      <c r="D139" s="108" t="s">
        <v>55</v>
      </c>
      <c r="E139" s="108">
        <v>501030501</v>
      </c>
      <c r="F139" s="981" t="s">
        <v>83</v>
      </c>
      <c r="G139" s="982" t="s">
        <v>6</v>
      </c>
      <c r="H139" s="983">
        <f>IFERROR(IF(VLOOKUP(K139,데이터입력!$C$42:$L$137,5,FALSE)&lt;1000,ROUNDUP(VLOOKUP(K139,데이터입력!$C$42:$L$137,5,FALSE)*1/1000,0),ROUND(VLOOKUP(K139,데이터입력!$C$42:$L$137,5,FALSE)*1/1000,0)),0)</f>
        <v>6600</v>
      </c>
      <c r="I139" s="983">
        <f>IFERROR(IF(F139="06",IF(V139&lt;1000,ROUNDUP((V139)*1/1000,0),ROUND((V139)*1/1000,0)),IF(F139="07",IF(W139&lt;1000,ROUNDUP((W139)*1/1000,0),ROUND((W139)*1/1000,0)),IF(F139="05",IF(X139&lt;1000,ROUNDUP((X139)*1/1000,0),ROUND((X139)*1/1000,0))))),0)</f>
        <v>7200</v>
      </c>
      <c r="J139" s="983">
        <f>I139-H139</f>
        <v>600</v>
      </c>
      <c r="K139" s="984" t="str">
        <f>L139&amp;"("&amp;G139&amp;")"</f>
        <v>차량비(수익사업)</v>
      </c>
      <c r="L139" s="112" t="str">
        <f>D139</f>
        <v>차량비</v>
      </c>
      <c r="M139" s="113"/>
      <c r="N139" s="985"/>
      <c r="O139" s="986"/>
      <c r="P139" s="985"/>
      <c r="Q139" s="986"/>
      <c r="R139" s="985"/>
      <c r="S139" s="986"/>
      <c r="T139" s="986"/>
      <c r="U139" s="986"/>
      <c r="V139" s="987">
        <f>SUM(V140:V148)</f>
        <v>7200000</v>
      </c>
      <c r="W139" s="987">
        <f>SUM(W140:W148)</f>
        <v>0</v>
      </c>
      <c r="X139" s="987">
        <f>SUM(X140:X148)</f>
        <v>0</v>
      </c>
      <c r="Y139" s="987">
        <f>SUM(V139:X139)</f>
        <v>7200000</v>
      </c>
      <c r="Z139" s="282">
        <f>IFERROR(VLOOKUP($L139,데이터입력!$R$67:$U$99,3,FALSE),0)</f>
        <v>7200000</v>
      </c>
      <c r="AA139" s="282">
        <f>IFERROR(VLOOKUP($L147,데이터입력!$R$100:$U$129,3,FALSE),0)</f>
        <v>0</v>
      </c>
      <c r="AB139" s="282">
        <f>IFERROR(VLOOKUP($L148,데이터입력!$R$130:$U$155,3,FALSE),0)</f>
        <v>0</v>
      </c>
    </row>
    <row r="140" spans="1:28">
      <c r="A140" s="118"/>
      <c r="B140" s="118"/>
      <c r="C140" s="118"/>
      <c r="D140" s="118"/>
      <c r="E140" s="118"/>
      <c r="F140" s="988"/>
      <c r="G140" s="989"/>
      <c r="H140" s="990"/>
      <c r="I140" s="990"/>
      <c r="J140" s="990"/>
      <c r="K140" s="992"/>
      <c r="L140" s="127" t="str">
        <f>"  - "&amp;데이터입력!AD43</f>
        <v xml:space="preserve">  - 주유비</v>
      </c>
      <c r="M140" s="263"/>
      <c r="N140" s="961">
        <f>데이터입력!AE43</f>
        <v>430000</v>
      </c>
      <c r="O140" s="121" t="str">
        <f t="shared" ref="O140:O146" si="61">IF(P140="","","x ")</f>
        <v/>
      </c>
      <c r="P140" s="963"/>
      <c r="Q140" s="962" t="s">
        <v>407</v>
      </c>
      <c r="R140" s="964">
        <f>데이터입력!AF43</f>
        <v>12</v>
      </c>
      <c r="S140" s="962"/>
      <c r="T140" s="962" t="s">
        <v>408</v>
      </c>
      <c r="U140" s="962"/>
      <c r="V140" s="965">
        <f>IF(P140=0,N140*R140,N140*P140*R140)</f>
        <v>5160000</v>
      </c>
      <c r="W140" s="967"/>
      <c r="X140" s="967"/>
      <c r="Y140" s="967"/>
      <c r="Z140" s="156"/>
      <c r="AA140" s="156"/>
      <c r="AB140" s="101"/>
    </row>
    <row r="141" spans="1:28">
      <c r="A141" s="118"/>
      <c r="B141" s="118"/>
      <c r="C141" s="118"/>
      <c r="D141" s="118"/>
      <c r="E141" s="118"/>
      <c r="F141" s="988"/>
      <c r="G141" s="989"/>
      <c r="H141" s="990"/>
      <c r="I141" s="990"/>
      <c r="J141" s="990"/>
      <c r="K141" s="992"/>
      <c r="L141" s="127" t="str">
        <f>"  - "&amp;데이터입력!AD44</f>
        <v xml:space="preserve">  - 수리비</v>
      </c>
      <c r="M141" s="263"/>
      <c r="N141" s="961">
        <f>데이터입력!AE44</f>
        <v>170000</v>
      </c>
      <c r="O141" s="121" t="str">
        <f t="shared" si="61"/>
        <v/>
      </c>
      <c r="P141" s="963"/>
      <c r="Q141" s="962" t="s">
        <v>407</v>
      </c>
      <c r="R141" s="964">
        <f>데이터입력!AF44</f>
        <v>12</v>
      </c>
      <c r="S141" s="962"/>
      <c r="T141" s="962" t="s">
        <v>408</v>
      </c>
      <c r="U141" s="962"/>
      <c r="V141" s="965">
        <f>IF(P141=0,N141*R141,N141*P141*R141)</f>
        <v>2040000</v>
      </c>
      <c r="W141" s="967"/>
      <c r="X141" s="967"/>
      <c r="Y141" s="967"/>
      <c r="Z141" s="156"/>
      <c r="AA141" s="156"/>
      <c r="AB141" s="101"/>
    </row>
    <row r="142" spans="1:28">
      <c r="A142" s="118"/>
      <c r="B142" s="118"/>
      <c r="C142" s="118"/>
      <c r="D142" s="118"/>
      <c r="E142" s="118"/>
      <c r="F142" s="988"/>
      <c r="G142" s="989"/>
      <c r="H142" s="990"/>
      <c r="I142" s="990"/>
      <c r="J142" s="990"/>
      <c r="K142" s="992"/>
      <c r="L142" s="127" t="str">
        <f>"  - "&amp;데이터입력!AD45</f>
        <v xml:space="preserve">  - </v>
      </c>
      <c r="M142" s="263"/>
      <c r="N142" s="961">
        <f>데이터입력!AE45</f>
        <v>0</v>
      </c>
      <c r="O142" s="121" t="str">
        <f t="shared" si="61"/>
        <v/>
      </c>
      <c r="P142" s="963"/>
      <c r="Q142" s="962" t="s">
        <v>407</v>
      </c>
      <c r="R142" s="964">
        <f>데이터입력!AF45</f>
        <v>12</v>
      </c>
      <c r="S142" s="962"/>
      <c r="T142" s="962" t="s">
        <v>408</v>
      </c>
      <c r="U142" s="962"/>
      <c r="V142" s="965">
        <f t="shared" ref="V142:V146" si="62">IF(P142=0,N142*R142,N142*P142*R142)</f>
        <v>0</v>
      </c>
      <c r="W142" s="967"/>
      <c r="X142" s="967"/>
      <c r="Y142" s="967"/>
      <c r="Z142" s="156"/>
      <c r="AA142" s="156"/>
      <c r="AB142" s="101"/>
    </row>
    <row r="143" spans="1:28" hidden="1">
      <c r="A143" s="118"/>
      <c r="B143" s="118"/>
      <c r="C143" s="118"/>
      <c r="D143" s="118"/>
      <c r="E143" s="118"/>
      <c r="F143" s="988"/>
      <c r="G143" s="989"/>
      <c r="H143" s="990"/>
      <c r="I143" s="990"/>
      <c r="J143" s="990"/>
      <c r="K143" s="992"/>
      <c r="L143" s="127" t="str">
        <f>"  - "&amp;데이터입력!AD46</f>
        <v xml:space="preserve">  - </v>
      </c>
      <c r="M143" s="263"/>
      <c r="N143" s="961">
        <f>데이터입력!AE46</f>
        <v>0</v>
      </c>
      <c r="O143" s="121" t="str">
        <f t="shared" si="61"/>
        <v/>
      </c>
      <c r="P143" s="963"/>
      <c r="Q143" s="962" t="s">
        <v>407</v>
      </c>
      <c r="R143" s="964">
        <f>데이터입력!AF46</f>
        <v>12</v>
      </c>
      <c r="S143" s="962"/>
      <c r="T143" s="962" t="s">
        <v>408</v>
      </c>
      <c r="U143" s="962"/>
      <c r="V143" s="965">
        <f t="shared" si="62"/>
        <v>0</v>
      </c>
      <c r="W143" s="967"/>
      <c r="X143" s="967"/>
      <c r="Y143" s="967"/>
      <c r="Z143" s="156"/>
      <c r="AA143" s="156"/>
      <c r="AB143" s="101"/>
    </row>
    <row r="144" spans="1:28" hidden="1">
      <c r="A144" s="118"/>
      <c r="B144" s="118"/>
      <c r="C144" s="118"/>
      <c r="D144" s="118"/>
      <c r="E144" s="118"/>
      <c r="F144" s="988"/>
      <c r="G144" s="989"/>
      <c r="H144" s="990"/>
      <c r="I144" s="990"/>
      <c r="J144" s="990"/>
      <c r="K144" s="992"/>
      <c r="L144" s="127" t="str">
        <f>"  - "&amp;데이터입력!AD47</f>
        <v xml:space="preserve">  - </v>
      </c>
      <c r="M144" s="263"/>
      <c r="N144" s="961">
        <f>데이터입력!AE47</f>
        <v>0</v>
      </c>
      <c r="O144" s="121" t="str">
        <f t="shared" si="61"/>
        <v/>
      </c>
      <c r="P144" s="963"/>
      <c r="Q144" s="962" t="s">
        <v>407</v>
      </c>
      <c r="R144" s="964">
        <f>데이터입력!AF47</f>
        <v>12</v>
      </c>
      <c r="S144" s="962"/>
      <c r="T144" s="962" t="s">
        <v>408</v>
      </c>
      <c r="U144" s="962"/>
      <c r="V144" s="965">
        <f t="shared" si="62"/>
        <v>0</v>
      </c>
      <c r="W144" s="967"/>
      <c r="X144" s="967"/>
      <c r="Y144" s="967"/>
      <c r="Z144" s="156"/>
      <c r="AA144" s="156"/>
      <c r="AB144" s="101"/>
    </row>
    <row r="145" spans="1:28" hidden="1">
      <c r="A145" s="118"/>
      <c r="B145" s="118"/>
      <c r="C145" s="118"/>
      <c r="D145" s="118"/>
      <c r="E145" s="118"/>
      <c r="F145" s="988"/>
      <c r="G145" s="989"/>
      <c r="H145" s="990"/>
      <c r="I145" s="990"/>
      <c r="J145" s="990"/>
      <c r="K145" s="992"/>
      <c r="L145" s="127" t="str">
        <f>"  - "&amp;데이터입력!AD48</f>
        <v xml:space="preserve">  - </v>
      </c>
      <c r="M145" s="263"/>
      <c r="N145" s="961">
        <f>데이터입력!AE48</f>
        <v>0</v>
      </c>
      <c r="O145" s="121" t="str">
        <f t="shared" si="61"/>
        <v/>
      </c>
      <c r="P145" s="963"/>
      <c r="Q145" s="962" t="s">
        <v>407</v>
      </c>
      <c r="R145" s="964">
        <f>데이터입력!AF48</f>
        <v>12</v>
      </c>
      <c r="S145" s="962"/>
      <c r="T145" s="962" t="s">
        <v>408</v>
      </c>
      <c r="U145" s="962"/>
      <c r="V145" s="965">
        <f t="shared" si="62"/>
        <v>0</v>
      </c>
      <c r="W145" s="967"/>
      <c r="X145" s="967"/>
      <c r="Y145" s="967"/>
      <c r="Z145" s="156"/>
      <c r="AA145" s="156"/>
      <c r="AB145" s="101"/>
    </row>
    <row r="146" spans="1:28" hidden="1">
      <c r="A146" s="118"/>
      <c r="B146" s="118"/>
      <c r="C146" s="118"/>
      <c r="D146" s="118"/>
      <c r="E146" s="118"/>
      <c r="F146" s="988"/>
      <c r="G146" s="989"/>
      <c r="H146" s="990"/>
      <c r="I146" s="990"/>
      <c r="J146" s="990"/>
      <c r="K146" s="992"/>
      <c r="L146" s="127" t="str">
        <f>"  - "&amp;데이터입력!AD49</f>
        <v xml:space="preserve">  - </v>
      </c>
      <c r="M146" s="263"/>
      <c r="N146" s="961">
        <f>데이터입력!AE49</f>
        <v>0</v>
      </c>
      <c r="O146" s="121" t="str">
        <f t="shared" si="61"/>
        <v/>
      </c>
      <c r="P146" s="963"/>
      <c r="Q146" s="962" t="s">
        <v>407</v>
      </c>
      <c r="R146" s="964">
        <f>데이터입력!AF49</f>
        <v>12</v>
      </c>
      <c r="S146" s="962"/>
      <c r="T146" s="962" t="s">
        <v>408</v>
      </c>
      <c r="U146" s="962"/>
      <c r="V146" s="965">
        <f t="shared" si="62"/>
        <v>0</v>
      </c>
      <c r="W146" s="967"/>
      <c r="X146" s="967"/>
      <c r="Y146" s="967"/>
      <c r="Z146" s="156"/>
      <c r="AA146" s="156"/>
      <c r="AB146" s="101"/>
    </row>
    <row r="147" spans="1:28">
      <c r="A147" s="118"/>
      <c r="B147" s="118"/>
      <c r="C147" s="118"/>
      <c r="D147" s="118"/>
      <c r="E147" s="118"/>
      <c r="F147" s="993" t="s">
        <v>422</v>
      </c>
      <c r="G147" s="994" t="s">
        <v>384</v>
      </c>
      <c r="H147" s="995">
        <f>IFERROR(IF(VLOOKUP(K147,데이터입력!$C$42:$L$137,5,FALSE)&lt;1000,ROUNDUP(VLOOKUP(K147,데이터입력!$C$42:$L$137,5,FALSE)*1/1000,0),ROUND(VLOOKUP(K147,데이터입력!$C$42:$L$137,5,FALSE)*1/1000,0)),0)</f>
        <v>0</v>
      </c>
      <c r="I147" s="995">
        <f t="shared" ref="I147:I148" si="63">IFERROR(IF(F147="06",IF(V147&lt;1000,ROUNDUP((V147)*1/1000,0),ROUND((V147)*1/1000,0)),IF(F147="07",IF(W147&lt;1000,ROUNDUP((W147)*1/1000,0),ROUND((W147)*1/1000,0)),IF(F147="05",IF(X147&lt;1000,ROUNDUP((X147)*1/1000,0),ROUND((X147)*1/1000,0))))),0)</f>
        <v>0</v>
      </c>
      <c r="J147" s="996">
        <f>I147-H147</f>
        <v>0</v>
      </c>
      <c r="K147" s="285" t="str">
        <f>L147&amp;"("&amp;G147&amp;")"</f>
        <v>차량비(보조금)</v>
      </c>
      <c r="L147" s="294" t="str">
        <f>L139</f>
        <v>차량비</v>
      </c>
      <c r="M147" s="295"/>
      <c r="N147" s="997">
        <f>IF(R147="",AA139,ROUNDUP(AA139/R147,-3))</f>
        <v>0</v>
      </c>
      <c r="O147" s="1310" t="str">
        <f t="shared" ref="O147:O148" si="64">IF(P147="","","x ")</f>
        <v/>
      </c>
      <c r="P147" s="999"/>
      <c r="Q147" s="998" t="s">
        <v>407</v>
      </c>
      <c r="R147" s="1000">
        <f>IF(VLOOKUP($L147,데이터입력!$R$100:$U$129,4,FALSE)="",데이터입력!$Y$8,VLOOKUP($L147,데이터입력!$R$100:$U$129,4,FALSE))</f>
        <v>12</v>
      </c>
      <c r="S147" s="998"/>
      <c r="T147" s="998" t="s">
        <v>408</v>
      </c>
      <c r="U147" s="998"/>
      <c r="V147" s="1003"/>
      <c r="W147" s="1003">
        <f>IF(P147=0,N147*R147,N147*P147*R147)</f>
        <v>0</v>
      </c>
      <c r="X147" s="1002"/>
      <c r="Y147" s="1002"/>
      <c r="Z147" s="101"/>
      <c r="AA147" s="101"/>
      <c r="AB147" s="101"/>
    </row>
    <row r="148" spans="1:28">
      <c r="A148" s="118"/>
      <c r="B148" s="118"/>
      <c r="C148" s="118"/>
      <c r="D148" s="118"/>
      <c r="E148" s="118"/>
      <c r="F148" s="1004" t="s">
        <v>85</v>
      </c>
      <c r="G148" s="1005" t="s">
        <v>19</v>
      </c>
      <c r="H148" s="1006">
        <f>IFERROR(IF(VLOOKUP(K148,데이터입력!$C$42:$L$137,5,FALSE)&lt;1000,ROUNDUP(VLOOKUP(K148,데이터입력!$C$42:$L$137,5,FALSE)*1/1000,0),ROUND(VLOOKUP(K148,데이터입력!$C$42:$L$137,5,FALSE)*1/1000,0)),0)</f>
        <v>0</v>
      </c>
      <c r="I148" s="1006">
        <f t="shared" si="63"/>
        <v>0</v>
      </c>
      <c r="J148" s="1007">
        <f>I148-H148</f>
        <v>0</v>
      </c>
      <c r="K148" s="286" t="str">
        <f t="shared" ref="K148" si="65">L148&amp;"("&amp;G148&amp;")"</f>
        <v>차량비(후원금)</v>
      </c>
      <c r="L148" s="296" t="str">
        <f>L139</f>
        <v>차량비</v>
      </c>
      <c r="M148" s="297"/>
      <c r="N148" s="1008">
        <f>IF(R148="",AB139,ROUNDUP(AB139/R148,-3))</f>
        <v>0</v>
      </c>
      <c r="O148" s="1309" t="str">
        <f t="shared" si="64"/>
        <v/>
      </c>
      <c r="P148" s="1010"/>
      <c r="Q148" s="1009" t="s">
        <v>407</v>
      </c>
      <c r="R148" s="1011">
        <f>IF(VLOOKUP($L148,데이터입력!$R$130:$U$155,4,FALSE)="",데이터입력!$Y$8,VLOOKUP($L148,데이터입력!$R$130:$U$155,4,FALSE))</f>
        <v>12</v>
      </c>
      <c r="S148" s="1009"/>
      <c r="T148" s="1009" t="s">
        <v>408</v>
      </c>
      <c r="U148" s="1009"/>
      <c r="V148" s="1014"/>
      <c r="W148" s="1014"/>
      <c r="X148" s="1013">
        <f>IF(P148=0,N148*R148,N148*P148*R148)</f>
        <v>0</v>
      </c>
      <c r="Y148" s="1013"/>
      <c r="Z148" s="101"/>
      <c r="AA148" s="101"/>
      <c r="AB148" s="101"/>
    </row>
    <row r="149" spans="1:28">
      <c r="A149" s="118"/>
      <c r="B149" s="118"/>
      <c r="C149" s="108" t="s">
        <v>56</v>
      </c>
      <c r="D149" s="108" t="s">
        <v>56</v>
      </c>
      <c r="E149" s="108">
        <v>501030601</v>
      </c>
      <c r="F149" s="981" t="s">
        <v>83</v>
      </c>
      <c r="G149" s="982" t="s">
        <v>6</v>
      </c>
      <c r="H149" s="983">
        <f>IFERROR(IF(VLOOKUP(K149,데이터입력!$C$42:$L$137,5,FALSE)&lt;1000,ROUNDUP(VLOOKUP(K149,데이터입력!$C$42:$L$137,5,FALSE)*1/1000,0),ROUND(VLOOKUP(K149,데이터입력!$C$42:$L$137,5,FALSE)*1/1000,0)),0)</f>
        <v>13200</v>
      </c>
      <c r="I149" s="983">
        <f>IFERROR(IF(F149="06",IF(V149&lt;1000,ROUNDUP((V149)*1/1000,0),ROUND((V149)*1/1000,0)),IF(F149="07",IF(W149&lt;1000,ROUNDUP((W149)*1/1000,0),ROUND((W149)*1/1000,0)),IF(F149="05",IF(X149&lt;1000,ROUNDUP((X149)*1/1000,0),ROUND((X149)*1/1000,0))))),0)</f>
        <v>26400</v>
      </c>
      <c r="J149" s="983">
        <f>I149-H149</f>
        <v>13200</v>
      </c>
      <c r="K149" s="984" t="str">
        <f>L149&amp;"("&amp;G149&amp;")"</f>
        <v>임차료(수익사업)</v>
      </c>
      <c r="L149" s="112" t="str">
        <f>D149</f>
        <v>임차료</v>
      </c>
      <c r="M149" s="113"/>
      <c r="N149" s="985"/>
      <c r="O149" s="986"/>
      <c r="P149" s="985"/>
      <c r="Q149" s="986"/>
      <c r="R149" s="985"/>
      <c r="S149" s="986"/>
      <c r="T149" s="986"/>
      <c r="U149" s="986"/>
      <c r="V149" s="987">
        <f>SUM(V150:V153)</f>
        <v>26400000</v>
      </c>
      <c r="W149" s="987">
        <f>SUM(W150:W153)</f>
        <v>0</v>
      </c>
      <c r="X149" s="987">
        <f>SUM(X150:X153)</f>
        <v>0</v>
      </c>
      <c r="Y149" s="987">
        <f>SUM(V149:X149)</f>
        <v>26400000</v>
      </c>
      <c r="Z149" s="282">
        <f>IFERROR(VLOOKUP($L149,데이터입력!$R$67:$U$99,3,FALSE),0)</f>
        <v>26400000</v>
      </c>
      <c r="AA149" s="282">
        <f>IFERROR(VLOOKUP($L152,데이터입력!$R$100:$U$129,3,FALSE),0)</f>
        <v>0</v>
      </c>
      <c r="AB149" s="282">
        <f>IFERROR(VLOOKUP($L153,데이터입력!$R$130:$U$155,3,FALSE),0)</f>
        <v>0</v>
      </c>
    </row>
    <row r="150" spans="1:28">
      <c r="A150" s="118"/>
      <c r="B150" s="118"/>
      <c r="C150" s="118"/>
      <c r="D150" s="118"/>
      <c r="E150" s="118"/>
      <c r="F150" s="988"/>
      <c r="G150" s="989"/>
      <c r="H150" s="990"/>
      <c r="I150" s="990"/>
      <c r="J150" s="990"/>
      <c r="K150" s="992"/>
      <c r="L150" s="127" t="str">
        <f>"  - "&amp;L149</f>
        <v xml:space="preserve">  - 임차료</v>
      </c>
      <c r="M150" s="263"/>
      <c r="N150" s="961">
        <f>IF(R150="",Z149,ROUNDUP((Z149-V151)/R150,-3))</f>
        <v>2200000</v>
      </c>
      <c r="O150" s="121" t="str">
        <f>IF(P150="","","x ")</f>
        <v/>
      </c>
      <c r="P150" s="963"/>
      <c r="Q150" s="962" t="str">
        <f>IF(R150="","","x ")</f>
        <v xml:space="preserve">x </v>
      </c>
      <c r="R150" s="964">
        <f>IF(VLOOKUP($L149,데이터입력!$R$67:$U$99,4,FALSE)="",데이터입력!$Y$8,VLOOKUP($L149,데이터입력!$R$67:$U$99,4,FALSE))</f>
        <v>12</v>
      </c>
      <c r="S150" s="962"/>
      <c r="T150" s="962" t="s">
        <v>408</v>
      </c>
      <c r="U150" s="962"/>
      <c r="V150" s="965">
        <f>IF(R150="",N150,N150*R150)</f>
        <v>26400000</v>
      </c>
      <c r="W150" s="967"/>
      <c r="X150" s="967"/>
      <c r="Y150" s="967"/>
      <c r="Z150" s="283"/>
      <c r="AA150" s="283"/>
      <c r="AB150" s="284"/>
    </row>
    <row r="151" spans="1:28">
      <c r="A151" s="118"/>
      <c r="B151" s="118"/>
      <c r="C151" s="118"/>
      <c r="D151" s="118"/>
      <c r="E151" s="118"/>
      <c r="F151" s="988"/>
      <c r="G151" s="989"/>
      <c r="H151" s="990"/>
      <c r="I151" s="990"/>
      <c r="J151" s="990"/>
      <c r="K151" s="992"/>
      <c r="L151" s="127" t="s">
        <v>444</v>
      </c>
      <c r="M151" s="263"/>
      <c r="N151" s="961">
        <v>0</v>
      </c>
      <c r="O151" s="121" t="str">
        <f>IF(P151="","","x ")</f>
        <v/>
      </c>
      <c r="P151" s="963"/>
      <c r="Q151" s="962" t="s">
        <v>407</v>
      </c>
      <c r="R151" s="964">
        <f>IF(VLOOKUP($L149,데이터입력!$R$67:$U$99,4,FALSE)="",데이터입력!$Y$8,VLOOKUP($L149,데이터입력!$R$67:$U$99,4,FALSE))</f>
        <v>12</v>
      </c>
      <c r="S151" s="962"/>
      <c r="T151" s="962" t="s">
        <v>408</v>
      </c>
      <c r="U151" s="962"/>
      <c r="V151" s="965">
        <f>IF(P151=0,N151*R151,N151*P151*R151)</f>
        <v>0</v>
      </c>
      <c r="W151" s="967"/>
      <c r="X151" s="967"/>
      <c r="Y151" s="967"/>
      <c r="Z151" s="283"/>
      <c r="AA151" s="283"/>
      <c r="AB151" s="284"/>
    </row>
    <row r="152" spans="1:28">
      <c r="A152" s="118"/>
      <c r="B152" s="118"/>
      <c r="C152" s="118"/>
      <c r="D152" s="118"/>
      <c r="E152" s="118"/>
      <c r="F152" s="993" t="s">
        <v>422</v>
      </c>
      <c r="G152" s="994" t="s">
        <v>384</v>
      </c>
      <c r="H152" s="995">
        <f>IFERROR(IF(VLOOKUP(K152,데이터입력!$C$42:$L$137,5,FALSE)&lt;1000,ROUNDUP(VLOOKUP(K152,데이터입력!$C$42:$L$137,5,FALSE)*1/1000,0),ROUND(VLOOKUP(K152,데이터입력!$C$42:$L$137,5,FALSE)*1/1000,0)),0)</f>
        <v>0</v>
      </c>
      <c r="I152" s="995">
        <f t="shared" ref="I152:I153" si="66">IFERROR(IF(F152="06",IF(V152&lt;1000,ROUNDUP((V152)*1/1000,0),ROUND((V152)*1/1000,0)),IF(F152="07",IF(W152&lt;1000,ROUNDUP((W152)*1/1000,0),ROUND((W152)*1/1000,0)),IF(F152="05",IF(X152&lt;1000,ROUNDUP((X152)*1/1000,0),ROUND((X152)*1/1000,0))))),0)</f>
        <v>0</v>
      </c>
      <c r="J152" s="996">
        <f>I152-H152</f>
        <v>0</v>
      </c>
      <c r="K152" s="285" t="str">
        <f>L152&amp;"("&amp;G152&amp;")"</f>
        <v>임차료(보조금)</v>
      </c>
      <c r="L152" s="294" t="str">
        <f>L149</f>
        <v>임차료</v>
      </c>
      <c r="M152" s="295"/>
      <c r="N152" s="997">
        <f>IF(R152="",AA149,ROUNDUP(AA149/R152,-3))</f>
        <v>0</v>
      </c>
      <c r="O152" s="1310" t="str">
        <f t="shared" ref="O152:O153" si="67">IF(P152="","","x ")</f>
        <v/>
      </c>
      <c r="P152" s="999"/>
      <c r="Q152" s="998" t="s">
        <v>407</v>
      </c>
      <c r="R152" s="1000">
        <f>IF(VLOOKUP($L152,데이터입력!$R$100:$U$129,4,FALSE)="",데이터입력!$Y$8,VLOOKUP($L152,데이터입력!$R$100:$U$129,4,FALSE))</f>
        <v>12</v>
      </c>
      <c r="S152" s="998"/>
      <c r="T152" s="998" t="s">
        <v>408</v>
      </c>
      <c r="U152" s="998"/>
      <c r="V152" s="1003"/>
      <c r="W152" s="1003">
        <f>IF(P152=0,N152*R152,N152*P152*R152)</f>
        <v>0</v>
      </c>
      <c r="X152" s="1002"/>
      <c r="Y152" s="1002"/>
      <c r="Z152" s="284"/>
      <c r="AA152" s="284"/>
      <c r="AB152" s="284"/>
    </row>
    <row r="153" spans="1:28">
      <c r="A153" s="118"/>
      <c r="B153" s="118"/>
      <c r="C153" s="118"/>
      <c r="D153" s="118"/>
      <c r="E153" s="118"/>
      <c r="F153" s="1004" t="s">
        <v>85</v>
      </c>
      <c r="G153" s="1005" t="s">
        <v>19</v>
      </c>
      <c r="H153" s="1006">
        <f>IFERROR(IF(VLOOKUP(K153,데이터입력!$C$42:$L$137,5,FALSE)&lt;1000,ROUNDUP(VLOOKUP(K153,데이터입력!$C$42:$L$137,5,FALSE)*1/1000,0),ROUND(VLOOKUP(K153,데이터입력!$C$42:$L$137,5,FALSE)*1/1000,0)),0)</f>
        <v>0</v>
      </c>
      <c r="I153" s="1006">
        <f t="shared" si="66"/>
        <v>0</v>
      </c>
      <c r="J153" s="1007">
        <f>I153-H153</f>
        <v>0</v>
      </c>
      <c r="K153" s="286" t="str">
        <f t="shared" ref="K153" si="68">L153&amp;"("&amp;G153&amp;")"</f>
        <v>임차료(후원금)</v>
      </c>
      <c r="L153" s="296" t="str">
        <f>L149</f>
        <v>임차료</v>
      </c>
      <c r="M153" s="297"/>
      <c r="N153" s="1008">
        <f>IF(R153="",AB149,ROUNDUP(AB149/R153,-3))</f>
        <v>0</v>
      </c>
      <c r="O153" s="1309" t="str">
        <f t="shared" si="67"/>
        <v/>
      </c>
      <c r="P153" s="1010"/>
      <c r="Q153" s="1009" t="s">
        <v>407</v>
      </c>
      <c r="R153" s="1011">
        <f>IF(VLOOKUP($L153,데이터입력!$R$130:$U$155,4,FALSE)="",데이터입력!$Y$8,VLOOKUP($L153,데이터입력!$R$130:$U$155,4,FALSE))</f>
        <v>12</v>
      </c>
      <c r="S153" s="1009"/>
      <c r="T153" s="1009" t="s">
        <v>408</v>
      </c>
      <c r="U153" s="1009"/>
      <c r="V153" s="1014"/>
      <c r="W153" s="1014"/>
      <c r="X153" s="1013">
        <f>IF(P153=0,N153*R153,N153*P153*R153)</f>
        <v>0</v>
      </c>
      <c r="Y153" s="1013"/>
      <c r="Z153" s="284"/>
      <c r="AA153" s="284"/>
      <c r="AB153" s="284"/>
    </row>
    <row r="154" spans="1:28">
      <c r="A154" s="118"/>
      <c r="B154" s="118"/>
      <c r="C154" s="108" t="s">
        <v>57</v>
      </c>
      <c r="D154" s="108" t="s">
        <v>57</v>
      </c>
      <c r="E154" s="108">
        <v>501030701</v>
      </c>
      <c r="F154" s="981" t="s">
        <v>83</v>
      </c>
      <c r="G154" s="982" t="s">
        <v>6</v>
      </c>
      <c r="H154" s="983">
        <f>IFERROR(IF(VLOOKUP(K154,데이터입력!$C$42:$L$137,5,FALSE)&lt;1000,ROUNDUP(VLOOKUP(K154,데이터입력!$C$42:$L$137,5,FALSE)*1/1000,0),ROUND(VLOOKUP(K154,데이터입력!$C$42:$L$137,5,FALSE)*1/1000,0)),0)</f>
        <v>5096</v>
      </c>
      <c r="I154" s="983">
        <f>IFERROR(IF(F154="06",IF(V154&lt;1000,ROUNDUP((V154)*1/1000,0),ROUND((V154)*1/1000,0)),IF(F154="07",IF(W154&lt;1000,ROUNDUP((W154)*1/1000,0),ROUND((W154)*1/1000,0)),IF(F154="05",IF(X154&lt;1000,ROUNDUP((X154)*1/1000,0),ROUND((X154)*1/1000,0))))),0)</f>
        <v>5092</v>
      </c>
      <c r="J154" s="983">
        <f>I154-H154</f>
        <v>-4</v>
      </c>
      <c r="K154" s="984" t="str">
        <f>L154&amp;"("&amp;G154&amp;")"</f>
        <v>기타운영비(수익사업)</v>
      </c>
      <c r="L154" s="112" t="str">
        <f>D154</f>
        <v>기타운영비</v>
      </c>
      <c r="M154" s="113"/>
      <c r="N154" s="985"/>
      <c r="O154" s="986"/>
      <c r="P154" s="985"/>
      <c r="Q154" s="986"/>
      <c r="R154" s="985"/>
      <c r="S154" s="986"/>
      <c r="T154" s="986"/>
      <c r="U154" s="986"/>
      <c r="V154" s="987">
        <f>SUM(V155:V166)</f>
        <v>5092000</v>
      </c>
      <c r="W154" s="987">
        <f>SUM(W155:W166)</f>
        <v>0</v>
      </c>
      <c r="X154" s="987">
        <f>SUM(X155:X166)</f>
        <v>0</v>
      </c>
      <c r="Y154" s="987">
        <f>SUM(V154:X154)</f>
        <v>5092000</v>
      </c>
      <c r="Z154" s="155">
        <f>IFERROR(VLOOKUP(L154,데이터입력!$R$71:$V$125,3,FALSE),0)</f>
        <v>5096000</v>
      </c>
      <c r="AA154" s="282">
        <f>IFERROR(VLOOKUP($L165,데이터입력!$R$100:$U$129,3,FALSE),0)</f>
        <v>0</v>
      </c>
      <c r="AB154" s="282">
        <f>IFERROR(VLOOKUP($L166,데이터입력!$R$130:$U$155,3,FALSE),0)</f>
        <v>0</v>
      </c>
    </row>
    <row r="155" spans="1:28">
      <c r="A155" s="118"/>
      <c r="B155" s="118"/>
      <c r="C155" s="118"/>
      <c r="D155" s="118"/>
      <c r="E155" s="118"/>
      <c r="F155" s="988"/>
      <c r="G155" s="989"/>
      <c r="H155" s="990"/>
      <c r="I155" s="990"/>
      <c r="J155" s="990"/>
      <c r="K155" s="992"/>
      <c r="L155" s="127" t="str">
        <f>"  - "&amp;데이터입력!X51</f>
        <v xml:space="preserve">  - 기타운영비</v>
      </c>
      <c r="M155" s="263"/>
      <c r="N155" s="961">
        <f>데이터입력!Y51</f>
        <v>151000</v>
      </c>
      <c r="O155" s="121" t="str">
        <f t="shared" ref="O155:O164" si="69">IF(P155="","","x ")</f>
        <v/>
      </c>
      <c r="P155" s="963" t="str">
        <f>IF(OR(데이터입력!Z51="",데이터입력!Z51=0),"",데이터입력!Z51)</f>
        <v/>
      </c>
      <c r="Q155" s="962" t="s">
        <v>407</v>
      </c>
      <c r="R155" s="964">
        <f>IF(OR(데이터입력!AA51=0,데이터입력!AA51=""),데이터입력!$Y$8,데이터입력!AA51)</f>
        <v>12</v>
      </c>
      <c r="S155" s="962"/>
      <c r="T155" s="962" t="s">
        <v>408</v>
      </c>
      <c r="U155" s="962"/>
      <c r="V155" s="965">
        <f t="shared" ref="V155:V156" si="70">IF(P155="",N155*R155,N155*P155*R155)</f>
        <v>1812000</v>
      </c>
      <c r="W155" s="967"/>
      <c r="X155" s="967"/>
      <c r="Y155" s="967"/>
      <c r="Z155" s="156"/>
      <c r="AA155" s="156"/>
      <c r="AB155" s="101"/>
    </row>
    <row r="156" spans="1:28">
      <c r="A156" s="118"/>
      <c r="B156" s="118"/>
      <c r="C156" s="118"/>
      <c r="D156" s="118"/>
      <c r="E156" s="118"/>
      <c r="F156" s="988"/>
      <c r="G156" s="989"/>
      <c r="H156" s="990"/>
      <c r="I156" s="990"/>
      <c r="J156" s="990"/>
      <c r="K156" s="992"/>
      <c r="L156" s="127" t="str">
        <f>"  - "&amp;데이터입력!X52</f>
        <v xml:space="preserve">  - 직원상여금</v>
      </c>
      <c r="M156" s="263"/>
      <c r="N156" s="961">
        <f>데이터입력!Y52</f>
        <v>50000</v>
      </c>
      <c r="O156" s="121" t="str">
        <f t="shared" si="69"/>
        <v xml:space="preserve">x </v>
      </c>
      <c r="P156" s="963">
        <f>IF(OR(데이터입력!Z52="",데이터입력!Z52=0),"",데이터입력!Z52)</f>
        <v>8</v>
      </c>
      <c r="Q156" s="962" t="s">
        <v>407</v>
      </c>
      <c r="R156" s="964">
        <f>IF(OR(데이터입력!AA52=0,데이터입력!AA52=""),데이터입력!$Y$8,데이터입력!AA52)</f>
        <v>1</v>
      </c>
      <c r="S156" s="962"/>
      <c r="T156" s="962" t="s">
        <v>408</v>
      </c>
      <c r="U156" s="962"/>
      <c r="V156" s="965">
        <f t="shared" si="70"/>
        <v>400000</v>
      </c>
      <c r="W156" s="967"/>
      <c r="X156" s="967"/>
      <c r="Y156" s="967"/>
      <c r="Z156" s="156"/>
      <c r="AA156" s="156"/>
      <c r="AB156" s="101"/>
    </row>
    <row r="157" spans="1:28">
      <c r="A157" s="118"/>
      <c r="B157" s="118"/>
      <c r="C157" s="118"/>
      <c r="D157" s="118"/>
      <c r="E157" s="118"/>
      <c r="F157" s="988"/>
      <c r="G157" s="989"/>
      <c r="H157" s="990"/>
      <c r="I157" s="990"/>
      <c r="J157" s="990"/>
      <c r="K157" s="992"/>
      <c r="L157" s="127" t="str">
        <f>"  - "&amp;데이터입력!X53</f>
        <v xml:space="preserve">  - 명절상여금</v>
      </c>
      <c r="M157" s="263"/>
      <c r="N157" s="961">
        <f>데이터입력!Y53</f>
        <v>30000</v>
      </c>
      <c r="O157" s="121" t="str">
        <f t="shared" si="69"/>
        <v xml:space="preserve">x </v>
      </c>
      <c r="P157" s="963">
        <f>IF(OR(데이터입력!Z53="",데이터입력!Z53=0),"",데이터입력!Z53)</f>
        <v>8</v>
      </c>
      <c r="Q157" s="962" t="s">
        <v>407</v>
      </c>
      <c r="R157" s="964">
        <f>IF(OR(데이터입력!AA53=0,데이터입력!AA53=""),데이터입력!$Y$8,데이터입력!AA53)</f>
        <v>2</v>
      </c>
      <c r="S157" s="962"/>
      <c r="T157" s="962" t="s">
        <v>408</v>
      </c>
      <c r="U157" s="962"/>
      <c r="V157" s="965">
        <f>IF(P157="",N157*R157,N157*P157*R157)</f>
        <v>480000</v>
      </c>
      <c r="W157" s="967"/>
      <c r="X157" s="967"/>
      <c r="Y157" s="967"/>
      <c r="Z157" s="156"/>
      <c r="AA157" s="156"/>
      <c r="AB157" s="101"/>
    </row>
    <row r="158" spans="1:28">
      <c r="A158" s="118"/>
      <c r="B158" s="118"/>
      <c r="C158" s="118"/>
      <c r="D158" s="118"/>
      <c r="E158" s="118"/>
      <c r="F158" s="988"/>
      <c r="G158" s="989"/>
      <c r="H158" s="990"/>
      <c r="I158" s="990"/>
      <c r="J158" s="990"/>
      <c r="K158" s="992"/>
      <c r="L158" s="127" t="str">
        <f>"  - "&amp;데이터입력!X54</f>
        <v xml:space="preserve">  - 직원교육비</v>
      </c>
      <c r="M158" s="263"/>
      <c r="N158" s="961">
        <f>데이터입력!Y54</f>
        <v>50000</v>
      </c>
      <c r="O158" s="121" t="str">
        <f t="shared" si="69"/>
        <v/>
      </c>
      <c r="P158" s="963" t="str">
        <f>IF(OR(데이터입력!Z54="",데이터입력!Z54=0),"",데이터입력!Z54)</f>
        <v/>
      </c>
      <c r="Q158" s="962" t="s">
        <v>407</v>
      </c>
      <c r="R158" s="964">
        <f>IF(OR(데이터입력!AA54=0,데이터입력!AA54=""),데이터입력!$Y$8,데이터입력!AA54)</f>
        <v>12</v>
      </c>
      <c r="S158" s="962"/>
      <c r="T158" s="962" t="s">
        <v>408</v>
      </c>
      <c r="U158" s="962"/>
      <c r="V158" s="965">
        <f>IF(P158="",N158*R158,N158*P158*R158)</f>
        <v>600000</v>
      </c>
      <c r="W158" s="967"/>
      <c r="X158" s="967"/>
      <c r="Y158" s="967"/>
      <c r="Z158" s="156"/>
      <c r="AA158" s="156"/>
      <c r="AB158" s="101"/>
    </row>
    <row r="159" spans="1:28">
      <c r="A159" s="118"/>
      <c r="B159" s="118"/>
      <c r="C159" s="118"/>
      <c r="D159" s="118"/>
      <c r="E159" s="118"/>
      <c r="F159" s="988"/>
      <c r="G159" s="989"/>
      <c r="H159" s="990"/>
      <c r="I159" s="990"/>
      <c r="J159" s="990"/>
      <c r="K159" s="992"/>
      <c r="L159" s="127" t="str">
        <f>"  - "&amp;데이터입력!X55</f>
        <v xml:space="preserve">  - 경조사지원</v>
      </c>
      <c r="M159" s="263"/>
      <c r="N159" s="961">
        <f>데이터입력!Y55</f>
        <v>100000</v>
      </c>
      <c r="O159" s="121" t="str">
        <f t="shared" si="69"/>
        <v/>
      </c>
      <c r="P159" s="963" t="str">
        <f>IF(OR(데이터입력!Z55="",데이터입력!Z55=0),"",데이터입력!Z55)</f>
        <v/>
      </c>
      <c r="Q159" s="962" t="s">
        <v>407</v>
      </c>
      <c r="R159" s="964">
        <f>IF(OR(데이터입력!AA55=0,데이터입력!AA55=""),데이터입력!$Y$8,데이터입력!AA55)</f>
        <v>3</v>
      </c>
      <c r="S159" s="962"/>
      <c r="T159" s="962" t="s">
        <v>408</v>
      </c>
      <c r="U159" s="962"/>
      <c r="V159" s="965">
        <f t="shared" ref="V159:V163" si="71">IF(P159="",N159*R159,N159*P159*R159)</f>
        <v>300000</v>
      </c>
      <c r="W159" s="967"/>
      <c r="X159" s="967"/>
      <c r="Y159" s="967"/>
      <c r="Z159" s="156"/>
      <c r="AA159" s="156"/>
      <c r="AB159" s="101"/>
    </row>
    <row r="160" spans="1:28">
      <c r="A160" s="118"/>
      <c r="B160" s="118"/>
      <c r="C160" s="118"/>
      <c r="D160" s="118"/>
      <c r="E160" s="118"/>
      <c r="F160" s="988"/>
      <c r="G160" s="989"/>
      <c r="H160" s="990"/>
      <c r="I160" s="990"/>
      <c r="J160" s="990"/>
      <c r="K160" s="992"/>
      <c r="L160" s="127" t="str">
        <f>"  - "&amp;데이터입력!X56</f>
        <v xml:space="preserve">  - 직원중식지원</v>
      </c>
      <c r="M160" s="263"/>
      <c r="N160" s="961">
        <f>데이터입력!Y56</f>
        <v>125000</v>
      </c>
      <c r="O160" s="121" t="str">
        <f t="shared" si="69"/>
        <v/>
      </c>
      <c r="P160" s="963" t="str">
        <f>IF(OR(데이터입력!Z56="",데이터입력!Z56=0),"",데이터입력!Z56)</f>
        <v/>
      </c>
      <c r="Q160" s="962" t="s">
        <v>407</v>
      </c>
      <c r="R160" s="964">
        <f>IF(OR(데이터입력!AA56=0,데이터입력!AA56=""),데이터입력!$Y$8,데이터입력!AA56)</f>
        <v>12</v>
      </c>
      <c r="S160" s="962"/>
      <c r="T160" s="962" t="s">
        <v>408</v>
      </c>
      <c r="U160" s="962"/>
      <c r="V160" s="965">
        <f t="shared" si="71"/>
        <v>1500000</v>
      </c>
      <c r="W160" s="967"/>
      <c r="X160" s="967"/>
      <c r="Y160" s="967"/>
      <c r="Z160" s="156"/>
      <c r="AA160" s="156"/>
      <c r="AB160" s="101"/>
    </row>
    <row r="161" spans="1:28">
      <c r="A161" s="118"/>
      <c r="B161" s="118"/>
      <c r="C161" s="118"/>
      <c r="D161" s="118"/>
      <c r="E161" s="118"/>
      <c r="F161" s="988"/>
      <c r="G161" s="989"/>
      <c r="H161" s="990"/>
      <c r="I161" s="990"/>
      <c r="J161" s="990"/>
      <c r="K161" s="992"/>
      <c r="L161" s="127" t="str">
        <f>"  - "&amp;데이터입력!X57</f>
        <v xml:space="preserve">  - </v>
      </c>
      <c r="M161" s="263"/>
      <c r="N161" s="961">
        <f>데이터입력!Y57</f>
        <v>0</v>
      </c>
      <c r="O161" s="121" t="str">
        <f t="shared" si="69"/>
        <v/>
      </c>
      <c r="P161" s="963" t="str">
        <f>IF(OR(데이터입력!Z57="",데이터입력!Z57=0),"",데이터입력!Z57)</f>
        <v/>
      </c>
      <c r="Q161" s="962" t="s">
        <v>407</v>
      </c>
      <c r="R161" s="964">
        <f>IF(OR(데이터입력!AA57=0,데이터입력!AA57=""),데이터입력!$Y$8,데이터입력!AA57)</f>
        <v>12</v>
      </c>
      <c r="S161" s="962"/>
      <c r="T161" s="962" t="s">
        <v>408</v>
      </c>
      <c r="U161" s="962"/>
      <c r="V161" s="965">
        <f t="shared" si="71"/>
        <v>0</v>
      </c>
      <c r="W161" s="967"/>
      <c r="X161" s="967"/>
      <c r="Y161" s="967"/>
      <c r="Z161" s="156"/>
      <c r="AA161" s="156"/>
      <c r="AB161" s="101"/>
    </row>
    <row r="162" spans="1:28">
      <c r="A162" s="118"/>
      <c r="B162" s="150"/>
      <c r="C162" s="118"/>
      <c r="D162" s="118"/>
      <c r="E162" s="118"/>
      <c r="F162" s="988"/>
      <c r="G162" s="989"/>
      <c r="H162" s="990"/>
      <c r="I162" s="990"/>
      <c r="J162" s="990"/>
      <c r="K162" s="992"/>
      <c r="L162" s="127" t="str">
        <f>"  - "&amp;데이터입력!X58</f>
        <v xml:space="preserve">  - </v>
      </c>
      <c r="M162" s="263"/>
      <c r="N162" s="961">
        <f>데이터입력!Y58</f>
        <v>0</v>
      </c>
      <c r="O162" s="121" t="str">
        <f t="shared" si="69"/>
        <v/>
      </c>
      <c r="P162" s="963" t="str">
        <f>IF(OR(데이터입력!Z58="",데이터입력!Z58=0),"",데이터입력!Z58)</f>
        <v/>
      </c>
      <c r="Q162" s="962" t="s">
        <v>407</v>
      </c>
      <c r="R162" s="964">
        <f>IF(OR(데이터입력!AA58=0,데이터입력!AA58=""),데이터입력!$Y$8,데이터입력!AA58)</f>
        <v>12</v>
      </c>
      <c r="S162" s="962"/>
      <c r="T162" s="962" t="s">
        <v>408</v>
      </c>
      <c r="U162" s="962"/>
      <c r="V162" s="965">
        <f t="shared" si="71"/>
        <v>0</v>
      </c>
      <c r="W162" s="967"/>
      <c r="X162" s="967"/>
      <c r="Y162" s="967"/>
      <c r="Z162" s="156"/>
      <c r="AA162" s="156"/>
      <c r="AB162" s="101"/>
    </row>
    <row r="163" spans="1:28">
      <c r="A163" s="118"/>
      <c r="B163" s="150"/>
      <c r="C163" s="118"/>
      <c r="D163" s="118"/>
      <c r="E163" s="118"/>
      <c r="F163" s="988"/>
      <c r="G163" s="989"/>
      <c r="H163" s="990"/>
      <c r="I163" s="990"/>
      <c r="J163" s="990"/>
      <c r="K163" s="992"/>
      <c r="L163" s="127" t="str">
        <f>"  - "&amp;데이터입력!X59</f>
        <v xml:space="preserve">  - </v>
      </c>
      <c r="M163" s="263"/>
      <c r="N163" s="961">
        <f>데이터입력!Y59</f>
        <v>0</v>
      </c>
      <c r="O163" s="121" t="str">
        <f t="shared" si="69"/>
        <v/>
      </c>
      <c r="P163" s="963" t="str">
        <f>IF(OR(데이터입력!Z59="",데이터입력!Z59=0),"",데이터입력!Z59)</f>
        <v/>
      </c>
      <c r="Q163" s="962" t="s">
        <v>407</v>
      </c>
      <c r="R163" s="964">
        <f>IF(OR(데이터입력!AA59=0,데이터입력!AA59=""),데이터입력!$Y$8,데이터입력!AA59)</f>
        <v>12</v>
      </c>
      <c r="S163" s="962"/>
      <c r="T163" s="962" t="s">
        <v>408</v>
      </c>
      <c r="U163" s="962"/>
      <c r="V163" s="965">
        <f t="shared" si="71"/>
        <v>0</v>
      </c>
      <c r="W163" s="967"/>
      <c r="X163" s="967"/>
      <c r="Y163" s="967"/>
      <c r="Z163" s="156"/>
      <c r="AA163" s="156"/>
      <c r="AB163" s="101"/>
    </row>
    <row r="164" spans="1:28" hidden="1">
      <c r="A164" s="118"/>
      <c r="B164" s="150"/>
      <c r="C164" s="118"/>
      <c r="D164" s="118"/>
      <c r="E164" s="118"/>
      <c r="F164" s="988"/>
      <c r="G164" s="989"/>
      <c r="H164" s="990"/>
      <c r="I164" s="990"/>
      <c r="J164" s="990"/>
      <c r="K164" s="992"/>
      <c r="L164" s="127" t="str">
        <f>"  - "&amp;데이터입력!X60</f>
        <v xml:space="preserve">  - </v>
      </c>
      <c r="M164" s="263"/>
      <c r="N164" s="961">
        <f>데이터입력!Y60</f>
        <v>0</v>
      </c>
      <c r="O164" s="121" t="str">
        <f t="shared" si="69"/>
        <v/>
      </c>
      <c r="P164" s="963" t="str">
        <f>IF(OR(데이터입력!Z60="",데이터입력!Z60=0),"",데이터입력!Z60)</f>
        <v/>
      </c>
      <c r="Q164" s="962" t="s">
        <v>407</v>
      </c>
      <c r="R164" s="964">
        <f>IF(OR(데이터입력!AA60=0,데이터입력!AA60=""),데이터입력!$Y$8,데이터입력!AA60)</f>
        <v>12</v>
      </c>
      <c r="S164" s="962"/>
      <c r="T164" s="962" t="s">
        <v>408</v>
      </c>
      <c r="U164" s="962"/>
      <c r="V164" s="965">
        <f t="shared" ref="V164" si="72">IF(P164="",N164*R164,N164*P164*R164)</f>
        <v>0</v>
      </c>
      <c r="W164" s="967"/>
      <c r="X164" s="967"/>
      <c r="Y164" s="967"/>
      <c r="Z164" s="156"/>
      <c r="AA164" s="156"/>
      <c r="AB164" s="101"/>
    </row>
    <row r="165" spans="1:28">
      <c r="A165" s="118"/>
      <c r="B165" s="118"/>
      <c r="C165" s="118"/>
      <c r="D165" s="118"/>
      <c r="E165" s="118"/>
      <c r="F165" s="993" t="s">
        <v>422</v>
      </c>
      <c r="G165" s="994" t="s">
        <v>384</v>
      </c>
      <c r="H165" s="995">
        <f>IFERROR(IF(VLOOKUP(K165,데이터입력!$C$42:$L$137,5,FALSE)&lt;1000,ROUNDUP(VLOOKUP(K165,데이터입력!$C$42:$L$137,5,FALSE)*1/1000,0),ROUND(VLOOKUP(K165,데이터입력!$C$42:$L$137,5,FALSE)*1/1000,0)),0)</f>
        <v>0</v>
      </c>
      <c r="I165" s="995">
        <f t="shared" ref="I165:I166" si="73">IFERROR(IF(F165="06",IF(V165&lt;1000,ROUNDUP((V165)*1/1000,0),ROUND((V165)*1/1000,0)),IF(F165="07",IF(W165&lt;1000,ROUNDUP((W165)*1/1000,0),ROUND((W165)*1/1000,0)),IF(F165="05",IF(X165&lt;1000,ROUNDUP((X165)*1/1000,0),ROUND((X165)*1/1000,0))))),0)</f>
        <v>0</v>
      </c>
      <c r="J165" s="996">
        <f>I165-H165</f>
        <v>0</v>
      </c>
      <c r="K165" s="285" t="str">
        <f>L165&amp;"("&amp;G165&amp;")"</f>
        <v>기타운영비(보조금)</v>
      </c>
      <c r="L165" s="294" t="str">
        <f>L154</f>
        <v>기타운영비</v>
      </c>
      <c r="M165" s="295"/>
      <c r="N165" s="997">
        <f>IF(R165="",AA154,ROUNDUP(AA154/R165,-3))</f>
        <v>0</v>
      </c>
      <c r="O165" s="1310" t="str">
        <f t="shared" ref="O165:O166" si="74">IF(P165="","","x ")</f>
        <v/>
      </c>
      <c r="P165" s="999"/>
      <c r="Q165" s="998" t="s">
        <v>407</v>
      </c>
      <c r="R165" s="1000">
        <f>IF(VLOOKUP($L165,데이터입력!$R$100:$U$129,4,FALSE)="",데이터입력!$Y$8,VLOOKUP($L165,데이터입력!$R$100:$U$129,4,FALSE))</f>
        <v>12</v>
      </c>
      <c r="S165" s="998"/>
      <c r="T165" s="998" t="s">
        <v>408</v>
      </c>
      <c r="U165" s="998"/>
      <c r="V165" s="1003"/>
      <c r="W165" s="1003">
        <f>IF(P165=0,N165*R165,N165*P165*R165)</f>
        <v>0</v>
      </c>
      <c r="X165" s="1002"/>
      <c r="Y165" s="1002"/>
      <c r="Z165" s="101"/>
      <c r="AA165" s="101"/>
      <c r="AB165" s="101"/>
    </row>
    <row r="166" spans="1:28">
      <c r="A166" s="118"/>
      <c r="B166" s="118"/>
      <c r="C166" s="134"/>
      <c r="D166" s="134"/>
      <c r="E166" s="134"/>
      <c r="F166" s="1004" t="s">
        <v>85</v>
      </c>
      <c r="G166" s="1005" t="s">
        <v>19</v>
      </c>
      <c r="H166" s="1006">
        <f>IFERROR(IF(VLOOKUP(K166,데이터입력!$C$42:$L$137,5,FALSE)&lt;1000,ROUNDUP(VLOOKUP(K166,데이터입력!$C$42:$L$137,5,FALSE)*1/1000,0),ROUND(VLOOKUP(K166,데이터입력!$C$42:$L$137,5,FALSE)*1/1000,0)),0)</f>
        <v>0</v>
      </c>
      <c r="I166" s="1006">
        <f t="shared" si="73"/>
        <v>0</v>
      </c>
      <c r="J166" s="1007">
        <f>I166-H166</f>
        <v>0</v>
      </c>
      <c r="K166" s="286" t="str">
        <f t="shared" ref="K166" si="75">L166&amp;"("&amp;G166&amp;")"</f>
        <v>기타운영비(후원금)</v>
      </c>
      <c r="L166" s="296" t="str">
        <f>L154</f>
        <v>기타운영비</v>
      </c>
      <c r="M166" s="297"/>
      <c r="N166" s="1008">
        <f>IF(R166="",AB154,ROUNDUP(AB154/R166,0))</f>
        <v>0</v>
      </c>
      <c r="O166" s="1309" t="str">
        <f t="shared" si="74"/>
        <v/>
      </c>
      <c r="P166" s="1010"/>
      <c r="Q166" s="1009" t="s">
        <v>407</v>
      </c>
      <c r="R166" s="1011">
        <f>IF(VLOOKUP($L166,데이터입력!$R$130:$U$155,4,FALSE)="",데이터입력!$Y$8,VLOOKUP($L166,데이터입력!$R$130:$U$155,4,FALSE))</f>
        <v>1</v>
      </c>
      <c r="S166" s="1009"/>
      <c r="T166" s="1009" t="s">
        <v>408</v>
      </c>
      <c r="U166" s="1009"/>
      <c r="V166" s="1014"/>
      <c r="W166" s="1014"/>
      <c r="X166" s="1013">
        <f>IF(P166=0,N166*R166,N166*P166*R166)</f>
        <v>0</v>
      </c>
      <c r="Y166" s="1013"/>
      <c r="Z166" s="101"/>
      <c r="AA166" s="101"/>
      <c r="AB166" s="101"/>
    </row>
    <row r="167" spans="1:28">
      <c r="A167" s="320" t="s">
        <v>311</v>
      </c>
      <c r="B167" s="352" t="s">
        <v>58</v>
      </c>
      <c r="C167" s="316"/>
      <c r="D167" s="317"/>
      <c r="E167" s="317"/>
      <c r="F167" s="950"/>
      <c r="G167" s="950"/>
      <c r="H167" s="305">
        <f>SUM(H168:H190)</f>
        <v>6000</v>
      </c>
      <c r="I167" s="305">
        <f>SUM(I168:I190)</f>
        <v>3600</v>
      </c>
      <c r="J167" s="305">
        <f>SUM(J168:J190)</f>
        <v>-2400</v>
      </c>
      <c r="K167" s="305"/>
      <c r="L167" s="318"/>
      <c r="M167" s="318"/>
      <c r="N167" s="318"/>
      <c r="O167" s="318"/>
      <c r="P167" s="318"/>
      <c r="Q167" s="318"/>
      <c r="R167" s="318"/>
      <c r="S167" s="318"/>
      <c r="T167" s="318"/>
      <c r="U167" s="318"/>
      <c r="V167" s="307">
        <f>SUM(V168,V173,V186)</f>
        <v>3600000</v>
      </c>
      <c r="W167" s="307">
        <f>SUM(W168,W173,W186)</f>
        <v>0</v>
      </c>
      <c r="X167" s="307">
        <f>SUM(X168,X173,X186)</f>
        <v>0</v>
      </c>
      <c r="Y167" s="307">
        <f>SUM(V167:X167)</f>
        <v>3600000</v>
      </c>
      <c r="Z167" s="156"/>
      <c r="AA167" s="156"/>
      <c r="AB167" s="101"/>
    </row>
    <row r="168" spans="1:28">
      <c r="A168" s="118"/>
      <c r="B168" s="118"/>
      <c r="C168" s="108" t="s">
        <v>58</v>
      </c>
      <c r="D168" s="108" t="s">
        <v>58</v>
      </c>
      <c r="E168" s="108">
        <v>502010101</v>
      </c>
      <c r="F168" s="981" t="s">
        <v>83</v>
      </c>
      <c r="G168" s="982" t="s">
        <v>6</v>
      </c>
      <c r="H168" s="983">
        <f>IFERROR(IF(VLOOKUP(K168,데이터입력!$C$42:$L$137,5,FALSE)&lt;1000,ROUNDUP(VLOOKUP(K168,데이터입력!$C$42:$L$137,5,FALSE)*1/1000,0),ROUND(VLOOKUP(K168,데이터입력!$C$42:$L$137,5,FALSE)*1/1000,0)),0)</f>
        <v>0</v>
      </c>
      <c r="I168" s="983">
        <f>IFERROR(IF(F168="06",IF(V168&lt;1000,ROUNDUP((V168)*1/1000,0),ROUND((V168)*1/1000,0)),IF(F168="07",IF(W168&lt;1000,ROUNDUP((W168)*1/1000,0),ROUND((W168)*1/1000,0)),IF(F168="05",IF(X168&lt;1000,ROUNDUP((X168)*1/1000,0),ROUND((X168)*1/1000,0))))),0)</f>
        <v>0</v>
      </c>
      <c r="J168" s="983">
        <f>I168-H168</f>
        <v>0</v>
      </c>
      <c r="K168" s="984" t="str">
        <f>L168&amp;"("&amp;G168&amp;")"</f>
        <v>시설비(수익사업)</v>
      </c>
      <c r="L168" s="112" t="str">
        <f>D168</f>
        <v>시설비</v>
      </c>
      <c r="M168" s="113"/>
      <c r="N168" s="985"/>
      <c r="O168" s="986"/>
      <c r="P168" s="985"/>
      <c r="Q168" s="986"/>
      <c r="R168" s="985"/>
      <c r="S168" s="986"/>
      <c r="T168" s="986"/>
      <c r="U168" s="986"/>
      <c r="V168" s="987">
        <f>SUM(V169:V172)</f>
        <v>0</v>
      </c>
      <c r="W168" s="987">
        <f>SUM(W169:W172)</f>
        <v>0</v>
      </c>
      <c r="X168" s="987">
        <f>SUM(X169:X172)</f>
        <v>0</v>
      </c>
      <c r="Y168" s="987">
        <f>SUM(V168:X168)</f>
        <v>0</v>
      </c>
      <c r="Z168" s="282">
        <f>IFERROR(VLOOKUP($L168,데이터입력!$R$67:$U$99,3,FALSE),0)</f>
        <v>0</v>
      </c>
      <c r="AA168" s="282">
        <f>IFERROR(VLOOKUP($L171,데이터입력!$R$100:$U$129,3,FALSE),0)</f>
        <v>0</v>
      </c>
      <c r="AB168" s="282">
        <f>IFERROR(VLOOKUP($L172,데이터입력!$R$130:$U$155,3,FALSE),0)</f>
        <v>0</v>
      </c>
    </row>
    <row r="169" spans="1:28">
      <c r="A169" s="118"/>
      <c r="B169" s="118"/>
      <c r="C169" s="118"/>
      <c r="D169" s="118"/>
      <c r="E169" s="118"/>
      <c r="F169" s="988"/>
      <c r="G169" s="989"/>
      <c r="H169" s="990"/>
      <c r="I169" s="990"/>
      <c r="J169" s="990"/>
      <c r="K169" s="992"/>
      <c r="L169" s="127" t="str">
        <f>"  - "&amp;L168</f>
        <v xml:space="preserve">  - 시설비</v>
      </c>
      <c r="M169" s="263"/>
      <c r="N169" s="961">
        <f>IF(R169="",Z168,ROUNDUP((Z168-V170)/R169,-3))</f>
        <v>0</v>
      </c>
      <c r="O169" s="121" t="str">
        <f>IF(P169="","","x ")</f>
        <v/>
      </c>
      <c r="P169" s="963"/>
      <c r="Q169" s="962" t="str">
        <f>IF(R169="","","x ")</f>
        <v xml:space="preserve">x </v>
      </c>
      <c r="R169" s="964">
        <f>IF(VLOOKUP($L168,데이터입력!$R$67:$U$99,4,FALSE)="",데이터입력!$Y$8,VLOOKUP($L168,데이터입력!$R$67:$U$99,4,FALSE))</f>
        <v>12</v>
      </c>
      <c r="S169" s="962"/>
      <c r="T169" s="962" t="s">
        <v>408</v>
      </c>
      <c r="U169" s="962"/>
      <c r="V169" s="965">
        <f>IF(R169="",N169,N169*R169)</f>
        <v>0</v>
      </c>
      <c r="W169" s="967"/>
      <c r="X169" s="967"/>
      <c r="Y169" s="967"/>
      <c r="Z169" s="283"/>
      <c r="AA169" s="283"/>
      <c r="AB169" s="284"/>
    </row>
    <row r="170" spans="1:28" hidden="1">
      <c r="A170" s="118"/>
      <c r="B170" s="118"/>
      <c r="C170" s="118"/>
      <c r="D170" s="118"/>
      <c r="E170" s="118"/>
      <c r="F170" s="988"/>
      <c r="G170" s="989"/>
      <c r="H170" s="990"/>
      <c r="I170" s="990"/>
      <c r="J170" s="990"/>
      <c r="K170" s="992"/>
      <c r="L170" s="127" t="s">
        <v>444</v>
      </c>
      <c r="M170" s="263"/>
      <c r="N170" s="961">
        <v>0</v>
      </c>
      <c r="O170" s="121" t="str">
        <f>IF(P170="","","x ")</f>
        <v/>
      </c>
      <c r="P170" s="963"/>
      <c r="Q170" s="962" t="s">
        <v>407</v>
      </c>
      <c r="R170" s="964">
        <f>IF(VLOOKUP($L168,데이터입력!$R$67:$U$99,4,FALSE)="",데이터입력!$Y$8,VLOOKUP($L168,데이터입력!$R$67:$U$99,4,FALSE))</f>
        <v>12</v>
      </c>
      <c r="S170" s="962"/>
      <c r="T170" s="962" t="s">
        <v>408</v>
      </c>
      <c r="U170" s="962"/>
      <c r="V170" s="965">
        <f>IF(P170=0,N170*R170,N170*P170*R170)</f>
        <v>0</v>
      </c>
      <c r="W170" s="967"/>
      <c r="X170" s="967"/>
      <c r="Y170" s="967"/>
      <c r="Z170" s="283"/>
      <c r="AA170" s="283"/>
      <c r="AB170" s="284"/>
    </row>
    <row r="171" spans="1:28">
      <c r="A171" s="118"/>
      <c r="B171" s="118"/>
      <c r="C171" s="118"/>
      <c r="D171" s="118"/>
      <c r="E171" s="118"/>
      <c r="F171" s="993" t="s">
        <v>422</v>
      </c>
      <c r="G171" s="994" t="s">
        <v>384</v>
      </c>
      <c r="H171" s="995">
        <f>IFERROR(IF(VLOOKUP(K171,데이터입력!$C$42:$L$137,5,FALSE)&lt;1000,ROUNDUP(VLOOKUP(K171,데이터입력!$C$42:$L$137,5,FALSE)*1/1000,0),ROUND(VLOOKUP(K171,데이터입력!$C$42:$L$137,5,FALSE)*1/1000,0)),0)</f>
        <v>0</v>
      </c>
      <c r="I171" s="995">
        <f t="shared" ref="I171:I172" si="76">IFERROR(IF(F171="06",IF(V171&lt;1000,ROUNDUP((V171)*1/1000,0),ROUND((V171)*1/1000,0)),IF(F171="07",IF(W171&lt;1000,ROUNDUP((W171)*1/1000,0),ROUND((W171)*1/1000,0)),IF(F171="05",IF(X171&lt;1000,ROUNDUP((X171)*1/1000,0),ROUND((X171)*1/1000,0))))),0)</f>
        <v>0</v>
      </c>
      <c r="J171" s="996">
        <f>I171-H171</f>
        <v>0</v>
      </c>
      <c r="K171" s="285" t="str">
        <f>L171&amp;"("&amp;G171&amp;")"</f>
        <v>시설비(보조금)</v>
      </c>
      <c r="L171" s="294" t="str">
        <f>L168</f>
        <v>시설비</v>
      </c>
      <c r="M171" s="295"/>
      <c r="N171" s="997">
        <f>IF(R171="",AA168,ROUNDUP(AA168/R171,-3))</f>
        <v>0</v>
      </c>
      <c r="O171" s="1310" t="str">
        <f t="shared" ref="O171:O172" si="77">IF(P171="","","x ")</f>
        <v/>
      </c>
      <c r="P171" s="999"/>
      <c r="Q171" s="998" t="s">
        <v>407</v>
      </c>
      <c r="R171" s="1000">
        <f>IF(VLOOKUP($L171,데이터입력!$R$100:$U$129,4,FALSE)="",데이터입력!$Y$8,VLOOKUP($L171,데이터입력!$R$100:$U$129,4,FALSE))</f>
        <v>12</v>
      </c>
      <c r="S171" s="998"/>
      <c r="T171" s="998" t="s">
        <v>408</v>
      </c>
      <c r="U171" s="998"/>
      <c r="V171" s="1003"/>
      <c r="W171" s="1003">
        <f>IF(P171=0,N171*R171,N171*P171*R171)</f>
        <v>0</v>
      </c>
      <c r="X171" s="1002"/>
      <c r="Y171" s="1002"/>
      <c r="Z171" s="284"/>
      <c r="AA171" s="284"/>
      <c r="AB171" s="284"/>
    </row>
    <row r="172" spans="1:28">
      <c r="A172" s="118"/>
      <c r="B172" s="118"/>
      <c r="C172" s="118"/>
      <c r="D172" s="118"/>
      <c r="E172" s="118"/>
      <c r="F172" s="1004" t="s">
        <v>85</v>
      </c>
      <c r="G172" s="1005" t="s">
        <v>19</v>
      </c>
      <c r="H172" s="1006">
        <f>IFERROR(IF(VLOOKUP(K172,데이터입력!$C$42:$L$137,5,FALSE)&lt;1000,ROUNDUP(VLOOKUP(K172,데이터입력!$C$42:$L$137,5,FALSE)*1/1000,0),ROUND(VLOOKUP(K172,데이터입력!$C$42:$L$137,5,FALSE)*1/1000,0)),0)</f>
        <v>0</v>
      </c>
      <c r="I172" s="1006">
        <f t="shared" si="76"/>
        <v>0</v>
      </c>
      <c r="J172" s="1007">
        <f>I172-H172</f>
        <v>0</v>
      </c>
      <c r="K172" s="286" t="str">
        <f t="shared" ref="K172" si="78">L172&amp;"("&amp;G172&amp;")"</f>
        <v>시설비(후원금)</v>
      </c>
      <c r="L172" s="296" t="str">
        <f>L168</f>
        <v>시설비</v>
      </c>
      <c r="M172" s="297"/>
      <c r="N172" s="1008">
        <f>IF(R172="",AB168,ROUNDUP(AB168/R172,-3))</f>
        <v>0</v>
      </c>
      <c r="O172" s="1309" t="str">
        <f t="shared" si="77"/>
        <v/>
      </c>
      <c r="P172" s="1010"/>
      <c r="Q172" s="1009" t="s">
        <v>407</v>
      </c>
      <c r="R172" s="1011">
        <f>IF(VLOOKUP($L172,데이터입력!$R$130:$U$155,4,FALSE)="",데이터입력!$Y$8,VLOOKUP($L172,데이터입력!$R$130:$U$155,4,FALSE))</f>
        <v>12</v>
      </c>
      <c r="S172" s="1009"/>
      <c r="T172" s="1009" t="s">
        <v>408</v>
      </c>
      <c r="U172" s="1009"/>
      <c r="V172" s="1014"/>
      <c r="W172" s="1014"/>
      <c r="X172" s="1013">
        <f>IF(P172=0,N172*R172,N172*P172*R172)</f>
        <v>0</v>
      </c>
      <c r="Y172" s="1013"/>
      <c r="Z172" s="284"/>
      <c r="AA172" s="284"/>
      <c r="AB172" s="284"/>
    </row>
    <row r="173" spans="1:28">
      <c r="A173" s="118"/>
      <c r="B173" s="118"/>
      <c r="C173" s="108" t="s">
        <v>59</v>
      </c>
      <c r="D173" s="108" t="s">
        <v>59</v>
      </c>
      <c r="E173" s="108">
        <v>502010201</v>
      </c>
      <c r="F173" s="981" t="s">
        <v>83</v>
      </c>
      <c r="G173" s="982" t="s">
        <v>6</v>
      </c>
      <c r="H173" s="983">
        <f>IFERROR(IF(VLOOKUP(K173,데이터입력!$C$42:$L$137,5,FALSE)&lt;1000,ROUNDUP(VLOOKUP(K173,데이터입력!$C$42:$L$137,5,FALSE)*1/1000,0),ROUND(VLOOKUP(K173,데이터입력!$C$42:$L$137,5,FALSE)*1/1000,0)),0)</f>
        <v>3600</v>
      </c>
      <c r="I173" s="983">
        <f>IFERROR(IF(F173="06",IF(V173&lt;1000,ROUNDUP((V173)*1/1000,0),ROUND((V173)*1/1000,0)),IF(F173="07",IF(W173&lt;1000,ROUNDUP((W173)*1/1000,0),ROUND((W173)*1/1000,0)),IF(F173="05",IF(X173&lt;1000,ROUNDUP((X173)*1/1000,0),ROUND((X173)*1/1000,0))))),0)</f>
        <v>1200</v>
      </c>
      <c r="J173" s="983">
        <f>I173-H173</f>
        <v>-2400</v>
      </c>
      <c r="K173" s="984" t="str">
        <f>L173&amp;"("&amp;G173&amp;")"</f>
        <v>자산취득비(수익사업)</v>
      </c>
      <c r="L173" s="112" t="str">
        <f>D173</f>
        <v>자산취득비</v>
      </c>
      <c r="M173" s="113"/>
      <c r="N173" s="985"/>
      <c r="O173" s="986"/>
      <c r="P173" s="985"/>
      <c r="Q173" s="986"/>
      <c r="R173" s="985"/>
      <c r="S173" s="986"/>
      <c r="T173" s="986"/>
      <c r="U173" s="986"/>
      <c r="V173" s="987">
        <f>SUM(V174:V185)</f>
        <v>1200000</v>
      </c>
      <c r="W173" s="987">
        <f>SUM(W174:W185)</f>
        <v>0</v>
      </c>
      <c r="X173" s="987">
        <f>SUM(X174:X185)</f>
        <v>0</v>
      </c>
      <c r="Y173" s="987">
        <f>SUM(V173:X173)</f>
        <v>1200000</v>
      </c>
      <c r="Z173" s="282">
        <f>IFERROR(VLOOKUP($L173,데이터입력!$R$67:$U$99,3,FALSE),0)</f>
        <v>1200000</v>
      </c>
      <c r="AA173" s="282">
        <f>IFERROR(VLOOKUP($L184,데이터입력!$R$100:$U$129,3,FALSE),0)</f>
        <v>0</v>
      </c>
      <c r="AB173" s="282">
        <f>IFERROR(VLOOKUP($L185,데이터입력!$R$130:$U$155,3,FALSE),0)</f>
        <v>0</v>
      </c>
    </row>
    <row r="174" spans="1:28">
      <c r="A174" s="118"/>
      <c r="B174" s="118"/>
      <c r="C174" s="118"/>
      <c r="D174" s="118"/>
      <c r="E174" s="118"/>
      <c r="F174" s="988"/>
      <c r="G174" s="989"/>
      <c r="H174" s="990"/>
      <c r="I174" s="990"/>
      <c r="J174" s="990"/>
      <c r="K174" s="992"/>
      <c r="L174" s="127" t="str">
        <f>"  - "&amp;데이터입력!AB51</f>
        <v xml:space="preserve">  - 비품구입비</v>
      </c>
      <c r="M174" s="263"/>
      <c r="N174" s="961">
        <f>데이터입력!AC51</f>
        <v>100000</v>
      </c>
      <c r="O174" s="121" t="str">
        <f t="shared" ref="O174:O183" si="79">IF(P174="","","x ")</f>
        <v/>
      </c>
      <c r="P174" s="963"/>
      <c r="Q174" s="962" t="s">
        <v>407</v>
      </c>
      <c r="R174" s="964">
        <f>IF(VLOOKUP($L173,데이터입력!$R$67:$U$99,4,FALSE)="",데이터입력!$Y$8,VLOOKUP($L173,데이터입력!$R$67:$U$99,4,FALSE))</f>
        <v>12</v>
      </c>
      <c r="S174" s="962"/>
      <c r="T174" s="962" t="s">
        <v>408</v>
      </c>
      <c r="U174" s="962"/>
      <c r="V174" s="965">
        <f t="shared" ref="V174:V183" si="80">IF(P174="",N174*R174,N174*P174*R174)</f>
        <v>1200000</v>
      </c>
      <c r="W174" s="967"/>
      <c r="X174" s="967"/>
      <c r="Y174" s="967"/>
      <c r="Z174" s="156"/>
      <c r="AA174" s="156"/>
      <c r="AB174" s="101"/>
    </row>
    <row r="175" spans="1:28">
      <c r="A175" s="118"/>
      <c r="B175" s="118"/>
      <c r="C175" s="118"/>
      <c r="D175" s="118"/>
      <c r="E175" s="118"/>
      <c r="F175" s="988"/>
      <c r="G175" s="989"/>
      <c r="H175" s="990"/>
      <c r="I175" s="990"/>
      <c r="J175" s="990"/>
      <c r="K175" s="992"/>
      <c r="L175" s="127" t="str">
        <f>"  - "&amp;데이터입력!AB52</f>
        <v xml:space="preserve">  - </v>
      </c>
      <c r="M175" s="263"/>
      <c r="N175" s="961">
        <f>데이터입력!AC52</f>
        <v>0</v>
      </c>
      <c r="O175" s="121" t="str">
        <f t="shared" si="79"/>
        <v/>
      </c>
      <c r="P175" s="963"/>
      <c r="Q175" s="962" t="s">
        <v>407</v>
      </c>
      <c r="R175" s="964">
        <f>데이터입력!$Y$8</f>
        <v>12</v>
      </c>
      <c r="S175" s="962"/>
      <c r="T175" s="962" t="s">
        <v>408</v>
      </c>
      <c r="U175" s="962"/>
      <c r="V175" s="965">
        <f t="shared" si="80"/>
        <v>0</v>
      </c>
      <c r="W175" s="967"/>
      <c r="X175" s="967"/>
      <c r="Y175" s="967"/>
      <c r="Z175" s="156"/>
      <c r="AA175" s="156"/>
      <c r="AB175" s="101"/>
    </row>
    <row r="176" spans="1:28">
      <c r="A176" s="118"/>
      <c r="B176" s="118"/>
      <c r="C176" s="118"/>
      <c r="D176" s="118"/>
      <c r="E176" s="118"/>
      <c r="F176" s="988"/>
      <c r="G176" s="989"/>
      <c r="H176" s="990"/>
      <c r="I176" s="990"/>
      <c r="J176" s="990"/>
      <c r="K176" s="992"/>
      <c r="L176" s="127" t="str">
        <f>"  - "&amp;데이터입력!AB53</f>
        <v xml:space="preserve">  - </v>
      </c>
      <c r="M176" s="263"/>
      <c r="N176" s="961">
        <f>데이터입력!AC53</f>
        <v>0</v>
      </c>
      <c r="O176" s="121" t="str">
        <f t="shared" si="79"/>
        <v/>
      </c>
      <c r="P176" s="963"/>
      <c r="Q176" s="962" t="s">
        <v>407</v>
      </c>
      <c r="R176" s="964">
        <f>데이터입력!$Y$8</f>
        <v>12</v>
      </c>
      <c r="S176" s="962"/>
      <c r="T176" s="962" t="s">
        <v>408</v>
      </c>
      <c r="U176" s="962"/>
      <c r="V176" s="965">
        <f t="shared" si="80"/>
        <v>0</v>
      </c>
      <c r="W176" s="967"/>
      <c r="X176" s="967"/>
      <c r="Y176" s="967"/>
      <c r="Z176" s="156"/>
      <c r="AA176" s="156"/>
      <c r="AB176" s="101"/>
    </row>
    <row r="177" spans="1:28" hidden="1">
      <c r="A177" s="118"/>
      <c r="B177" s="118"/>
      <c r="C177" s="118"/>
      <c r="D177" s="118"/>
      <c r="E177" s="118"/>
      <c r="F177" s="988"/>
      <c r="G177" s="989"/>
      <c r="H177" s="990"/>
      <c r="I177" s="990"/>
      <c r="J177" s="990"/>
      <c r="K177" s="992"/>
      <c r="L177" s="127" t="str">
        <f>"  - "&amp;데이터입력!AB54</f>
        <v xml:space="preserve">  - </v>
      </c>
      <c r="M177" s="263"/>
      <c r="N177" s="961">
        <f>데이터입력!AC54</f>
        <v>0</v>
      </c>
      <c r="O177" s="121" t="str">
        <f t="shared" si="79"/>
        <v/>
      </c>
      <c r="P177" s="963"/>
      <c r="Q177" s="962" t="s">
        <v>407</v>
      </c>
      <c r="R177" s="964">
        <f>데이터입력!$Y$8</f>
        <v>12</v>
      </c>
      <c r="S177" s="962"/>
      <c r="T177" s="962" t="s">
        <v>408</v>
      </c>
      <c r="U177" s="962"/>
      <c r="V177" s="965">
        <f t="shared" si="80"/>
        <v>0</v>
      </c>
      <c r="W177" s="967"/>
      <c r="X177" s="967"/>
      <c r="Y177" s="967"/>
      <c r="Z177" s="156"/>
      <c r="AA177" s="156"/>
      <c r="AB177" s="101"/>
    </row>
    <row r="178" spans="1:28" hidden="1">
      <c r="A178" s="118"/>
      <c r="B178" s="118"/>
      <c r="C178" s="118"/>
      <c r="D178" s="118"/>
      <c r="E178" s="118"/>
      <c r="F178" s="988"/>
      <c r="G178" s="989"/>
      <c r="H178" s="990"/>
      <c r="I178" s="990"/>
      <c r="J178" s="990"/>
      <c r="K178" s="992"/>
      <c r="L178" s="127" t="str">
        <f>"  - "&amp;데이터입력!AB55</f>
        <v xml:space="preserve">  - </v>
      </c>
      <c r="M178" s="263"/>
      <c r="N178" s="961">
        <f>데이터입력!AC55</f>
        <v>0</v>
      </c>
      <c r="O178" s="121" t="str">
        <f t="shared" si="79"/>
        <v/>
      </c>
      <c r="P178" s="963"/>
      <c r="Q178" s="962" t="s">
        <v>407</v>
      </c>
      <c r="R178" s="964">
        <f>데이터입력!$Y$8</f>
        <v>12</v>
      </c>
      <c r="S178" s="962"/>
      <c r="T178" s="962" t="s">
        <v>408</v>
      </c>
      <c r="U178" s="962"/>
      <c r="V178" s="965">
        <f t="shared" si="80"/>
        <v>0</v>
      </c>
      <c r="W178" s="967"/>
      <c r="X178" s="967"/>
      <c r="Y178" s="967"/>
      <c r="Z178" s="156"/>
      <c r="AA178" s="156"/>
      <c r="AB178" s="101"/>
    </row>
    <row r="179" spans="1:28" hidden="1">
      <c r="A179" s="118"/>
      <c r="B179" s="118"/>
      <c r="C179" s="118"/>
      <c r="D179" s="118"/>
      <c r="E179" s="118"/>
      <c r="F179" s="988"/>
      <c r="G179" s="989"/>
      <c r="H179" s="990"/>
      <c r="I179" s="990"/>
      <c r="J179" s="990"/>
      <c r="K179" s="992"/>
      <c r="L179" s="127" t="str">
        <f>"  - "&amp;데이터입력!AB56</f>
        <v xml:space="preserve">  - </v>
      </c>
      <c r="M179" s="263"/>
      <c r="N179" s="961">
        <f>데이터입력!AC56</f>
        <v>0</v>
      </c>
      <c r="O179" s="121" t="str">
        <f t="shared" si="79"/>
        <v/>
      </c>
      <c r="P179" s="963"/>
      <c r="Q179" s="962" t="s">
        <v>407</v>
      </c>
      <c r="R179" s="964">
        <f>데이터입력!$Y$8</f>
        <v>12</v>
      </c>
      <c r="S179" s="962"/>
      <c r="T179" s="962" t="s">
        <v>408</v>
      </c>
      <c r="U179" s="962"/>
      <c r="V179" s="965">
        <f t="shared" si="80"/>
        <v>0</v>
      </c>
      <c r="W179" s="967"/>
      <c r="X179" s="967"/>
      <c r="Y179" s="967"/>
      <c r="Z179" s="156"/>
      <c r="AA179" s="156"/>
      <c r="AB179" s="101"/>
    </row>
    <row r="180" spans="1:28" hidden="1">
      <c r="A180" s="118"/>
      <c r="B180" s="118"/>
      <c r="C180" s="118"/>
      <c r="D180" s="118"/>
      <c r="E180" s="118"/>
      <c r="F180" s="988"/>
      <c r="G180" s="989"/>
      <c r="H180" s="990"/>
      <c r="I180" s="990"/>
      <c r="J180" s="990"/>
      <c r="K180" s="992"/>
      <c r="L180" s="127" t="str">
        <f>"  - "&amp;데이터입력!AB57</f>
        <v xml:space="preserve">  - </v>
      </c>
      <c r="M180" s="263"/>
      <c r="N180" s="961">
        <f>데이터입력!AC57</f>
        <v>0</v>
      </c>
      <c r="O180" s="121" t="str">
        <f t="shared" si="79"/>
        <v/>
      </c>
      <c r="P180" s="963"/>
      <c r="Q180" s="962" t="s">
        <v>407</v>
      </c>
      <c r="R180" s="964">
        <f>데이터입력!$Y$8</f>
        <v>12</v>
      </c>
      <c r="S180" s="962"/>
      <c r="T180" s="962" t="s">
        <v>408</v>
      </c>
      <c r="U180" s="962"/>
      <c r="V180" s="965">
        <f t="shared" si="80"/>
        <v>0</v>
      </c>
      <c r="W180" s="967"/>
      <c r="X180" s="967"/>
      <c r="Y180" s="967"/>
      <c r="Z180" s="156"/>
      <c r="AA180" s="156"/>
      <c r="AB180" s="101"/>
    </row>
    <row r="181" spans="1:28" hidden="1">
      <c r="A181" s="118"/>
      <c r="B181" s="118"/>
      <c r="C181" s="118"/>
      <c r="D181" s="118"/>
      <c r="E181" s="118"/>
      <c r="F181" s="988"/>
      <c r="G181" s="989"/>
      <c r="H181" s="990"/>
      <c r="I181" s="990"/>
      <c r="J181" s="990"/>
      <c r="K181" s="992"/>
      <c r="L181" s="127" t="str">
        <f>"  - "&amp;데이터입력!AB58</f>
        <v xml:space="preserve">  - </v>
      </c>
      <c r="M181" s="263"/>
      <c r="N181" s="961">
        <f>데이터입력!AC58</f>
        <v>0</v>
      </c>
      <c r="O181" s="121" t="str">
        <f t="shared" si="79"/>
        <v/>
      </c>
      <c r="P181" s="963"/>
      <c r="Q181" s="962" t="s">
        <v>407</v>
      </c>
      <c r="R181" s="964">
        <f>데이터입력!$Y$8</f>
        <v>12</v>
      </c>
      <c r="S181" s="962"/>
      <c r="T181" s="962" t="s">
        <v>408</v>
      </c>
      <c r="U181" s="962"/>
      <c r="V181" s="965">
        <f t="shared" si="80"/>
        <v>0</v>
      </c>
      <c r="W181" s="967"/>
      <c r="X181" s="967"/>
      <c r="Y181" s="967"/>
      <c r="Z181" s="156"/>
      <c r="AA181" s="156"/>
      <c r="AB181" s="101"/>
    </row>
    <row r="182" spans="1:28" hidden="1">
      <c r="A182" s="118"/>
      <c r="B182" s="118"/>
      <c r="C182" s="118"/>
      <c r="D182" s="118"/>
      <c r="E182" s="118"/>
      <c r="F182" s="988"/>
      <c r="G182" s="989"/>
      <c r="H182" s="990"/>
      <c r="I182" s="990"/>
      <c r="J182" s="990"/>
      <c r="K182" s="992"/>
      <c r="L182" s="127" t="str">
        <f>"  - "&amp;데이터입력!AB59</f>
        <v xml:space="preserve">  - </v>
      </c>
      <c r="M182" s="263"/>
      <c r="N182" s="961">
        <f>데이터입력!AC59</f>
        <v>0</v>
      </c>
      <c r="O182" s="121" t="str">
        <f t="shared" si="79"/>
        <v/>
      </c>
      <c r="P182" s="963"/>
      <c r="Q182" s="962" t="s">
        <v>407</v>
      </c>
      <c r="R182" s="964">
        <f>데이터입력!$Y$8</f>
        <v>12</v>
      </c>
      <c r="S182" s="962"/>
      <c r="T182" s="962" t="s">
        <v>408</v>
      </c>
      <c r="U182" s="962"/>
      <c r="V182" s="965">
        <f t="shared" si="80"/>
        <v>0</v>
      </c>
      <c r="W182" s="967"/>
      <c r="X182" s="967"/>
      <c r="Y182" s="967"/>
      <c r="Z182" s="156"/>
      <c r="AA182" s="156"/>
      <c r="AB182" s="101"/>
    </row>
    <row r="183" spans="1:28" hidden="1">
      <c r="A183" s="118"/>
      <c r="B183" s="118"/>
      <c r="C183" s="118"/>
      <c r="D183" s="118"/>
      <c r="E183" s="118"/>
      <c r="F183" s="988"/>
      <c r="G183" s="989"/>
      <c r="H183" s="990"/>
      <c r="I183" s="990"/>
      <c r="J183" s="990"/>
      <c r="K183" s="992"/>
      <c r="L183" s="127" t="str">
        <f>"  - "&amp;데이터입력!AB60</f>
        <v xml:space="preserve">  - </v>
      </c>
      <c r="M183" s="263"/>
      <c r="N183" s="961">
        <f>데이터입력!AC60</f>
        <v>0</v>
      </c>
      <c r="O183" s="121" t="str">
        <f t="shared" si="79"/>
        <v/>
      </c>
      <c r="P183" s="963"/>
      <c r="Q183" s="962" t="s">
        <v>407</v>
      </c>
      <c r="R183" s="964">
        <f>데이터입력!$Y$8</f>
        <v>12</v>
      </c>
      <c r="S183" s="962"/>
      <c r="T183" s="962" t="s">
        <v>408</v>
      </c>
      <c r="U183" s="962"/>
      <c r="V183" s="965">
        <f t="shared" si="80"/>
        <v>0</v>
      </c>
      <c r="W183" s="967"/>
      <c r="X183" s="967"/>
      <c r="Y183" s="967"/>
      <c r="Z183" s="156"/>
      <c r="AA183" s="156"/>
      <c r="AB183" s="101"/>
    </row>
    <row r="184" spans="1:28">
      <c r="A184" s="118"/>
      <c r="B184" s="118"/>
      <c r="C184" s="118"/>
      <c r="D184" s="118"/>
      <c r="E184" s="118"/>
      <c r="F184" s="993" t="s">
        <v>422</v>
      </c>
      <c r="G184" s="994" t="s">
        <v>384</v>
      </c>
      <c r="H184" s="995">
        <f>IFERROR(IF(VLOOKUP(K184,데이터입력!$C$42:$L$137,5,FALSE)&lt;1000,ROUNDUP(VLOOKUP(K184,데이터입력!$C$42:$L$137,5,FALSE)*1/1000,0),ROUND(VLOOKUP(K184,데이터입력!$C$42:$L$137,5,FALSE)*1/1000,0)),0)</f>
        <v>0</v>
      </c>
      <c r="I184" s="995">
        <f t="shared" ref="I184:I185" si="81">IFERROR(IF(F184="06",IF(V184&lt;1000,ROUNDUP((V184)*1/1000,0),ROUND((V184)*1/1000,0)),IF(F184="07",IF(W184&lt;1000,ROUNDUP((W184)*1/1000,0),ROUND((W184)*1/1000,0)),IF(F184="05",IF(X184&lt;1000,ROUNDUP((X184)*1/1000,0),ROUND((X184)*1/1000,0))))),0)</f>
        <v>0</v>
      </c>
      <c r="J184" s="996">
        <f>I184-H184</f>
        <v>0</v>
      </c>
      <c r="K184" s="285" t="str">
        <f>L184&amp;"("&amp;G184&amp;")"</f>
        <v>자산취득비(보조금)</v>
      </c>
      <c r="L184" s="294" t="str">
        <f>L173</f>
        <v>자산취득비</v>
      </c>
      <c r="M184" s="295"/>
      <c r="N184" s="997">
        <f>IF(R184="",AA173,ROUNDUP(AA173/R184,-3))</f>
        <v>0</v>
      </c>
      <c r="O184" s="1310" t="str">
        <f t="shared" ref="O184:O185" si="82">IF(P184="","","x ")</f>
        <v/>
      </c>
      <c r="P184" s="999"/>
      <c r="Q184" s="998" t="s">
        <v>407</v>
      </c>
      <c r="R184" s="1000">
        <f>IF(VLOOKUP($L184,데이터입력!$R$100:$U$129,4,FALSE)="",데이터입력!$Y$8,VLOOKUP($L184,데이터입력!$R$100:$U$129,4,FALSE))</f>
        <v>1</v>
      </c>
      <c r="S184" s="998"/>
      <c r="T184" s="998" t="s">
        <v>408</v>
      </c>
      <c r="U184" s="998"/>
      <c r="V184" s="1003"/>
      <c r="W184" s="1003">
        <f>IF(P184=0,N184*R184,N184*P184*R184)</f>
        <v>0</v>
      </c>
      <c r="X184" s="1002"/>
      <c r="Y184" s="1002"/>
      <c r="Z184" s="101"/>
      <c r="AA184" s="101"/>
      <c r="AB184" s="101"/>
    </row>
    <row r="185" spans="1:28">
      <c r="A185" s="118"/>
      <c r="B185" s="118"/>
      <c r="C185" s="118"/>
      <c r="D185" s="118"/>
      <c r="E185" s="118"/>
      <c r="F185" s="1004" t="s">
        <v>85</v>
      </c>
      <c r="G185" s="1005" t="s">
        <v>19</v>
      </c>
      <c r="H185" s="1006">
        <f>IFERROR(IF(VLOOKUP(K185,데이터입력!$C$42:$L$137,5,FALSE)&lt;1000,ROUNDUP(VLOOKUP(K185,데이터입력!$C$42:$L$137,5,FALSE)*1/1000,0),ROUND(VLOOKUP(K185,데이터입력!$C$42:$L$137,5,FALSE)*1/1000,0)),0)</f>
        <v>0</v>
      </c>
      <c r="I185" s="1006">
        <f t="shared" si="81"/>
        <v>0</v>
      </c>
      <c r="J185" s="1007">
        <f>I185-H185</f>
        <v>0</v>
      </c>
      <c r="K185" s="286" t="str">
        <f t="shared" ref="K185" si="83">L185&amp;"("&amp;G185&amp;")"</f>
        <v>자산취득비(후원금)</v>
      </c>
      <c r="L185" s="296" t="str">
        <f>L173</f>
        <v>자산취득비</v>
      </c>
      <c r="M185" s="297"/>
      <c r="N185" s="1008">
        <f>IF(R185="",AB173,ROUNDUP(AB173/R185,-3))</f>
        <v>0</v>
      </c>
      <c r="O185" s="1309" t="str">
        <f t="shared" si="82"/>
        <v/>
      </c>
      <c r="P185" s="1010"/>
      <c r="Q185" s="1009" t="s">
        <v>407</v>
      </c>
      <c r="R185" s="1011">
        <f>IF(VLOOKUP($L185,데이터입력!$R$130:$U$155,4,FALSE)="",데이터입력!$Y$8,VLOOKUP($L185,데이터입력!$R$130:$U$155,4,FALSE))</f>
        <v>12</v>
      </c>
      <c r="S185" s="1009"/>
      <c r="T185" s="1009" t="s">
        <v>408</v>
      </c>
      <c r="U185" s="1009"/>
      <c r="V185" s="1014"/>
      <c r="W185" s="1014"/>
      <c r="X185" s="1013">
        <f>IF(P185=0,N185*R185,N185*P185*R185)</f>
        <v>0</v>
      </c>
      <c r="Y185" s="1013"/>
      <c r="Z185" s="101"/>
      <c r="AA185" s="101"/>
      <c r="AB185" s="101"/>
    </row>
    <row r="186" spans="1:28">
      <c r="A186" s="118"/>
      <c r="B186" s="118"/>
      <c r="C186" s="108" t="s">
        <v>60</v>
      </c>
      <c r="D186" s="108" t="s">
        <v>60</v>
      </c>
      <c r="E186" s="108">
        <v>502010301</v>
      </c>
      <c r="F186" s="981" t="s">
        <v>83</v>
      </c>
      <c r="G186" s="982" t="s">
        <v>6</v>
      </c>
      <c r="H186" s="983">
        <f>IFERROR(IF(VLOOKUP(K186,데이터입력!$C$42:$L$137,5,FALSE)&lt;1000,ROUNDUP(VLOOKUP(K186,데이터입력!$C$42:$L$137,5,FALSE)*1/1000,0),ROUND(VLOOKUP(K186,데이터입력!$C$42:$L$137,5,FALSE)*1/1000,0)),0)</f>
        <v>2400</v>
      </c>
      <c r="I186" s="983">
        <f>IFERROR(IF(F186="06",IF(V186&lt;1000,ROUNDUP((V186)*1/1000,0),ROUND((V186)*1/1000,0)),IF(F186="07",IF(W186&lt;1000,ROUNDUP((W186)*1/1000,0),ROUND((W186)*1/1000,0)),IF(F186="05",IF(X186&lt;1000,ROUNDUP((X186)*1/1000,0),ROUND((X186)*1/1000,0))))),0)</f>
        <v>2400</v>
      </c>
      <c r="J186" s="983">
        <f>I186-H186</f>
        <v>0</v>
      </c>
      <c r="K186" s="984" t="str">
        <f>L186&amp;"("&amp;G186&amp;")"</f>
        <v>시설장비유지비(수익사업)</v>
      </c>
      <c r="L186" s="112" t="str">
        <f>D186</f>
        <v>시설장비유지비</v>
      </c>
      <c r="M186" s="113"/>
      <c r="N186" s="985"/>
      <c r="O186" s="986"/>
      <c r="P186" s="985"/>
      <c r="Q186" s="986"/>
      <c r="R186" s="985"/>
      <c r="S186" s="986"/>
      <c r="T186" s="986"/>
      <c r="U186" s="986"/>
      <c r="V186" s="987">
        <f>SUM(V187:V190)</f>
        <v>2400000</v>
      </c>
      <c r="W186" s="987">
        <f>SUM(W187:W190)</f>
        <v>0</v>
      </c>
      <c r="X186" s="987">
        <f>SUM(X187:X190)</f>
        <v>0</v>
      </c>
      <c r="Y186" s="987">
        <f>SUM(V186:X186)</f>
        <v>2400000</v>
      </c>
      <c r="Z186" s="282">
        <f>IFERROR(VLOOKUP($L186,데이터입력!$R$67:$U$99,3,FALSE),0)</f>
        <v>2400000</v>
      </c>
      <c r="AA186" s="282">
        <f>IFERROR(VLOOKUP($L189,데이터입력!$R$100:$U$129,3,FALSE),0)</f>
        <v>0</v>
      </c>
      <c r="AB186" s="282">
        <f>IFERROR(VLOOKUP($L190,데이터입력!$R$130:$U$155,3,FALSE),0)</f>
        <v>0</v>
      </c>
    </row>
    <row r="187" spans="1:28">
      <c r="A187" s="118"/>
      <c r="B187" s="118"/>
      <c r="C187" s="118"/>
      <c r="D187" s="118"/>
      <c r="E187" s="118"/>
      <c r="F187" s="988"/>
      <c r="G187" s="989"/>
      <c r="H187" s="990"/>
      <c r="I187" s="990"/>
      <c r="J187" s="990"/>
      <c r="K187" s="992"/>
      <c r="L187" s="127" t="s">
        <v>445</v>
      </c>
      <c r="M187" s="263"/>
      <c r="N187" s="961">
        <f>IF(R187="",Z186,ROUNDUP((Z186-V188)/R187,-3))</f>
        <v>200000</v>
      </c>
      <c r="O187" s="121" t="str">
        <f>IF(P187="","","x ")</f>
        <v/>
      </c>
      <c r="P187" s="963"/>
      <c r="Q187" s="962" t="str">
        <f>IF(R187="","","x ")</f>
        <v xml:space="preserve">x </v>
      </c>
      <c r="R187" s="964">
        <f>IF(VLOOKUP($L186,데이터입력!$R$67:$U$99,4,FALSE)="",데이터입력!$Y$8,VLOOKUP($L186,데이터입력!$R$67:$U$99,4,FALSE))</f>
        <v>12</v>
      </c>
      <c r="S187" s="962"/>
      <c r="T187" s="962" t="s">
        <v>408</v>
      </c>
      <c r="U187" s="962"/>
      <c r="V187" s="965">
        <f>IF(R187="",N187,N187*R187)</f>
        <v>2400000</v>
      </c>
      <c r="W187" s="967"/>
      <c r="X187" s="967"/>
      <c r="Y187" s="967"/>
      <c r="Z187" s="283"/>
      <c r="AA187" s="283"/>
      <c r="AB187" s="284"/>
    </row>
    <row r="188" spans="1:28" hidden="1">
      <c r="A188" s="118"/>
      <c r="B188" s="118"/>
      <c r="C188" s="118"/>
      <c r="D188" s="118"/>
      <c r="E188" s="118"/>
      <c r="F188" s="988"/>
      <c r="G188" s="989"/>
      <c r="H188" s="990"/>
      <c r="I188" s="990"/>
      <c r="J188" s="990"/>
      <c r="K188" s="992"/>
      <c r="L188" s="127" t="s">
        <v>444</v>
      </c>
      <c r="M188" s="263"/>
      <c r="N188" s="961">
        <v>0</v>
      </c>
      <c r="O188" s="121" t="str">
        <f>IF(P188="","","x ")</f>
        <v/>
      </c>
      <c r="P188" s="963"/>
      <c r="Q188" s="962" t="s">
        <v>407</v>
      </c>
      <c r="R188" s="964">
        <f>IF(VLOOKUP($L186,데이터입력!$R$67:$U$99,4,FALSE)="",데이터입력!$Y$8,VLOOKUP($L186,데이터입력!$R$67:$U$99,4,FALSE))</f>
        <v>12</v>
      </c>
      <c r="S188" s="962"/>
      <c r="T188" s="962" t="s">
        <v>408</v>
      </c>
      <c r="U188" s="962"/>
      <c r="V188" s="965">
        <f>IF(P188=0,N188*R188,N188*P188*R188)</f>
        <v>0</v>
      </c>
      <c r="W188" s="967"/>
      <c r="X188" s="967"/>
      <c r="Y188" s="967"/>
      <c r="Z188" s="283"/>
      <c r="AA188" s="283"/>
      <c r="AB188" s="284"/>
    </row>
    <row r="189" spans="1:28">
      <c r="A189" s="118"/>
      <c r="B189" s="118"/>
      <c r="C189" s="118"/>
      <c r="D189" s="118"/>
      <c r="E189" s="118"/>
      <c r="F189" s="993" t="s">
        <v>422</v>
      </c>
      <c r="G189" s="994" t="s">
        <v>384</v>
      </c>
      <c r="H189" s="995">
        <f>IFERROR(IF(VLOOKUP(K189,데이터입력!$C$42:$L$137,5,FALSE)&lt;1000,ROUNDUP(VLOOKUP(K189,데이터입력!$C$42:$L$137,5,FALSE)*1/1000,0),ROUND(VLOOKUP(K189,데이터입력!$C$42:$L$137,5,FALSE)*1/1000,0)),0)</f>
        <v>0</v>
      </c>
      <c r="I189" s="995">
        <f t="shared" ref="I189:I190" si="84">IFERROR(IF(F189="06",IF(V189&lt;1000,ROUNDUP((V189)*1/1000,0),ROUND((V189)*1/1000,0)),IF(F189="07",IF(W189&lt;1000,ROUNDUP((W189)*1/1000,0),ROUND((W189)*1/1000,0)),IF(F189="05",IF(X189&lt;1000,ROUNDUP((X189)*1/1000,0),ROUND((X189)*1/1000,0))))),0)</f>
        <v>0</v>
      </c>
      <c r="J189" s="996">
        <f>I189-H189</f>
        <v>0</v>
      </c>
      <c r="K189" s="285" t="str">
        <f>L189&amp;"("&amp;G189&amp;")"</f>
        <v>시설장비유지비(보조금)</v>
      </c>
      <c r="L189" s="294" t="str">
        <f>L186</f>
        <v>시설장비유지비</v>
      </c>
      <c r="M189" s="295"/>
      <c r="N189" s="997">
        <f>IF(R189="",AA186,ROUNDUP(AA186/R189,-3))</f>
        <v>0</v>
      </c>
      <c r="O189" s="1310" t="str">
        <f t="shared" ref="O189:O190" si="85">IF(P189="","","x ")</f>
        <v/>
      </c>
      <c r="P189" s="999"/>
      <c r="Q189" s="998" t="s">
        <v>407</v>
      </c>
      <c r="R189" s="1000">
        <f>IF(VLOOKUP($L189,데이터입력!$R$100:$U$129,4,FALSE)="",데이터입력!$Y$8,VLOOKUP($L189,데이터입력!$R$100:$U$129,4,FALSE))</f>
        <v>12</v>
      </c>
      <c r="S189" s="998"/>
      <c r="T189" s="998" t="s">
        <v>408</v>
      </c>
      <c r="U189" s="998"/>
      <c r="V189" s="1003"/>
      <c r="W189" s="1003">
        <f>IF(P189=0,N189*R189,N189*P189*R189)</f>
        <v>0</v>
      </c>
      <c r="X189" s="1002"/>
      <c r="Y189" s="1002"/>
      <c r="Z189" s="284"/>
      <c r="AA189" s="284"/>
      <c r="AB189" s="284"/>
    </row>
    <row r="190" spans="1:28">
      <c r="A190" s="118"/>
      <c r="B190" s="118"/>
      <c r="C190" s="134"/>
      <c r="D190" s="134"/>
      <c r="E190" s="134"/>
      <c r="F190" s="1004" t="s">
        <v>85</v>
      </c>
      <c r="G190" s="1005" t="s">
        <v>19</v>
      </c>
      <c r="H190" s="1006">
        <f>IFERROR(IF(VLOOKUP(K190,데이터입력!$C$42:$L$137,5,FALSE)&lt;1000,ROUNDUP(VLOOKUP(K190,데이터입력!$C$42:$L$137,5,FALSE)*1/1000,0),ROUND(VLOOKUP(K190,데이터입력!$C$42:$L$137,5,FALSE)*1/1000,0)),0)</f>
        <v>0</v>
      </c>
      <c r="I190" s="1006">
        <f t="shared" si="84"/>
        <v>0</v>
      </c>
      <c r="J190" s="1007">
        <f>I190-H190</f>
        <v>0</v>
      </c>
      <c r="K190" s="286" t="str">
        <f t="shared" ref="K190" si="86">L190&amp;"("&amp;G190&amp;")"</f>
        <v>시설장비유지비(후원금)</v>
      </c>
      <c r="L190" s="296" t="str">
        <f>L186</f>
        <v>시설장비유지비</v>
      </c>
      <c r="M190" s="297"/>
      <c r="N190" s="1008">
        <f>IF(R190="",AB186,ROUNDUP(AB186/R190,-3))</f>
        <v>0</v>
      </c>
      <c r="O190" s="1309" t="str">
        <f t="shared" si="85"/>
        <v/>
      </c>
      <c r="P190" s="1010"/>
      <c r="Q190" s="1009" t="s">
        <v>407</v>
      </c>
      <c r="R190" s="1011">
        <f>IF(VLOOKUP($L190,데이터입력!$R$130:$U$155,4,FALSE)="",데이터입력!$Y$8,VLOOKUP($L190,데이터입력!$R$130:$U$155,4,FALSE))</f>
        <v>12</v>
      </c>
      <c r="S190" s="1009"/>
      <c r="T190" s="1009" t="s">
        <v>408</v>
      </c>
      <c r="U190" s="1009"/>
      <c r="V190" s="1014"/>
      <c r="W190" s="1014"/>
      <c r="X190" s="1013">
        <f>IF(P190=0,N190*R190,N190*P190*R190)</f>
        <v>0</v>
      </c>
      <c r="Y190" s="1013"/>
      <c r="Z190" s="284"/>
      <c r="AA190" s="284"/>
      <c r="AB190" s="284"/>
    </row>
    <row r="191" spans="1:28">
      <c r="A191" s="321" t="s">
        <v>315</v>
      </c>
      <c r="B191" s="351"/>
      <c r="C191" s="317"/>
      <c r="D191" s="317"/>
      <c r="E191" s="317"/>
      <c r="F191" s="950"/>
      <c r="G191" s="950"/>
      <c r="H191" s="305">
        <f>SUM(H192,H237)</f>
        <v>49916</v>
      </c>
      <c r="I191" s="305">
        <f>SUM(I192,I237)</f>
        <v>49610</v>
      </c>
      <c r="J191" s="305">
        <f>SUM(J192,J237)</f>
        <v>-306</v>
      </c>
      <c r="K191" s="305"/>
      <c r="L191" s="318"/>
      <c r="M191" s="318"/>
      <c r="N191" s="318"/>
      <c r="O191" s="318"/>
      <c r="P191" s="318"/>
      <c r="Q191" s="318"/>
      <c r="R191" s="318"/>
      <c r="S191" s="318"/>
      <c r="T191" s="318"/>
      <c r="U191" s="318"/>
      <c r="V191" s="307">
        <f>SUM(V192,V237)</f>
        <v>49610000</v>
      </c>
      <c r="W191" s="307">
        <f>SUM(W192,W237)</f>
        <v>0</v>
      </c>
      <c r="X191" s="307">
        <f>SUM(X192,X237)</f>
        <v>0</v>
      </c>
      <c r="Y191" s="307">
        <f t="shared" ref="Y191:Y192" si="87">SUM(V191:X191)</f>
        <v>49610000</v>
      </c>
      <c r="Z191" s="156"/>
      <c r="AA191" s="156"/>
      <c r="AB191" s="101"/>
    </row>
    <row r="192" spans="1:28" s="309" customFormat="1">
      <c r="A192" s="308"/>
      <c r="B192" s="319" t="s">
        <v>307</v>
      </c>
      <c r="C192" s="350"/>
      <c r="D192" s="312"/>
      <c r="E192" s="312"/>
      <c r="F192" s="1018"/>
      <c r="G192" s="1018"/>
      <c r="H192" s="301">
        <f>SUM(H194:H236)</f>
        <v>41520</v>
      </c>
      <c r="I192" s="301">
        <f>SUM(I194:I236)</f>
        <v>41214</v>
      </c>
      <c r="J192" s="301">
        <f>SUM(J194:J236)</f>
        <v>-306</v>
      </c>
      <c r="K192" s="301"/>
      <c r="L192" s="313"/>
      <c r="M192" s="313"/>
      <c r="N192" s="313"/>
      <c r="O192" s="313"/>
      <c r="P192" s="313"/>
      <c r="Q192" s="313"/>
      <c r="R192" s="313"/>
      <c r="S192" s="313"/>
      <c r="T192" s="313"/>
      <c r="U192" s="313"/>
      <c r="V192" s="302">
        <f>SUM(V193,V206,V219,V232)</f>
        <v>41214000</v>
      </c>
      <c r="W192" s="302">
        <f>SUM(W193,W206,W219,W232)</f>
        <v>0</v>
      </c>
      <c r="X192" s="302">
        <f>SUM(X193,X206,X219,X232)</f>
        <v>0</v>
      </c>
      <c r="Y192" s="302">
        <f t="shared" si="87"/>
        <v>41214000</v>
      </c>
      <c r="Z192" s="156"/>
      <c r="AA192" s="156"/>
      <c r="AB192" s="156"/>
    </row>
    <row r="193" spans="1:28">
      <c r="A193" s="118"/>
      <c r="B193" s="118"/>
      <c r="C193" s="106" t="s">
        <v>61</v>
      </c>
      <c r="D193" s="149"/>
      <c r="E193" s="149"/>
      <c r="F193" s="975"/>
      <c r="G193" s="976"/>
      <c r="H193" s="977">
        <f>SUM(H194:H204)</f>
        <v>36720</v>
      </c>
      <c r="I193" s="977">
        <f>SUM(I194:I204)</f>
        <v>36414</v>
      </c>
      <c r="J193" s="977">
        <f>SUM(J194:J204)</f>
        <v>-306</v>
      </c>
      <c r="K193" s="1020"/>
      <c r="L193" s="293"/>
      <c r="M193" s="293"/>
      <c r="N193" s="978"/>
      <c r="O193" s="979"/>
      <c r="P193" s="978"/>
      <c r="Q193" s="979"/>
      <c r="R193" s="978"/>
      <c r="S193" s="979"/>
      <c r="T193" s="979"/>
      <c r="U193" s="979"/>
      <c r="V193" s="980">
        <f>SUM(V194,V201)</f>
        <v>36414000</v>
      </c>
      <c r="W193" s="980">
        <f t="shared" ref="W193:Y193" si="88">SUM(W194,W201)</f>
        <v>0</v>
      </c>
      <c r="X193" s="980">
        <f t="shared" si="88"/>
        <v>0</v>
      </c>
      <c r="Y193" s="980">
        <f t="shared" si="88"/>
        <v>36414000</v>
      </c>
      <c r="Z193" s="156"/>
      <c r="AA193" s="156"/>
      <c r="AB193" s="101"/>
    </row>
    <row r="194" spans="1:28">
      <c r="A194" s="118"/>
      <c r="B194" s="118"/>
      <c r="C194" s="108"/>
      <c r="D194" s="108" t="s">
        <v>61</v>
      </c>
      <c r="E194" s="108">
        <v>503010101</v>
      </c>
      <c r="F194" s="981" t="s">
        <v>83</v>
      </c>
      <c r="G194" s="982" t="s">
        <v>6</v>
      </c>
      <c r="H194" s="1021">
        <f>IFERROR(IF(VLOOKUP(K194,데이터입력!$C$42:$L$137,5,FALSE)&lt;1000,ROUNDUP(VLOOKUP(K194,데이터입력!$C$42:$L$137,5,FALSE)*1/1000,0),ROUND(VLOOKUP(K194,데이터입력!$C$42:$L$137,5,FALSE)*1/1000,0)),0)</f>
        <v>36720</v>
      </c>
      <c r="I194" s="983">
        <f>IFERROR(IF(F194="06",IF(V194&lt;1000,ROUNDUP((V194)*1/1000,0),ROUND((V194)*1/1000,0)),IF(F194="07",IF(W194&lt;1000,ROUNDUP((W194)*1/1000,0),ROUND((W194)*1/1000,0)),IF(F194="05",IF(X194&lt;1000,ROUNDUP((X194)*1/1000,0),ROUND((X194)*1/1000,0))))),0)</f>
        <v>36414</v>
      </c>
      <c r="J194" s="983">
        <f>I194-H194</f>
        <v>-306</v>
      </c>
      <c r="K194" s="1022" t="s">
        <v>573</v>
      </c>
      <c r="L194" s="112" t="str">
        <f>D194</f>
        <v>생계비</v>
      </c>
      <c r="M194" s="113"/>
      <c r="N194" s="985"/>
      <c r="O194" s="986"/>
      <c r="P194" s="985"/>
      <c r="Q194" s="986"/>
      <c r="R194" s="985"/>
      <c r="S194" s="986"/>
      <c r="T194" s="986"/>
      <c r="U194" s="986"/>
      <c r="V194" s="987">
        <f>SUM(V195:V200)</f>
        <v>36414000</v>
      </c>
      <c r="W194" s="987">
        <f>SUM(W195:W200)</f>
        <v>0</v>
      </c>
      <c r="X194" s="987">
        <f>SUM(X195:X200)</f>
        <v>0</v>
      </c>
      <c r="Y194" s="987">
        <f>SUM(V194:X194)</f>
        <v>36414000</v>
      </c>
      <c r="Z194" s="282">
        <f>IFERROR(VLOOKUP($L194,데이터입력!$R$67:$U$99,3,FALSE),0)</f>
        <v>36414000</v>
      </c>
      <c r="AA194" s="282"/>
      <c r="AB194" s="282">
        <f>IFERROR(VLOOKUP($L200,데이터입력!$R$130:$U$155,3,FALSE),0)</f>
        <v>0</v>
      </c>
    </row>
    <row r="195" spans="1:28">
      <c r="A195" s="118"/>
      <c r="B195" s="118"/>
      <c r="C195" s="118"/>
      <c r="D195" s="118"/>
      <c r="E195" s="118"/>
      <c r="F195" s="988"/>
      <c r="G195" s="989"/>
      <c r="H195" s="1023"/>
      <c r="I195" s="990"/>
      <c r="J195" s="990"/>
      <c r="K195" s="990"/>
      <c r="L195" s="127" t="str">
        <f>"  - "&amp;L194</f>
        <v xml:space="preserve">  - 생계비</v>
      </c>
      <c r="M195" s="263"/>
      <c r="N195" s="961">
        <f>IF(R195="",Z194,ROUNDUP((Z194-SUM(V197:V199))/R195,0))</f>
        <v>3034500</v>
      </c>
      <c r="O195" s="121" t="str">
        <f>IF(P195="","","x ")</f>
        <v/>
      </c>
      <c r="P195" s="963"/>
      <c r="Q195" s="962" t="str">
        <f>IF(R195="","","x ")</f>
        <v xml:space="preserve">x </v>
      </c>
      <c r="R195" s="964">
        <f>IF(VLOOKUP($L194,데이터입력!$R$67:$U$99,4,FALSE)="",데이터입력!$Y$8,VLOOKUP($L194,데이터입력!$R$67:$U$99,4,FALSE))</f>
        <v>12</v>
      </c>
      <c r="S195" s="962"/>
      <c r="T195" s="962" t="s">
        <v>408</v>
      </c>
      <c r="U195" s="962"/>
      <c r="V195" s="965">
        <f>IFERROR(Z194-V196,0)</f>
        <v>36414000</v>
      </c>
      <c r="W195" s="967"/>
      <c r="X195" s="967"/>
      <c r="Y195" s="967"/>
      <c r="Z195" s="283"/>
      <c r="AA195" s="283"/>
      <c r="AB195" s="284"/>
    </row>
    <row r="196" spans="1:28">
      <c r="A196" s="118"/>
      <c r="B196" s="118"/>
      <c r="C196" s="118"/>
      <c r="D196" s="118"/>
      <c r="E196" s="118"/>
      <c r="F196" s="988"/>
      <c r="G196" s="989"/>
      <c r="H196" s="1023"/>
      <c r="I196" s="990"/>
      <c r="J196" s="990"/>
      <c r="K196" s="990"/>
      <c r="L196" s="127" t="str">
        <f>"  - "&amp;$L$194&amp;"(직원)"</f>
        <v xml:space="preserve">  - 생계비(직원)</v>
      </c>
      <c r="M196" s="263"/>
      <c r="N196" s="961">
        <f>IF(OR(P196="",P196=0),ROUNDUP((Z196)/R196,0),ROUNDUP((Z196)/R196/P196,0))</f>
        <v>0</v>
      </c>
      <c r="O196" s="121" t="str">
        <f>IF(P196="","","x ")</f>
        <v xml:space="preserve">x </v>
      </c>
      <c r="P196" s="963">
        <f>데이터입력!$U$52</f>
        <v>8</v>
      </c>
      <c r="Q196" s="962" t="s">
        <v>407</v>
      </c>
      <c r="R196" s="964">
        <f>데이터입력!$Y$8</f>
        <v>12</v>
      </c>
      <c r="S196" s="962"/>
      <c r="T196" s="962" t="s">
        <v>408</v>
      </c>
      <c r="U196" s="962"/>
      <c r="V196" s="965">
        <f>Z196</f>
        <v>0</v>
      </c>
      <c r="W196" s="967"/>
      <c r="X196" s="967"/>
      <c r="Y196" s="967"/>
      <c r="Z196" s="282">
        <f>IFERROR(데이터입력!T52*데이터입력!U52*데이터입력!Y8,0)</f>
        <v>0</v>
      </c>
      <c r="AA196" s="283"/>
      <c r="AB196" s="284"/>
    </row>
    <row r="197" spans="1:28">
      <c r="A197" s="118"/>
      <c r="B197" s="118"/>
      <c r="C197" s="118"/>
      <c r="D197" s="118"/>
      <c r="E197" s="118"/>
      <c r="F197" s="988"/>
      <c r="G197" s="989"/>
      <c r="H197" s="1023"/>
      <c r="I197" s="990"/>
      <c r="J197" s="990"/>
      <c r="K197" s="1024"/>
      <c r="L197" s="299" t="s">
        <v>444</v>
      </c>
      <c r="M197" s="300"/>
      <c r="N197" s="961">
        <v>0</v>
      </c>
      <c r="O197" s="121" t="str">
        <f>IF(P197="","","x ")</f>
        <v/>
      </c>
      <c r="P197" s="963"/>
      <c r="Q197" s="962" t="s">
        <v>407</v>
      </c>
      <c r="R197" s="964">
        <f>IF(VLOOKUP($L194,데이터입력!$R$67:$U$99,4,FALSE)="",데이터입력!$Y$8,VLOOKUP($L194,데이터입력!$R$67:$U$99,4,FALSE))</f>
        <v>12</v>
      </c>
      <c r="S197" s="962"/>
      <c r="T197" s="962" t="s">
        <v>408</v>
      </c>
      <c r="U197" s="962"/>
      <c r="V197" s="965">
        <f>IF(P197=0,N197*R197,N197*P197*R197)</f>
        <v>0</v>
      </c>
      <c r="W197" s="967"/>
      <c r="X197" s="967"/>
      <c r="Y197" s="967"/>
      <c r="AA197" s="155"/>
      <c r="AB197" s="151"/>
    </row>
    <row r="198" spans="1:28" hidden="1">
      <c r="A198" s="118"/>
      <c r="B198" s="118"/>
      <c r="C198" s="118"/>
      <c r="D198" s="118"/>
      <c r="E198" s="118"/>
      <c r="F198" s="988"/>
      <c r="G198" s="989"/>
      <c r="H198" s="1023"/>
      <c r="I198" s="990"/>
      <c r="J198" s="990"/>
      <c r="K198" s="992"/>
      <c r="L198" s="299" t="s">
        <v>444</v>
      </c>
      <c r="M198" s="300"/>
      <c r="N198" s="961">
        <v>0</v>
      </c>
      <c r="O198" s="121" t="str">
        <f>IF(P198="","","x ")</f>
        <v/>
      </c>
      <c r="P198" s="963"/>
      <c r="Q198" s="962" t="s">
        <v>407</v>
      </c>
      <c r="R198" s="964">
        <f>IF(VLOOKUP($L194,데이터입력!$R$67:$U$99,4,FALSE)="",데이터입력!$Y$8,VLOOKUP($L194,데이터입력!$R$67:$U$99,4,FALSE))</f>
        <v>12</v>
      </c>
      <c r="S198" s="962"/>
      <c r="T198" s="962" t="s">
        <v>408</v>
      </c>
      <c r="U198" s="962"/>
      <c r="V198" s="965">
        <f>IF(P198=0,N198*R198,N198*P198*R198)</f>
        <v>0</v>
      </c>
      <c r="W198" s="967"/>
      <c r="X198" s="967"/>
      <c r="Y198" s="967"/>
      <c r="AA198" s="156"/>
      <c r="AB198" s="101"/>
    </row>
    <row r="199" spans="1:28" hidden="1">
      <c r="A199" s="118"/>
      <c r="B199" s="118"/>
      <c r="C199" s="118"/>
      <c r="D199" s="134"/>
      <c r="E199" s="134"/>
      <c r="F199" s="1025"/>
      <c r="G199" s="1026"/>
      <c r="H199" s="1027"/>
      <c r="I199" s="1028"/>
      <c r="J199" s="1028"/>
      <c r="K199" s="1029"/>
      <c r="L199" s="130" t="s">
        <v>444</v>
      </c>
      <c r="M199" s="137"/>
      <c r="N199" s="1030">
        <v>0</v>
      </c>
      <c r="O199" s="121" t="str">
        <f>IF(P199="","","x ")</f>
        <v/>
      </c>
      <c r="P199" s="1032"/>
      <c r="Q199" s="1031" t="s">
        <v>407</v>
      </c>
      <c r="R199" s="1033">
        <f>IF(VLOOKUP($L194,데이터입력!$R$67:$U$99,4,FALSE)="",데이터입력!$Y$8,VLOOKUP($L194,데이터입력!$R$67:$U$99,4,FALSE))</f>
        <v>12</v>
      </c>
      <c r="S199" s="1031"/>
      <c r="T199" s="1031" t="s">
        <v>408</v>
      </c>
      <c r="U199" s="1031"/>
      <c r="V199" s="1034">
        <f>IF(P199=0,N199*R199,N199*P199*R199)</f>
        <v>0</v>
      </c>
      <c r="W199" s="974"/>
      <c r="X199" s="974"/>
      <c r="Y199" s="974"/>
      <c r="Z199" s="156"/>
      <c r="AA199" s="156"/>
      <c r="AB199" s="101"/>
    </row>
    <row r="200" spans="1:28">
      <c r="A200" s="118"/>
      <c r="B200" s="118"/>
      <c r="C200" s="118"/>
      <c r="D200" s="118"/>
      <c r="E200" s="118"/>
      <c r="F200" s="1004" t="s">
        <v>85</v>
      </c>
      <c r="G200" s="1005" t="s">
        <v>19</v>
      </c>
      <c r="H200" s="1035">
        <f>IFERROR(IF(VLOOKUP(K200,데이터입력!$C$42:$L$137,5,FALSE)&lt;1000,ROUNDUP(VLOOKUP(K200,데이터입력!$C$42:$L$137,5,FALSE)*1/1000,0),ROUND(VLOOKUP(K200,데이터입력!$C$42:$L$137,5,FALSE)*1/1000,0)),0)</f>
        <v>0</v>
      </c>
      <c r="I200" s="1006">
        <f t="shared" ref="I200" si="89">IFERROR(IF(F200="06",IF(V200&lt;1000,ROUNDUP((V200)*1/1000,0),ROUND((V200)*1/1000,0)),IF(F200="07",IF(W200&lt;1000,ROUNDUP((W200)*1/1000,0),ROUND((W200)*1/1000,0)),IF(F200="05",IF(X200&lt;1000,ROUNDUP((X200)*1/1000,0),ROUND((X200)*1/1000,0))))),0)</f>
        <v>0</v>
      </c>
      <c r="J200" s="1007">
        <f>I200-H200</f>
        <v>0</v>
      </c>
      <c r="K200" s="286" t="str">
        <f t="shared" ref="K200" si="90">L200&amp;"("&amp;G200&amp;")"</f>
        <v>생계비(후원금)</v>
      </c>
      <c r="L200" s="296" t="str">
        <f>L194</f>
        <v>생계비</v>
      </c>
      <c r="M200" s="297"/>
      <c r="N200" s="1008">
        <f>IF(R200="",AB194,ROUNDUP(AB194/R200,0))</f>
        <v>0</v>
      </c>
      <c r="O200" s="1309" t="str">
        <f t="shared" ref="O200" si="91">IF(P200="","","x ")</f>
        <v/>
      </c>
      <c r="P200" s="1010"/>
      <c r="Q200" s="1009" t="s">
        <v>407</v>
      </c>
      <c r="R200" s="1011">
        <f>IF(VLOOKUP($L200,데이터입력!$R$130:$U$155,4,FALSE)="",데이터입력!$Y$8,VLOOKUP($L200,데이터입력!$R$130:$U$155,4,FALSE))</f>
        <v>1</v>
      </c>
      <c r="S200" s="1009"/>
      <c r="T200" s="1009" t="s">
        <v>408</v>
      </c>
      <c r="U200" s="1009"/>
      <c r="V200" s="1013"/>
      <c r="W200" s="1014"/>
      <c r="X200" s="1036">
        <f>IF(P200=0,N200*R200,N200*P200*R200)</f>
        <v>0</v>
      </c>
      <c r="Y200" s="1014"/>
      <c r="Z200" s="284"/>
      <c r="AA200" s="284"/>
      <c r="AB200" s="284"/>
    </row>
    <row r="201" spans="1:28">
      <c r="A201" s="118"/>
      <c r="B201" s="118"/>
      <c r="C201" s="118"/>
      <c r="D201" s="108" t="s">
        <v>654</v>
      </c>
      <c r="E201" s="108">
        <v>503010101</v>
      </c>
      <c r="F201" s="981" t="s">
        <v>84</v>
      </c>
      <c r="G201" s="982" t="s">
        <v>81</v>
      </c>
      <c r="H201" s="1021">
        <f>IFERROR(IF(VLOOKUP(K201,데이터입력!$C$42:$L$137,5,FALSE)&lt;1000,ROUNDUP(VLOOKUP(K201,데이터입력!$C$42:$L$137,5,FALSE)*1/1000,0),ROUND(VLOOKUP(K201,데이터입력!$C$42:$L$137,5,FALSE)*1/1000,0)),0)</f>
        <v>0</v>
      </c>
      <c r="I201" s="983">
        <f>IFERROR(IF(F201="06",IF(V201&lt;1000,ROUNDUP((V201)*1/1000,0),ROUND((V201)*1/1000,0)),IF(F201="07",IF(W201&lt;1000,ROUNDUP((W201)*1/1000,0),ROUND((W201)*1/1000,0)),IF(F201="05",IF(X201&lt;1000,ROUNDUP((X201)*1/1000,0),ROUND((X201)*1/1000,0))))),0)</f>
        <v>0</v>
      </c>
      <c r="J201" s="983">
        <f>I201-H201</f>
        <v>0</v>
      </c>
      <c r="K201" s="984" t="str">
        <f>L201&amp;"("&amp;G201&amp;")"</f>
        <v>생계비(보조금)</v>
      </c>
      <c r="L201" s="112" t="str">
        <f>D201</f>
        <v>생계비</v>
      </c>
      <c r="M201" s="113"/>
      <c r="N201" s="985"/>
      <c r="O201" s="986"/>
      <c r="P201" s="985"/>
      <c r="Q201" s="986"/>
      <c r="R201" s="985"/>
      <c r="S201" s="986"/>
      <c r="T201" s="986"/>
      <c r="U201" s="986"/>
      <c r="V201" s="1037"/>
      <c r="W201" s="987">
        <f>SUM(W202:W205)</f>
        <v>0</v>
      </c>
      <c r="X201" s="987">
        <f>SUM(X202:X204)</f>
        <v>0</v>
      </c>
      <c r="Y201" s="987">
        <f>SUM(V201:X201)</f>
        <v>0</v>
      </c>
      <c r="Z201" s="282"/>
      <c r="AA201" s="282">
        <f>IFERROR(VLOOKUP($L201,데이터입력!$R$100:$U$129,3,FALSE),0)</f>
        <v>0</v>
      </c>
      <c r="AB201" s="101"/>
    </row>
    <row r="202" spans="1:28">
      <c r="A202" s="118"/>
      <c r="B202" s="118"/>
      <c r="C202" s="118"/>
      <c r="D202" s="118"/>
      <c r="E202" s="118"/>
      <c r="F202" s="988"/>
      <c r="G202" s="989"/>
      <c r="H202" s="1023"/>
      <c r="I202" s="990"/>
      <c r="J202" s="990"/>
      <c r="K202" s="992"/>
      <c r="L202" s="127" t="str">
        <f>"  - "&amp;L201&amp;"(시군구보조금)"</f>
        <v xml:space="preserve">  - 생계비(시군구보조금)</v>
      </c>
      <c r="M202" s="263"/>
      <c r="N202" s="961">
        <f>데이터입력!$T$4</f>
        <v>303266</v>
      </c>
      <c r="O202" s="121" t="str">
        <f>IF(P202="","","x ")</f>
        <v xml:space="preserve">x </v>
      </c>
      <c r="P202" s="963">
        <f>데이터입력!$Y$26</f>
        <v>0</v>
      </c>
      <c r="Q202" s="962" t="s">
        <v>407</v>
      </c>
      <c r="R202" s="964">
        <f>데이터입력!$Y$8</f>
        <v>12</v>
      </c>
      <c r="S202" s="962"/>
      <c r="T202" s="962" t="s">
        <v>408</v>
      </c>
      <c r="U202" s="962"/>
      <c r="V202" s="967"/>
      <c r="W202" s="965">
        <f>IF(P202="",N202*R202,N202*P202*R202)</f>
        <v>0</v>
      </c>
      <c r="X202" s="967"/>
      <c r="Y202" s="967"/>
      <c r="Z202" s="156"/>
      <c r="AA202" s="156"/>
      <c r="AB202" s="101"/>
    </row>
    <row r="203" spans="1:28">
      <c r="A203" s="118"/>
      <c r="B203" s="118"/>
      <c r="C203" s="118"/>
      <c r="D203" s="118"/>
      <c r="E203" s="118"/>
      <c r="F203" s="988"/>
      <c r="G203" s="989"/>
      <c r="H203" s="1023"/>
      <c r="I203" s="990"/>
      <c r="J203" s="990"/>
      <c r="K203" s="992"/>
      <c r="L203" s="127" t="str">
        <f>"  - "&amp;데이터입력!R5&amp;" 지급"</f>
        <v xml:space="preserve">  - 월동대책비 지급</v>
      </c>
      <c r="M203" s="263"/>
      <c r="N203" s="961">
        <f>데이터입력!$T$5</f>
        <v>40000</v>
      </c>
      <c r="O203" s="121" t="str">
        <f>IF(P203="","","x ")</f>
        <v xml:space="preserve">x </v>
      </c>
      <c r="P203" s="963">
        <f>데이터입력!$Y$26</f>
        <v>0</v>
      </c>
      <c r="Q203" s="962" t="s">
        <v>407</v>
      </c>
      <c r="R203" s="1038">
        <f>데이터입력!$V$5</f>
        <v>1</v>
      </c>
      <c r="S203" s="962"/>
      <c r="T203" s="962" t="s">
        <v>408</v>
      </c>
      <c r="U203" s="962"/>
      <c r="V203" s="967"/>
      <c r="W203" s="965">
        <f t="shared" ref="W203:W204" si="92">IF(P203="",N203*R203,N203*P203*R203)</f>
        <v>0</v>
      </c>
      <c r="X203" s="967"/>
      <c r="Y203" s="967"/>
      <c r="Z203" s="156"/>
      <c r="AA203" s="156"/>
      <c r="AB203" s="101"/>
    </row>
    <row r="204" spans="1:28">
      <c r="A204" s="118"/>
      <c r="B204" s="118"/>
      <c r="C204" s="118"/>
      <c r="D204" s="118"/>
      <c r="E204" s="118"/>
      <c r="F204" s="988"/>
      <c r="G204" s="989"/>
      <c r="H204" s="1023"/>
      <c r="I204" s="990"/>
      <c r="J204" s="990"/>
      <c r="K204" s="992"/>
      <c r="L204" s="127" t="str">
        <f>"  - "&amp;데이터입력!R6&amp;" 지급"</f>
        <v xml:space="preserve">  - 특별위로금 지급</v>
      </c>
      <c r="M204" s="263"/>
      <c r="N204" s="961">
        <f>데이터입력!$T$6</f>
        <v>50000</v>
      </c>
      <c r="O204" s="121" t="str">
        <f>IF(P204="","","x ")</f>
        <v xml:space="preserve">x </v>
      </c>
      <c r="P204" s="963">
        <f>데이터입력!$Y$26</f>
        <v>0</v>
      </c>
      <c r="Q204" s="962" t="s">
        <v>407</v>
      </c>
      <c r="R204" s="1038">
        <f>데이터입력!$V$6</f>
        <v>2</v>
      </c>
      <c r="S204" s="962"/>
      <c r="T204" s="962" t="s">
        <v>408</v>
      </c>
      <c r="U204" s="962"/>
      <c r="V204" s="967"/>
      <c r="W204" s="965">
        <f t="shared" si="92"/>
        <v>0</v>
      </c>
      <c r="X204" s="967"/>
      <c r="Y204" s="967"/>
      <c r="Z204" s="156"/>
      <c r="AA204" s="156"/>
      <c r="AB204" s="101"/>
    </row>
    <row r="205" spans="1:28">
      <c r="A205" s="118"/>
      <c r="B205" s="118"/>
      <c r="C205" s="118"/>
      <c r="D205" s="118"/>
      <c r="E205" s="118"/>
      <c r="F205" s="988"/>
      <c r="G205" s="989"/>
      <c r="H205" s="1023"/>
      <c r="I205" s="990"/>
      <c r="J205" s="990"/>
      <c r="K205" s="992"/>
      <c r="L205" s="127" t="str">
        <f>"  - "&amp;데이터입력!$AA$21</f>
        <v xml:space="preserve">  - 생계비(시군구보조금외)</v>
      </c>
      <c r="M205" s="263"/>
      <c r="N205" s="961"/>
      <c r="O205" s="962"/>
      <c r="P205" s="963"/>
      <c r="Q205" s="962"/>
      <c r="R205" s="1038"/>
      <c r="S205" s="962"/>
      <c r="T205" s="962" t="s">
        <v>789</v>
      </c>
      <c r="U205" s="962"/>
      <c r="V205" s="967"/>
      <c r="W205" s="965">
        <f>데이터입력!$AB$21</f>
        <v>0</v>
      </c>
      <c r="X205" s="967"/>
      <c r="Y205" s="967"/>
      <c r="Z205" s="156"/>
      <c r="AA205" s="156"/>
      <c r="AB205" s="101"/>
    </row>
    <row r="206" spans="1:28">
      <c r="A206" s="118"/>
      <c r="B206" s="118"/>
      <c r="C206" s="108" t="s">
        <v>62</v>
      </c>
      <c r="D206" s="108" t="s">
        <v>62</v>
      </c>
      <c r="E206" s="108">
        <v>503010201</v>
      </c>
      <c r="F206" s="981" t="s">
        <v>83</v>
      </c>
      <c r="G206" s="982" t="s">
        <v>6</v>
      </c>
      <c r="H206" s="1021">
        <f>IFERROR(IF(VLOOKUP(K206,데이터입력!$C$42:$L$137,5,FALSE)&lt;1000,ROUNDUP(VLOOKUP(K206,데이터입력!$C$42:$L$137,5,FALSE)*1/1000,0),ROUND(VLOOKUP(K206,데이터입력!$C$42:$L$137,5,FALSE)*1/1000,0)),0)</f>
        <v>3000</v>
      </c>
      <c r="I206" s="983">
        <f>IFERROR(IF(F206="06",IF(V206&lt;1000,ROUNDUP((V206)*1/1000,0),ROUND((V206)*1/1000,0)),IF(F206="07",IF(W206&lt;1000,ROUNDUP((W206)*1/1000,0),ROUND((W206)*1/1000,0)),IF(F206="05",IF(X206&lt;1000,ROUNDUP((X206)*1/1000,0),ROUND((X206)*1/1000,0))))),0)</f>
        <v>3000</v>
      </c>
      <c r="J206" s="983">
        <f>I206-H206</f>
        <v>0</v>
      </c>
      <c r="K206" s="984" t="str">
        <f>L206&amp;"("&amp;G206&amp;")"</f>
        <v>수용기관경비(수익사업)</v>
      </c>
      <c r="L206" s="112" t="str">
        <f>D206</f>
        <v>수용기관경비</v>
      </c>
      <c r="M206" s="113"/>
      <c r="N206" s="985"/>
      <c r="O206" s="986"/>
      <c r="P206" s="985"/>
      <c r="Q206" s="986"/>
      <c r="R206" s="985"/>
      <c r="S206" s="986"/>
      <c r="T206" s="986"/>
      <c r="U206" s="986"/>
      <c r="V206" s="987">
        <f>SUM(V207:V218)</f>
        <v>3000000</v>
      </c>
      <c r="W206" s="987">
        <f>SUM(W207:W218)</f>
        <v>0</v>
      </c>
      <c r="X206" s="987">
        <f>SUM(X207:X218)</f>
        <v>0</v>
      </c>
      <c r="Y206" s="987">
        <f>SUM(V206:X206)</f>
        <v>3000000</v>
      </c>
      <c r="Z206" s="282">
        <f>IFERROR(VLOOKUP($L206,데이터입력!$R$67:$U$99,3,FALSE),0)</f>
        <v>3000000</v>
      </c>
      <c r="AA206" s="282">
        <f>IFERROR(VLOOKUP($L217,데이터입력!$R$100:$U$129,3,FALSE),0)</f>
        <v>0</v>
      </c>
      <c r="AB206" s="282">
        <f>IFERROR(VLOOKUP($L218,데이터입력!$R$130:$U$155,3,FALSE),0)</f>
        <v>0</v>
      </c>
    </row>
    <row r="207" spans="1:28">
      <c r="A207" s="118"/>
      <c r="B207" s="118"/>
      <c r="C207" s="118"/>
      <c r="D207" s="118"/>
      <c r="E207" s="118"/>
      <c r="F207" s="988"/>
      <c r="G207" s="989"/>
      <c r="H207" s="1023"/>
      <c r="I207" s="990"/>
      <c r="J207" s="990"/>
      <c r="K207" s="992"/>
      <c r="L207" s="127" t="str">
        <f>"  - "&amp;데이터입력!AD51</f>
        <v xml:space="preserve">  - 기저귀 등</v>
      </c>
      <c r="M207" s="263"/>
      <c r="N207" s="961">
        <f>데이터입력!AE51</f>
        <v>150000</v>
      </c>
      <c r="O207" s="121" t="str">
        <f t="shared" ref="O207:O216" si="93">IF(P207="","","x ")</f>
        <v/>
      </c>
      <c r="P207" s="963"/>
      <c r="Q207" s="962" t="s">
        <v>407</v>
      </c>
      <c r="R207" s="964">
        <f>데이터입력!AF51</f>
        <v>12</v>
      </c>
      <c r="S207" s="962"/>
      <c r="T207" s="962" t="s">
        <v>408</v>
      </c>
      <c r="U207" s="962"/>
      <c r="V207" s="965">
        <f t="shared" ref="V207:V216" si="94">IF(P207="",N207*R207,N207*P207*R207)</f>
        <v>1800000</v>
      </c>
      <c r="W207" s="967"/>
      <c r="X207" s="967"/>
      <c r="Y207" s="967"/>
      <c r="Z207" s="156"/>
      <c r="AA207" s="156"/>
      <c r="AB207" s="101"/>
    </row>
    <row r="208" spans="1:28">
      <c r="A208" s="118"/>
      <c r="B208" s="118"/>
      <c r="C208" s="118"/>
      <c r="D208" s="118"/>
      <c r="E208" s="118"/>
      <c r="F208" s="988"/>
      <c r="G208" s="989"/>
      <c r="H208" s="1023"/>
      <c r="I208" s="990"/>
      <c r="J208" s="990"/>
      <c r="K208" s="992"/>
      <c r="L208" s="127" t="str">
        <f>"  - "&amp;데이터입력!AD52</f>
        <v xml:space="preserve">  - 욕실용품 등</v>
      </c>
      <c r="M208" s="263"/>
      <c r="N208" s="961">
        <f>데이터입력!AE52</f>
        <v>50000</v>
      </c>
      <c r="O208" s="121" t="str">
        <f t="shared" si="93"/>
        <v/>
      </c>
      <c r="P208" s="963"/>
      <c r="Q208" s="962" t="s">
        <v>407</v>
      </c>
      <c r="R208" s="964">
        <f>데이터입력!AF52</f>
        <v>12</v>
      </c>
      <c r="S208" s="962"/>
      <c r="T208" s="962" t="s">
        <v>408</v>
      </c>
      <c r="U208" s="962"/>
      <c r="V208" s="965">
        <f t="shared" si="94"/>
        <v>600000</v>
      </c>
      <c r="W208" s="967"/>
      <c r="X208" s="967"/>
      <c r="Y208" s="967"/>
      <c r="Z208" s="156"/>
      <c r="AA208" s="156"/>
      <c r="AB208" s="101"/>
    </row>
    <row r="209" spans="1:28">
      <c r="A209" s="118"/>
      <c r="B209" s="118"/>
      <c r="C209" s="118"/>
      <c r="D209" s="118"/>
      <c r="E209" s="118"/>
      <c r="F209" s="988"/>
      <c r="G209" s="989"/>
      <c r="H209" s="1023"/>
      <c r="I209" s="990"/>
      <c r="J209" s="990"/>
      <c r="K209" s="992"/>
      <c r="L209" s="127" t="str">
        <f>"  - "&amp;데이터입력!AD53</f>
        <v xml:space="preserve">  - 기타(이불,피복비 등)</v>
      </c>
      <c r="M209" s="263"/>
      <c r="N209" s="961">
        <f>데이터입력!AE53</f>
        <v>50000</v>
      </c>
      <c r="O209" s="121" t="str">
        <f t="shared" si="93"/>
        <v/>
      </c>
      <c r="P209" s="963"/>
      <c r="Q209" s="962" t="s">
        <v>407</v>
      </c>
      <c r="R209" s="964">
        <f>데이터입력!AF53</f>
        <v>12</v>
      </c>
      <c r="S209" s="962"/>
      <c r="T209" s="962" t="s">
        <v>408</v>
      </c>
      <c r="U209" s="962"/>
      <c r="V209" s="965">
        <f t="shared" si="94"/>
        <v>600000</v>
      </c>
      <c r="W209" s="967"/>
      <c r="X209" s="967"/>
      <c r="Y209" s="967"/>
      <c r="Z209" s="156"/>
      <c r="AA209" s="156"/>
      <c r="AB209" s="101"/>
    </row>
    <row r="210" spans="1:28">
      <c r="A210" s="118"/>
      <c r="B210" s="118"/>
      <c r="C210" s="118"/>
      <c r="D210" s="118"/>
      <c r="E210" s="118"/>
      <c r="F210" s="988"/>
      <c r="G210" s="989"/>
      <c r="H210" s="1023"/>
      <c r="I210" s="990"/>
      <c r="J210" s="990"/>
      <c r="K210" s="992"/>
      <c r="L210" s="127" t="str">
        <f>"  - "&amp;데이터입력!AD54</f>
        <v xml:space="preserve">  - </v>
      </c>
      <c r="M210" s="263"/>
      <c r="N210" s="961">
        <f>데이터입력!AE54</f>
        <v>0</v>
      </c>
      <c r="O210" s="121" t="str">
        <f t="shared" si="93"/>
        <v/>
      </c>
      <c r="P210" s="963"/>
      <c r="Q210" s="962" t="s">
        <v>407</v>
      </c>
      <c r="R210" s="964">
        <f>데이터입력!AF54</f>
        <v>12</v>
      </c>
      <c r="S210" s="962"/>
      <c r="T210" s="962" t="s">
        <v>408</v>
      </c>
      <c r="U210" s="962"/>
      <c r="V210" s="965">
        <f t="shared" si="94"/>
        <v>0</v>
      </c>
      <c r="W210" s="967"/>
      <c r="X210" s="967"/>
      <c r="Y210" s="967"/>
      <c r="Z210" s="156"/>
      <c r="AA210" s="156"/>
      <c r="AB210" s="101"/>
    </row>
    <row r="211" spans="1:28" hidden="1">
      <c r="A211" s="118"/>
      <c r="B211" s="118"/>
      <c r="C211" s="118"/>
      <c r="D211" s="118"/>
      <c r="E211" s="118"/>
      <c r="F211" s="988"/>
      <c r="G211" s="989"/>
      <c r="H211" s="1023"/>
      <c r="I211" s="990"/>
      <c r="J211" s="990"/>
      <c r="K211" s="992"/>
      <c r="L211" s="127" t="str">
        <f>"  - "&amp;데이터입력!AD55</f>
        <v xml:space="preserve">  - </v>
      </c>
      <c r="M211" s="263"/>
      <c r="N211" s="961">
        <f>데이터입력!AE55</f>
        <v>0</v>
      </c>
      <c r="O211" s="121" t="str">
        <f t="shared" si="93"/>
        <v/>
      </c>
      <c r="P211" s="963"/>
      <c r="Q211" s="962" t="s">
        <v>407</v>
      </c>
      <c r="R211" s="964">
        <f>데이터입력!AF55</f>
        <v>12</v>
      </c>
      <c r="S211" s="962"/>
      <c r="T211" s="962" t="s">
        <v>408</v>
      </c>
      <c r="U211" s="962"/>
      <c r="V211" s="965">
        <f t="shared" si="94"/>
        <v>0</v>
      </c>
      <c r="W211" s="967"/>
      <c r="X211" s="967"/>
      <c r="Y211" s="967"/>
      <c r="Z211" s="156"/>
      <c r="AA211" s="156"/>
      <c r="AB211" s="101"/>
    </row>
    <row r="212" spans="1:28" hidden="1">
      <c r="A212" s="118"/>
      <c r="B212" s="118"/>
      <c r="C212" s="118"/>
      <c r="D212" s="118"/>
      <c r="E212" s="118"/>
      <c r="F212" s="988"/>
      <c r="G212" s="989"/>
      <c r="H212" s="1023"/>
      <c r="I212" s="990"/>
      <c r="J212" s="990"/>
      <c r="K212" s="992"/>
      <c r="L212" s="127" t="str">
        <f>"  - "&amp;데이터입력!AD56</f>
        <v xml:space="preserve">  - </v>
      </c>
      <c r="M212" s="263"/>
      <c r="N212" s="961">
        <f>데이터입력!AE56</f>
        <v>0</v>
      </c>
      <c r="O212" s="121" t="str">
        <f t="shared" si="93"/>
        <v/>
      </c>
      <c r="P212" s="963"/>
      <c r="Q212" s="962" t="s">
        <v>407</v>
      </c>
      <c r="R212" s="964">
        <f>데이터입력!AF56</f>
        <v>12</v>
      </c>
      <c r="S212" s="962"/>
      <c r="T212" s="962" t="s">
        <v>408</v>
      </c>
      <c r="U212" s="962"/>
      <c r="V212" s="965">
        <f t="shared" si="94"/>
        <v>0</v>
      </c>
      <c r="W212" s="967"/>
      <c r="X212" s="967"/>
      <c r="Y212" s="967"/>
      <c r="Z212" s="156"/>
      <c r="AA212" s="156"/>
      <c r="AB212" s="101"/>
    </row>
    <row r="213" spans="1:28" hidden="1">
      <c r="A213" s="118"/>
      <c r="B213" s="118"/>
      <c r="C213" s="118"/>
      <c r="D213" s="118"/>
      <c r="E213" s="118"/>
      <c r="F213" s="988"/>
      <c r="G213" s="989"/>
      <c r="H213" s="1023"/>
      <c r="I213" s="990"/>
      <c r="J213" s="990"/>
      <c r="K213" s="992"/>
      <c r="L213" s="127" t="str">
        <f>"  - "&amp;데이터입력!AD57</f>
        <v xml:space="preserve">  - </v>
      </c>
      <c r="M213" s="263"/>
      <c r="N213" s="961">
        <f>데이터입력!AE57</f>
        <v>0</v>
      </c>
      <c r="O213" s="121" t="str">
        <f t="shared" si="93"/>
        <v/>
      </c>
      <c r="P213" s="963"/>
      <c r="Q213" s="962" t="s">
        <v>407</v>
      </c>
      <c r="R213" s="964">
        <f>데이터입력!AF57</f>
        <v>12</v>
      </c>
      <c r="S213" s="962"/>
      <c r="T213" s="962" t="s">
        <v>408</v>
      </c>
      <c r="U213" s="962"/>
      <c r="V213" s="965">
        <f t="shared" si="94"/>
        <v>0</v>
      </c>
      <c r="W213" s="967"/>
      <c r="X213" s="967"/>
      <c r="Y213" s="967"/>
      <c r="Z213" s="156"/>
      <c r="AA213" s="156"/>
      <c r="AB213" s="101"/>
    </row>
    <row r="214" spans="1:28" hidden="1">
      <c r="A214" s="118"/>
      <c r="B214" s="118"/>
      <c r="C214" s="118"/>
      <c r="D214" s="118"/>
      <c r="E214" s="118"/>
      <c r="F214" s="988"/>
      <c r="G214" s="989"/>
      <c r="H214" s="1023"/>
      <c r="I214" s="990"/>
      <c r="J214" s="990"/>
      <c r="K214" s="992"/>
      <c r="L214" s="127" t="str">
        <f>"  - "&amp;데이터입력!AD58</f>
        <v xml:space="preserve">  - </v>
      </c>
      <c r="M214" s="263"/>
      <c r="N214" s="961">
        <f>데이터입력!AE58</f>
        <v>0</v>
      </c>
      <c r="O214" s="121" t="str">
        <f t="shared" si="93"/>
        <v/>
      </c>
      <c r="P214" s="963"/>
      <c r="Q214" s="962" t="s">
        <v>407</v>
      </c>
      <c r="R214" s="964">
        <f>데이터입력!AF58</f>
        <v>12</v>
      </c>
      <c r="S214" s="962"/>
      <c r="T214" s="962" t="s">
        <v>408</v>
      </c>
      <c r="U214" s="962"/>
      <c r="V214" s="965">
        <f t="shared" si="94"/>
        <v>0</v>
      </c>
      <c r="W214" s="967"/>
      <c r="X214" s="967"/>
      <c r="Y214" s="967"/>
      <c r="Z214" s="156"/>
      <c r="AA214" s="156"/>
      <c r="AB214" s="101"/>
    </row>
    <row r="215" spans="1:28" hidden="1">
      <c r="A215" s="118"/>
      <c r="B215" s="118"/>
      <c r="C215" s="118"/>
      <c r="D215" s="118"/>
      <c r="E215" s="118"/>
      <c r="F215" s="988"/>
      <c r="G215" s="989"/>
      <c r="H215" s="1023"/>
      <c r="I215" s="990"/>
      <c r="J215" s="990"/>
      <c r="K215" s="992"/>
      <c r="L215" s="127" t="str">
        <f>"  - "&amp;데이터입력!AD59</f>
        <v xml:space="preserve">  - </v>
      </c>
      <c r="M215" s="263"/>
      <c r="N215" s="961">
        <f>데이터입력!AE59</f>
        <v>0</v>
      </c>
      <c r="O215" s="121" t="str">
        <f t="shared" si="93"/>
        <v/>
      </c>
      <c r="P215" s="963"/>
      <c r="Q215" s="962" t="s">
        <v>407</v>
      </c>
      <c r="R215" s="964">
        <f>데이터입력!AF59</f>
        <v>12</v>
      </c>
      <c r="S215" s="962"/>
      <c r="T215" s="962" t="s">
        <v>408</v>
      </c>
      <c r="U215" s="962"/>
      <c r="V215" s="965">
        <f t="shared" si="94"/>
        <v>0</v>
      </c>
      <c r="W215" s="967"/>
      <c r="X215" s="967"/>
      <c r="Y215" s="967"/>
      <c r="Z215" s="156"/>
      <c r="AA215" s="156"/>
      <c r="AB215" s="101"/>
    </row>
    <row r="216" spans="1:28" hidden="1">
      <c r="A216" s="118"/>
      <c r="B216" s="118"/>
      <c r="C216" s="118"/>
      <c r="D216" s="118"/>
      <c r="E216" s="118"/>
      <c r="F216" s="988"/>
      <c r="G216" s="989"/>
      <c r="H216" s="1023"/>
      <c r="I216" s="990"/>
      <c r="J216" s="990"/>
      <c r="K216" s="992"/>
      <c r="L216" s="127" t="str">
        <f>"  - "&amp;데이터입력!AD60</f>
        <v xml:space="preserve">  - </v>
      </c>
      <c r="M216" s="263"/>
      <c r="N216" s="961">
        <f>데이터입력!AE60</f>
        <v>0</v>
      </c>
      <c r="O216" s="121" t="str">
        <f t="shared" si="93"/>
        <v/>
      </c>
      <c r="P216" s="963"/>
      <c r="Q216" s="962" t="s">
        <v>407</v>
      </c>
      <c r="R216" s="964">
        <f>데이터입력!AF60</f>
        <v>12</v>
      </c>
      <c r="S216" s="962"/>
      <c r="T216" s="962" t="s">
        <v>408</v>
      </c>
      <c r="U216" s="962"/>
      <c r="V216" s="965">
        <f t="shared" si="94"/>
        <v>0</v>
      </c>
      <c r="W216" s="967"/>
      <c r="X216" s="967"/>
      <c r="Y216" s="967"/>
      <c r="Z216" s="156"/>
      <c r="AA216" s="156"/>
      <c r="AB216" s="101"/>
    </row>
    <row r="217" spans="1:28">
      <c r="A217" s="118"/>
      <c r="B217" s="118"/>
      <c r="C217" s="118"/>
      <c r="D217" s="118"/>
      <c r="E217" s="118"/>
      <c r="F217" s="993" t="s">
        <v>422</v>
      </c>
      <c r="G217" s="994" t="s">
        <v>384</v>
      </c>
      <c r="H217" s="1039">
        <f>IFERROR(IF(VLOOKUP(K217,데이터입력!$C$42:$L$137,5,FALSE)&lt;1000,ROUNDUP(VLOOKUP(K217,데이터입력!$C$42:$L$137,5,FALSE)*1/1000,0),ROUND(VLOOKUP(K217,데이터입력!$C$42:$L$137,5,FALSE)*1/1000,0)),0)</f>
        <v>0</v>
      </c>
      <c r="I217" s="995">
        <f t="shared" ref="I217:I218" si="95">IFERROR(IF(F217="06",IF(V217&lt;1000,ROUNDUP((V217)*1/1000,0),ROUND((V217)*1/1000,0)),IF(F217="07",IF(W217&lt;1000,ROUNDUP((W217)*1/1000,0),ROUND((W217)*1/1000,0)),IF(F217="05",IF(X217&lt;1000,ROUNDUP((X217)*1/1000,0),ROUND((X217)*1/1000,0))))),0)</f>
        <v>0</v>
      </c>
      <c r="J217" s="996">
        <f>I217-H217</f>
        <v>0</v>
      </c>
      <c r="K217" s="285" t="str">
        <f>L217&amp;"("&amp;G217&amp;")"</f>
        <v>수용기관경비(보조금)</v>
      </c>
      <c r="L217" s="294" t="str">
        <f>L206</f>
        <v>수용기관경비</v>
      </c>
      <c r="M217" s="295"/>
      <c r="N217" s="997">
        <f>IF(R217="",AA206,ROUNDDOWN(AA206/R217,-3))</f>
        <v>0</v>
      </c>
      <c r="O217" s="1310" t="str">
        <f t="shared" ref="O217:O218" si="96">IF(P217="","","x ")</f>
        <v/>
      </c>
      <c r="P217" s="999"/>
      <c r="Q217" s="998" t="s">
        <v>407</v>
      </c>
      <c r="R217" s="1000">
        <f>IF(VLOOKUP($L217,데이터입력!$R$100:$U$129,4,FALSE)="",데이터입력!$Y$8,VLOOKUP($L217,데이터입력!$R$100:$U$129,4,FALSE))</f>
        <v>12</v>
      </c>
      <c r="S217" s="998"/>
      <c r="T217" s="998" t="s">
        <v>408</v>
      </c>
      <c r="U217" s="998"/>
      <c r="V217" s="1003"/>
      <c r="W217" s="1003">
        <f>IF(P217="",N217*R217,N217*P217*R217)</f>
        <v>0</v>
      </c>
      <c r="X217" s="1002"/>
      <c r="Y217" s="1002"/>
      <c r="Z217" s="101"/>
      <c r="AA217" s="101"/>
      <c r="AB217" s="101"/>
    </row>
    <row r="218" spans="1:28">
      <c r="A218" s="118"/>
      <c r="B218" s="118"/>
      <c r="C218" s="118"/>
      <c r="D218" s="118"/>
      <c r="E218" s="118"/>
      <c r="F218" s="1004" t="s">
        <v>85</v>
      </c>
      <c r="G218" s="1005" t="s">
        <v>19</v>
      </c>
      <c r="H218" s="1035">
        <f>IFERROR(IF(VLOOKUP(K218,데이터입력!$C$42:$L$137,5,FALSE)&lt;1000,ROUNDUP(VLOOKUP(K218,데이터입력!$C$42:$L$137,5,FALSE)*1/1000,0),ROUND(VLOOKUP(K218,데이터입력!$C$42:$L$137,5,FALSE)*1/1000,0)),0)</f>
        <v>0</v>
      </c>
      <c r="I218" s="1006">
        <f t="shared" si="95"/>
        <v>0</v>
      </c>
      <c r="J218" s="1007">
        <f>I218-H218</f>
        <v>0</v>
      </c>
      <c r="K218" s="286" t="str">
        <f t="shared" ref="K218" si="97">L218&amp;"("&amp;G218&amp;")"</f>
        <v>수용기관경비(후원금)</v>
      </c>
      <c r="L218" s="296" t="str">
        <f>L206</f>
        <v>수용기관경비</v>
      </c>
      <c r="M218" s="297"/>
      <c r="N218" s="1008">
        <f>IF(R218="",AB206,ROUNDUP(AB206/R218,0))</f>
        <v>0</v>
      </c>
      <c r="O218" s="1309" t="str">
        <f t="shared" si="96"/>
        <v/>
      </c>
      <c r="P218" s="1010"/>
      <c r="Q218" s="1009" t="s">
        <v>407</v>
      </c>
      <c r="R218" s="1011">
        <f>IF(VLOOKUP($L218,데이터입력!$R$130:$U$155,4,FALSE)="",데이터입력!$Y$8,VLOOKUP($L218,데이터입력!$R$130:$U$155,4,FALSE))</f>
        <v>1</v>
      </c>
      <c r="S218" s="1009"/>
      <c r="T218" s="1009" t="s">
        <v>408</v>
      </c>
      <c r="U218" s="1009"/>
      <c r="V218" s="1014"/>
      <c r="W218" s="1014"/>
      <c r="X218" s="1013">
        <f>IF(P218=0,N218*R218,N218*P218*R218)</f>
        <v>0</v>
      </c>
      <c r="Y218" s="1013"/>
      <c r="Z218" s="101"/>
      <c r="AA218" s="101"/>
      <c r="AB218" s="101"/>
    </row>
    <row r="219" spans="1:28">
      <c r="A219" s="118"/>
      <c r="B219" s="118"/>
      <c r="C219" s="108" t="s">
        <v>63</v>
      </c>
      <c r="D219" s="108" t="s">
        <v>63</v>
      </c>
      <c r="E219" s="108">
        <v>503010401</v>
      </c>
      <c r="F219" s="981" t="s">
        <v>83</v>
      </c>
      <c r="G219" s="982" t="s">
        <v>6</v>
      </c>
      <c r="H219" s="1021">
        <f>IFERROR(IF(VLOOKUP(K219,데이터입력!$C$42:$L$137,5,FALSE)&lt;1000,ROUNDUP(VLOOKUP(K219,데이터입력!$C$42:$L$137,5,FALSE)*1/1000,0),ROUND(VLOOKUP(K219,데이터입력!$C$42:$L$137,5,FALSE)*1/1000,0)),0)</f>
        <v>1800</v>
      </c>
      <c r="I219" s="983">
        <f>IFERROR(IF(F219="06",IF(V219&lt;1000,ROUNDUP((V219)*1/1000,0),ROUND((V219)*1/1000,0)),IF(F219="07",IF(W219&lt;1000,ROUNDUP((W219)*1/1000,0),ROUND((W219)*1/1000,0)),IF(F219="05",IF(X219&lt;1000,ROUNDUP((X219)*1/1000,0),ROUND((X219)*1/1000,0))))),0)</f>
        <v>1800</v>
      </c>
      <c r="J219" s="983">
        <f>I219-H219</f>
        <v>0</v>
      </c>
      <c r="K219" s="984" t="str">
        <f>L219&amp;"("&amp;G219&amp;")"</f>
        <v>의료비(수익사업)</v>
      </c>
      <c r="L219" s="112" t="str">
        <f>D219</f>
        <v>의료비</v>
      </c>
      <c r="M219" s="113"/>
      <c r="N219" s="985"/>
      <c r="O219" s="986"/>
      <c r="P219" s="985"/>
      <c r="Q219" s="986"/>
      <c r="R219" s="985"/>
      <c r="S219" s="986"/>
      <c r="T219" s="986"/>
      <c r="U219" s="986"/>
      <c r="V219" s="987">
        <f>SUM(V220:V231)</f>
        <v>1800000</v>
      </c>
      <c r="W219" s="987">
        <f>SUM(W220:W231)</f>
        <v>0</v>
      </c>
      <c r="X219" s="987">
        <f>SUM(X220:X231)</f>
        <v>0</v>
      </c>
      <c r="Y219" s="987">
        <f>SUM(V219:X219)</f>
        <v>1800000</v>
      </c>
      <c r="Z219" s="282">
        <f>IFERROR(VLOOKUP($L219,데이터입력!$R$67:$U$99,3,FALSE),0)</f>
        <v>1800000</v>
      </c>
      <c r="AA219" s="282">
        <f>IFERROR(VLOOKUP($L230,데이터입력!$R$100:$U$129,3,FALSE),0)</f>
        <v>0</v>
      </c>
      <c r="AB219" s="282">
        <f>IFERROR(VLOOKUP($L231,데이터입력!$R$130:$U$155,3,FALSE),0)</f>
        <v>0</v>
      </c>
    </row>
    <row r="220" spans="1:28">
      <c r="A220" s="118"/>
      <c r="B220" s="118"/>
      <c r="C220" s="118"/>
      <c r="D220" s="118"/>
      <c r="E220" s="118"/>
      <c r="F220" s="988"/>
      <c r="G220" s="989"/>
      <c r="H220" s="1023"/>
      <c r="I220" s="990"/>
      <c r="J220" s="990"/>
      <c r="K220" s="992"/>
      <c r="L220" s="127" t="str">
        <f>"  - "&amp;데이터입력!AB62</f>
        <v xml:space="preserve">  - 진료비 등</v>
      </c>
      <c r="M220" s="263"/>
      <c r="N220" s="961">
        <f>데이터입력!AC62</f>
        <v>82000</v>
      </c>
      <c r="O220" s="121" t="str">
        <f t="shared" ref="O220:O229" si="98">IF(P220="","","x ")</f>
        <v/>
      </c>
      <c r="P220" s="963"/>
      <c r="Q220" s="962" t="s">
        <v>407</v>
      </c>
      <c r="R220" s="964">
        <f>데이터입력!$Y$8</f>
        <v>12</v>
      </c>
      <c r="S220" s="962"/>
      <c r="T220" s="962" t="s">
        <v>408</v>
      </c>
      <c r="U220" s="962"/>
      <c r="V220" s="965">
        <f t="shared" ref="V220:V229" si="99">IF(P220="",N220*R220,N220*P220*R220)</f>
        <v>984000</v>
      </c>
      <c r="W220" s="967"/>
      <c r="X220" s="967"/>
      <c r="Y220" s="967"/>
      <c r="Z220" s="156"/>
      <c r="AA220" s="156"/>
      <c r="AB220" s="101"/>
    </row>
    <row r="221" spans="1:28">
      <c r="A221" s="118"/>
      <c r="B221" s="118"/>
      <c r="C221" s="118"/>
      <c r="D221" s="118"/>
      <c r="E221" s="118"/>
      <c r="F221" s="988"/>
      <c r="G221" s="989"/>
      <c r="H221" s="1023"/>
      <c r="I221" s="990"/>
      <c r="J221" s="990"/>
      <c r="K221" s="992"/>
      <c r="L221" s="127" t="str">
        <f>"  - "&amp;데이터입력!AB63</f>
        <v xml:space="preserve">  - 상비약구입 등</v>
      </c>
      <c r="M221" s="263"/>
      <c r="N221" s="961">
        <f>데이터입력!AC63</f>
        <v>45000</v>
      </c>
      <c r="O221" s="121" t="str">
        <f t="shared" si="98"/>
        <v/>
      </c>
      <c r="P221" s="963"/>
      <c r="Q221" s="962" t="s">
        <v>407</v>
      </c>
      <c r="R221" s="964">
        <f>데이터입력!$Y$8</f>
        <v>12</v>
      </c>
      <c r="S221" s="962"/>
      <c r="T221" s="962" t="s">
        <v>408</v>
      </c>
      <c r="U221" s="962"/>
      <c r="V221" s="965">
        <f t="shared" si="99"/>
        <v>540000</v>
      </c>
      <c r="W221" s="967"/>
      <c r="X221" s="967"/>
      <c r="Y221" s="967"/>
      <c r="Z221" s="156"/>
      <c r="AA221" s="156"/>
      <c r="AB221" s="101"/>
    </row>
    <row r="222" spans="1:28">
      <c r="A222" s="118"/>
      <c r="B222" s="118"/>
      <c r="C222" s="118"/>
      <c r="D222" s="118"/>
      <c r="E222" s="118"/>
      <c r="F222" s="988"/>
      <c r="G222" s="989"/>
      <c r="H222" s="1023"/>
      <c r="I222" s="990"/>
      <c r="J222" s="990"/>
      <c r="K222" s="992"/>
      <c r="L222" s="127" t="str">
        <f>"  - "&amp;데이터입력!AB64</f>
        <v xml:space="preserve">  - 기타</v>
      </c>
      <c r="M222" s="263"/>
      <c r="N222" s="961">
        <f>데이터입력!AC64</f>
        <v>23000</v>
      </c>
      <c r="O222" s="121" t="str">
        <f t="shared" si="98"/>
        <v/>
      </c>
      <c r="P222" s="963"/>
      <c r="Q222" s="962" t="s">
        <v>407</v>
      </c>
      <c r="R222" s="964">
        <f>데이터입력!$Y$8</f>
        <v>12</v>
      </c>
      <c r="S222" s="962"/>
      <c r="T222" s="962" t="s">
        <v>408</v>
      </c>
      <c r="U222" s="962"/>
      <c r="V222" s="965">
        <f t="shared" si="99"/>
        <v>276000</v>
      </c>
      <c r="W222" s="967"/>
      <c r="X222" s="967"/>
      <c r="Y222" s="967"/>
      <c r="Z222" s="156"/>
      <c r="AA222" s="156"/>
      <c r="AB222" s="101"/>
    </row>
    <row r="223" spans="1:28">
      <c r="A223" s="118"/>
      <c r="B223" s="118"/>
      <c r="C223" s="118"/>
      <c r="D223" s="118"/>
      <c r="E223" s="118"/>
      <c r="F223" s="988"/>
      <c r="G223" s="989"/>
      <c r="H223" s="1023"/>
      <c r="I223" s="990"/>
      <c r="J223" s="990"/>
      <c r="K223" s="992"/>
      <c r="L223" s="127" t="str">
        <f>"  - "&amp;데이터입력!AB65</f>
        <v xml:space="preserve">  - </v>
      </c>
      <c r="M223" s="263"/>
      <c r="N223" s="961">
        <f>데이터입력!AC65</f>
        <v>0</v>
      </c>
      <c r="O223" s="121" t="str">
        <f t="shared" si="98"/>
        <v/>
      </c>
      <c r="P223" s="963"/>
      <c r="Q223" s="962" t="s">
        <v>407</v>
      </c>
      <c r="R223" s="964">
        <f>데이터입력!$Y$8</f>
        <v>12</v>
      </c>
      <c r="S223" s="962"/>
      <c r="T223" s="962" t="s">
        <v>408</v>
      </c>
      <c r="U223" s="962"/>
      <c r="V223" s="965">
        <f t="shared" si="99"/>
        <v>0</v>
      </c>
      <c r="W223" s="967"/>
      <c r="X223" s="967"/>
      <c r="Y223" s="967"/>
      <c r="Z223" s="156"/>
      <c r="AA223" s="156"/>
      <c r="AB223" s="101"/>
    </row>
    <row r="224" spans="1:28" hidden="1">
      <c r="A224" s="118"/>
      <c r="B224" s="118"/>
      <c r="C224" s="118"/>
      <c r="D224" s="118"/>
      <c r="E224" s="118"/>
      <c r="F224" s="988"/>
      <c r="G224" s="989"/>
      <c r="H224" s="1023"/>
      <c r="I224" s="990"/>
      <c r="J224" s="990"/>
      <c r="K224" s="992"/>
      <c r="L224" s="127" t="str">
        <f>"  - "&amp;데이터입력!AB66</f>
        <v xml:space="preserve">  - </v>
      </c>
      <c r="M224" s="263"/>
      <c r="N224" s="961">
        <f>데이터입력!AC66</f>
        <v>0</v>
      </c>
      <c r="O224" s="121" t="str">
        <f t="shared" si="98"/>
        <v/>
      </c>
      <c r="P224" s="963"/>
      <c r="Q224" s="962" t="s">
        <v>407</v>
      </c>
      <c r="R224" s="964">
        <f>데이터입력!$Y$8</f>
        <v>12</v>
      </c>
      <c r="S224" s="962"/>
      <c r="T224" s="962" t="s">
        <v>408</v>
      </c>
      <c r="U224" s="962"/>
      <c r="V224" s="965">
        <f t="shared" si="99"/>
        <v>0</v>
      </c>
      <c r="W224" s="967"/>
      <c r="X224" s="967"/>
      <c r="Y224" s="967"/>
      <c r="Z224" s="156"/>
      <c r="AA224" s="156"/>
      <c r="AB224" s="101"/>
    </row>
    <row r="225" spans="1:28" hidden="1">
      <c r="A225" s="118"/>
      <c r="B225" s="118"/>
      <c r="C225" s="118"/>
      <c r="D225" s="118"/>
      <c r="E225" s="118"/>
      <c r="F225" s="988"/>
      <c r="G225" s="989"/>
      <c r="H225" s="1023"/>
      <c r="I225" s="990"/>
      <c r="J225" s="990"/>
      <c r="K225" s="992"/>
      <c r="L225" s="127" t="str">
        <f>"  - "&amp;데이터입력!AB67</f>
        <v xml:space="preserve">  - </v>
      </c>
      <c r="M225" s="263"/>
      <c r="N225" s="961">
        <f>데이터입력!AC67</f>
        <v>0</v>
      </c>
      <c r="O225" s="121" t="str">
        <f t="shared" si="98"/>
        <v/>
      </c>
      <c r="P225" s="963"/>
      <c r="Q225" s="962" t="s">
        <v>407</v>
      </c>
      <c r="R225" s="964">
        <f>데이터입력!$Y$8</f>
        <v>12</v>
      </c>
      <c r="S225" s="962"/>
      <c r="T225" s="962" t="s">
        <v>408</v>
      </c>
      <c r="U225" s="962"/>
      <c r="V225" s="965">
        <f t="shared" si="99"/>
        <v>0</v>
      </c>
      <c r="W225" s="967"/>
      <c r="X225" s="967"/>
      <c r="Y225" s="967"/>
      <c r="Z225" s="156"/>
      <c r="AA225" s="156"/>
      <c r="AB225" s="101"/>
    </row>
    <row r="226" spans="1:28" hidden="1">
      <c r="A226" s="118"/>
      <c r="B226" s="118"/>
      <c r="C226" s="118"/>
      <c r="D226" s="118"/>
      <c r="E226" s="118"/>
      <c r="F226" s="988"/>
      <c r="G226" s="989"/>
      <c r="H226" s="1023"/>
      <c r="I226" s="990"/>
      <c r="J226" s="990"/>
      <c r="K226" s="992"/>
      <c r="L226" s="127" t="str">
        <f>"  - "&amp;데이터입력!AB68</f>
        <v xml:space="preserve">  - </v>
      </c>
      <c r="M226" s="263"/>
      <c r="N226" s="961">
        <f>데이터입력!AC68</f>
        <v>0</v>
      </c>
      <c r="O226" s="121" t="str">
        <f t="shared" si="98"/>
        <v/>
      </c>
      <c r="P226" s="963"/>
      <c r="Q226" s="962" t="s">
        <v>407</v>
      </c>
      <c r="R226" s="964">
        <f>데이터입력!$Y$8</f>
        <v>12</v>
      </c>
      <c r="S226" s="962"/>
      <c r="T226" s="962" t="s">
        <v>408</v>
      </c>
      <c r="U226" s="962"/>
      <c r="V226" s="965">
        <f t="shared" si="99"/>
        <v>0</v>
      </c>
      <c r="W226" s="967"/>
      <c r="X226" s="967"/>
      <c r="Y226" s="967"/>
      <c r="Z226" s="156"/>
      <c r="AA226" s="156"/>
      <c r="AB226" s="101"/>
    </row>
    <row r="227" spans="1:28" hidden="1">
      <c r="A227" s="118"/>
      <c r="B227" s="118"/>
      <c r="C227" s="118"/>
      <c r="D227" s="118"/>
      <c r="E227" s="118"/>
      <c r="F227" s="988"/>
      <c r="G227" s="989"/>
      <c r="H227" s="1023"/>
      <c r="I227" s="990"/>
      <c r="J227" s="990"/>
      <c r="K227" s="992"/>
      <c r="L227" s="127" t="str">
        <f>"  - "&amp;데이터입력!AB69</f>
        <v xml:space="preserve">  - </v>
      </c>
      <c r="M227" s="263"/>
      <c r="N227" s="961">
        <f>데이터입력!AC69</f>
        <v>0</v>
      </c>
      <c r="O227" s="121" t="str">
        <f t="shared" si="98"/>
        <v/>
      </c>
      <c r="P227" s="963"/>
      <c r="Q227" s="962" t="s">
        <v>407</v>
      </c>
      <c r="R227" s="964">
        <f>데이터입력!$Y$8</f>
        <v>12</v>
      </c>
      <c r="S227" s="962"/>
      <c r="T227" s="962" t="s">
        <v>408</v>
      </c>
      <c r="U227" s="962"/>
      <c r="V227" s="965">
        <f t="shared" si="99"/>
        <v>0</v>
      </c>
      <c r="W227" s="967"/>
      <c r="X227" s="967"/>
      <c r="Y227" s="967"/>
      <c r="Z227" s="156"/>
      <c r="AA227" s="156"/>
      <c r="AB227" s="101"/>
    </row>
    <row r="228" spans="1:28" hidden="1">
      <c r="A228" s="118"/>
      <c r="B228" s="118"/>
      <c r="C228" s="118"/>
      <c r="D228" s="118"/>
      <c r="E228" s="118"/>
      <c r="F228" s="988"/>
      <c r="G228" s="989"/>
      <c r="H228" s="1023"/>
      <c r="I228" s="990"/>
      <c r="J228" s="990"/>
      <c r="K228" s="992"/>
      <c r="L228" s="127" t="str">
        <f>"  - "&amp;데이터입력!AB70</f>
        <v xml:space="preserve">  - </v>
      </c>
      <c r="M228" s="263"/>
      <c r="N228" s="961">
        <f>데이터입력!AC70</f>
        <v>0</v>
      </c>
      <c r="O228" s="121" t="str">
        <f t="shared" si="98"/>
        <v/>
      </c>
      <c r="P228" s="963"/>
      <c r="Q228" s="962" t="s">
        <v>407</v>
      </c>
      <c r="R228" s="964">
        <f>데이터입력!$Y$8</f>
        <v>12</v>
      </c>
      <c r="S228" s="962"/>
      <c r="T228" s="962" t="s">
        <v>408</v>
      </c>
      <c r="U228" s="962"/>
      <c r="V228" s="965">
        <f t="shared" si="99"/>
        <v>0</v>
      </c>
      <c r="W228" s="967"/>
      <c r="X228" s="967"/>
      <c r="Y228" s="967"/>
      <c r="Z228" s="156"/>
      <c r="AA228" s="156"/>
      <c r="AB228" s="101"/>
    </row>
    <row r="229" spans="1:28" hidden="1">
      <c r="A229" s="118"/>
      <c r="B229" s="118"/>
      <c r="C229" s="118"/>
      <c r="D229" s="118"/>
      <c r="E229" s="118"/>
      <c r="F229" s="988"/>
      <c r="G229" s="989"/>
      <c r="H229" s="1023"/>
      <c r="I229" s="990"/>
      <c r="J229" s="990"/>
      <c r="K229" s="992"/>
      <c r="L229" s="127" t="str">
        <f>"  - "&amp;데이터입력!AB71</f>
        <v xml:space="preserve">  - </v>
      </c>
      <c r="M229" s="263"/>
      <c r="N229" s="961">
        <f>데이터입력!AC71</f>
        <v>0</v>
      </c>
      <c r="O229" s="121" t="str">
        <f t="shared" si="98"/>
        <v/>
      </c>
      <c r="P229" s="963"/>
      <c r="Q229" s="962" t="s">
        <v>407</v>
      </c>
      <c r="R229" s="964">
        <f>데이터입력!$Y$8</f>
        <v>12</v>
      </c>
      <c r="S229" s="962"/>
      <c r="T229" s="962" t="s">
        <v>408</v>
      </c>
      <c r="U229" s="962"/>
      <c r="V229" s="965">
        <f t="shared" si="99"/>
        <v>0</v>
      </c>
      <c r="W229" s="967"/>
      <c r="X229" s="967"/>
      <c r="Y229" s="967"/>
      <c r="Z229" s="156"/>
      <c r="AA229" s="156"/>
      <c r="AB229" s="101"/>
    </row>
    <row r="230" spans="1:28">
      <c r="A230" s="118"/>
      <c r="B230" s="118"/>
      <c r="C230" s="118"/>
      <c r="D230" s="118"/>
      <c r="E230" s="118"/>
      <c r="F230" s="993" t="s">
        <v>422</v>
      </c>
      <c r="G230" s="994" t="s">
        <v>384</v>
      </c>
      <c r="H230" s="1039">
        <f>IFERROR(IF(VLOOKUP(K230,데이터입력!$C$42:$L$137,5,FALSE)&lt;1000,ROUNDUP(VLOOKUP(K230,데이터입력!$C$42:$L$137,5,FALSE)*1/1000,0),ROUND(VLOOKUP(K230,데이터입력!$C$42:$L$137,5,FALSE)*1/1000,0)),0)</f>
        <v>0</v>
      </c>
      <c r="I230" s="995">
        <f t="shared" ref="I230:I231" si="100">IFERROR(IF(F230="06",IF(V230&lt;1000,ROUNDUP((V230)*1/1000,0),ROUND((V230)*1/1000,0)),IF(F230="07",IF(W230&lt;1000,ROUNDUP((W230)*1/1000,0),ROUND((W230)*1/1000,0)),IF(F230="05",IF(X230&lt;1000,ROUNDUP((X230)*1/1000,0),ROUND((X230)*1/1000,0))))),0)</f>
        <v>0</v>
      </c>
      <c r="J230" s="996">
        <f>I230-H230</f>
        <v>0</v>
      </c>
      <c r="K230" s="285" t="str">
        <f>L230&amp;"("&amp;G230&amp;")"</f>
        <v>의료비(보조금)</v>
      </c>
      <c r="L230" s="294" t="str">
        <f>L219</f>
        <v>의료비</v>
      </c>
      <c r="M230" s="295"/>
      <c r="N230" s="997">
        <f>IF(R230="",AA219,ROUNDUP(AA219/R230,-3))</f>
        <v>0</v>
      </c>
      <c r="O230" s="1310" t="str">
        <f t="shared" ref="O230:O231" si="101">IF(P230="","","x ")</f>
        <v/>
      </c>
      <c r="P230" s="999"/>
      <c r="Q230" s="998" t="s">
        <v>407</v>
      </c>
      <c r="R230" s="1000">
        <f>IF(VLOOKUP($L230,데이터입력!$R$100:$U$129,4,FALSE)="",데이터입력!$Y$8,VLOOKUP($L230,데이터입력!$R$100:$U$129,4,FALSE))</f>
        <v>12</v>
      </c>
      <c r="S230" s="998"/>
      <c r="T230" s="998" t="s">
        <v>408</v>
      </c>
      <c r="U230" s="998"/>
      <c r="V230" s="1003"/>
      <c r="W230" s="1003">
        <f>IF(P230="",N230*R230,N230*P230*R230)</f>
        <v>0</v>
      </c>
      <c r="X230" s="1002"/>
      <c r="Y230" s="1002"/>
      <c r="Z230" s="101"/>
      <c r="AA230" s="101"/>
      <c r="AB230" s="101"/>
    </row>
    <row r="231" spans="1:28">
      <c r="A231" s="118"/>
      <c r="B231" s="118"/>
      <c r="C231" s="118"/>
      <c r="D231" s="118"/>
      <c r="E231" s="118"/>
      <c r="F231" s="1004" t="s">
        <v>85</v>
      </c>
      <c r="G231" s="1005" t="s">
        <v>19</v>
      </c>
      <c r="H231" s="1035">
        <f>IFERROR(IF(VLOOKUP(K231,데이터입력!$C$42:$L$137,5,FALSE)&lt;1000,ROUNDUP(VLOOKUP(K231,데이터입력!$C$42:$L$137,5,FALSE)*1/1000,0),ROUND(VLOOKUP(K231,데이터입력!$C$42:$L$137,5,FALSE)*1/1000,0)),0)</f>
        <v>0</v>
      </c>
      <c r="I231" s="1006">
        <f t="shared" si="100"/>
        <v>0</v>
      </c>
      <c r="J231" s="1007">
        <f>I231-H231</f>
        <v>0</v>
      </c>
      <c r="K231" s="286" t="str">
        <f t="shared" ref="K231" si="102">L231&amp;"("&amp;G231&amp;")"</f>
        <v>의료비(후원금)</v>
      </c>
      <c r="L231" s="296" t="str">
        <f>L219</f>
        <v>의료비</v>
      </c>
      <c r="M231" s="297"/>
      <c r="N231" s="1008">
        <f>IF(R231="",AB219,ROUNDUP(AB219/R231,-3))</f>
        <v>0</v>
      </c>
      <c r="O231" s="1309" t="str">
        <f t="shared" si="101"/>
        <v/>
      </c>
      <c r="P231" s="1010"/>
      <c r="Q231" s="1009" t="s">
        <v>407</v>
      </c>
      <c r="R231" s="1011">
        <f>IF(VLOOKUP($L231,데이터입력!$R$130:$U$155,4,FALSE)="",데이터입력!$Y$8,VLOOKUP($L231,데이터입력!$R$130:$U$155,4,FALSE))</f>
        <v>12</v>
      </c>
      <c r="S231" s="1009"/>
      <c r="T231" s="1009" t="s">
        <v>408</v>
      </c>
      <c r="U231" s="1009"/>
      <c r="V231" s="1014"/>
      <c r="W231" s="1014"/>
      <c r="X231" s="1013">
        <f>IF(P231=0,N231*R231,N231*P231*R231)</f>
        <v>0</v>
      </c>
      <c r="Y231" s="1013"/>
      <c r="Z231" s="101"/>
      <c r="AA231" s="101"/>
      <c r="AB231" s="101"/>
    </row>
    <row r="232" spans="1:28">
      <c r="A232" s="118"/>
      <c r="B232" s="118"/>
      <c r="C232" s="108" t="s">
        <v>64</v>
      </c>
      <c r="D232" s="108" t="s">
        <v>64</v>
      </c>
      <c r="E232" s="108">
        <v>503010501</v>
      </c>
      <c r="F232" s="981" t="s">
        <v>83</v>
      </c>
      <c r="G232" s="982" t="s">
        <v>6</v>
      </c>
      <c r="H232" s="1021">
        <f>IFERROR(IF(VLOOKUP(K232,데이터입력!$C$42:$L$137,5,FALSE)&lt;1000,ROUNDUP(VLOOKUP(K232,데이터입력!$C$42:$L$137,5,FALSE)*1/1000,0),ROUND(VLOOKUP(K232,데이터입력!$C$42:$L$137,5,FALSE)*1/1000,0)),0)</f>
        <v>0</v>
      </c>
      <c r="I232" s="983">
        <f>IFERROR(IF(F232="06",IF(V232&lt;1000,ROUNDUP((V232)*1/1000,0),ROUND((V232)*1/1000,0)),IF(F232="07",IF(W232&lt;1000,ROUNDUP((W232)*1/1000,0),ROUND((W232)*1/1000,0)),IF(F232="05",IF(X232&lt;1000,ROUNDUP((X232)*1/1000,0),ROUND((X232)*1/1000,0))))),0)</f>
        <v>0</v>
      </c>
      <c r="J232" s="983">
        <f>I232-H232</f>
        <v>0</v>
      </c>
      <c r="K232" s="984" t="str">
        <f>L232&amp;"("&amp;G232&amp;")"</f>
        <v>장의비(수익사업)</v>
      </c>
      <c r="L232" s="112" t="str">
        <f>D232</f>
        <v>장의비</v>
      </c>
      <c r="M232" s="113"/>
      <c r="N232" s="985"/>
      <c r="O232" s="986"/>
      <c r="P232" s="985"/>
      <c r="Q232" s="986"/>
      <c r="R232" s="985"/>
      <c r="S232" s="986"/>
      <c r="T232" s="986"/>
      <c r="U232" s="986"/>
      <c r="V232" s="987">
        <f>SUM(V233:V236)</f>
        <v>0</v>
      </c>
      <c r="W232" s="987">
        <f>SUM(W233:W236)</f>
        <v>0</v>
      </c>
      <c r="X232" s="987">
        <f>SUM(X233:X236)</f>
        <v>0</v>
      </c>
      <c r="Y232" s="987">
        <f>SUM(V232:X232)</f>
        <v>0</v>
      </c>
      <c r="Z232" s="282">
        <f>IFERROR(VLOOKUP($L232,데이터입력!$R$67:$U$99,3,FALSE),0)</f>
        <v>0</v>
      </c>
      <c r="AA232" s="282">
        <f>IFERROR(VLOOKUP($L235,데이터입력!$R$100:$U$129,3,FALSE),0)</f>
        <v>0</v>
      </c>
      <c r="AB232" s="282">
        <f>IFERROR(VLOOKUP($L236,데이터입력!$R$130:$U$155,3,FALSE),0)</f>
        <v>0</v>
      </c>
    </row>
    <row r="233" spans="1:28">
      <c r="A233" s="118"/>
      <c r="B233" s="118"/>
      <c r="C233" s="118"/>
      <c r="D233" s="118"/>
      <c r="E233" s="118"/>
      <c r="F233" s="988"/>
      <c r="G233" s="989"/>
      <c r="H233" s="1023"/>
      <c r="I233" s="990"/>
      <c r="J233" s="990"/>
      <c r="K233" s="992"/>
      <c r="L233" s="127" t="str">
        <f>"  - "&amp;L232</f>
        <v xml:space="preserve">  - 장의비</v>
      </c>
      <c r="M233" s="263"/>
      <c r="N233" s="961">
        <f>IF(R233="",Z232,ROUNDUP((Z232-V234)/R233,-3))</f>
        <v>0</v>
      </c>
      <c r="O233" s="121" t="str">
        <f>IF(P233="","","x ")</f>
        <v/>
      </c>
      <c r="P233" s="963"/>
      <c r="Q233" s="962" t="str">
        <f>IF(R233="","","x ")</f>
        <v xml:space="preserve">x </v>
      </c>
      <c r="R233" s="964">
        <f>IF(VLOOKUP($L232,데이터입력!$R$67:$U$99,4,FALSE)="",데이터입력!$Y$8,VLOOKUP($L232,데이터입력!$R$67:$U$99,4,FALSE))</f>
        <v>12</v>
      </c>
      <c r="S233" s="962"/>
      <c r="T233" s="962" t="s">
        <v>408</v>
      </c>
      <c r="U233" s="962"/>
      <c r="V233" s="965">
        <f>IF(R233="",N233,N233*R233)</f>
        <v>0</v>
      </c>
      <c r="W233" s="967"/>
      <c r="X233" s="967"/>
      <c r="Y233" s="967"/>
      <c r="Z233" s="283"/>
      <c r="AA233" s="283"/>
      <c r="AB233" s="284"/>
    </row>
    <row r="234" spans="1:28">
      <c r="A234" s="118"/>
      <c r="B234" s="118"/>
      <c r="C234" s="118"/>
      <c r="D234" s="118"/>
      <c r="E234" s="118"/>
      <c r="F234" s="988"/>
      <c r="G234" s="989"/>
      <c r="H234" s="1023"/>
      <c r="I234" s="990"/>
      <c r="J234" s="990"/>
      <c r="K234" s="992"/>
      <c r="L234" s="127" t="s">
        <v>446</v>
      </c>
      <c r="M234" s="263"/>
      <c r="N234" s="961">
        <v>0</v>
      </c>
      <c r="O234" s="121" t="str">
        <f>IF(P234="","","x ")</f>
        <v/>
      </c>
      <c r="P234" s="963"/>
      <c r="Q234" s="962" t="s">
        <v>407</v>
      </c>
      <c r="R234" s="964">
        <f>IF(VLOOKUP($L232,데이터입력!$R$67:$U$99,4,FALSE)="",데이터입력!$Y$8,VLOOKUP($L232,데이터입력!$R$67:$U$99,4,FALSE))</f>
        <v>12</v>
      </c>
      <c r="S234" s="962"/>
      <c r="T234" s="962" t="s">
        <v>408</v>
      </c>
      <c r="U234" s="962"/>
      <c r="V234" s="965">
        <f>IF(P234=0,N234*R234,N234*P234*R234)</f>
        <v>0</v>
      </c>
      <c r="W234" s="967"/>
      <c r="X234" s="967"/>
      <c r="Y234" s="967"/>
      <c r="Z234" s="283"/>
      <c r="AA234" s="283"/>
      <c r="AB234" s="284"/>
    </row>
    <row r="235" spans="1:28">
      <c r="A235" s="118"/>
      <c r="B235" s="118"/>
      <c r="C235" s="118"/>
      <c r="D235" s="118"/>
      <c r="E235" s="118"/>
      <c r="F235" s="993" t="s">
        <v>422</v>
      </c>
      <c r="G235" s="994" t="s">
        <v>384</v>
      </c>
      <c r="H235" s="1039">
        <f>IFERROR(IF(VLOOKUP(K235,데이터입력!$C$42:$L$137,5,FALSE)&lt;1000,ROUNDUP(VLOOKUP(K235,데이터입력!$C$42:$L$137,5,FALSE)*1/1000,0),ROUND(VLOOKUP(K235,데이터입력!$C$42:$L$137,5,FALSE)*1/1000,0)),0)</f>
        <v>0</v>
      </c>
      <c r="I235" s="995">
        <f t="shared" ref="I235:I236" si="103">IFERROR(IF(F235="06",IF(V235&lt;1000,ROUNDUP((V235)*1/1000,0),ROUND((V235)*1/1000,0)),IF(F235="07",IF(W235&lt;1000,ROUNDUP((W235)*1/1000,0),ROUND((W235)*1/1000,0)),IF(F235="05",IF(X235&lt;1000,ROUNDUP((X235)*1/1000,0),ROUND((X235)*1/1000,0))))),0)</f>
        <v>0</v>
      </c>
      <c r="J235" s="996">
        <f>I235-H235</f>
        <v>0</v>
      </c>
      <c r="K235" s="285" t="str">
        <f>L235&amp;"("&amp;G235&amp;")"</f>
        <v>장의비(보조금)</v>
      </c>
      <c r="L235" s="294" t="str">
        <f>L232</f>
        <v>장의비</v>
      </c>
      <c r="M235" s="295"/>
      <c r="N235" s="997">
        <f>IF(R235="",AA232,ROUNDUP(AA232/R235,-3))</f>
        <v>0</v>
      </c>
      <c r="O235" s="1310" t="str">
        <f t="shared" ref="O235:O236" si="104">IF(P235="","","x ")</f>
        <v/>
      </c>
      <c r="P235" s="999"/>
      <c r="Q235" s="998" t="s">
        <v>407</v>
      </c>
      <c r="R235" s="1000">
        <f>IF(VLOOKUP($L235,데이터입력!$R$100:$U$129,4,FALSE)="",데이터입력!$Y$8,VLOOKUP($L235,데이터입력!$R$100:$U$129,4,FALSE))</f>
        <v>12</v>
      </c>
      <c r="S235" s="998"/>
      <c r="T235" s="998" t="s">
        <v>408</v>
      </c>
      <c r="U235" s="998"/>
      <c r="V235" s="1003"/>
      <c r="W235" s="1003">
        <f>IF(P235="",N235*R235,N235*P235*R235)</f>
        <v>0</v>
      </c>
      <c r="X235" s="1002"/>
      <c r="Y235" s="1002"/>
      <c r="Z235" s="284"/>
      <c r="AA235" s="284"/>
      <c r="AB235" s="284"/>
    </row>
    <row r="236" spans="1:28">
      <c r="A236" s="118"/>
      <c r="B236" s="118"/>
      <c r="C236" s="118"/>
      <c r="D236" s="118"/>
      <c r="E236" s="118"/>
      <c r="F236" s="1004" t="s">
        <v>85</v>
      </c>
      <c r="G236" s="1005" t="s">
        <v>19</v>
      </c>
      <c r="H236" s="1035">
        <f>IFERROR(IF(VLOOKUP(K236,데이터입력!$C$42:$L$137,5,FALSE)&lt;1000,ROUNDUP(VLOOKUP(K236,데이터입력!$C$42:$L$137,5,FALSE)*1/1000,0),ROUND(VLOOKUP(K236,데이터입력!$C$42:$L$137,5,FALSE)*1/1000,0)),0)</f>
        <v>0</v>
      </c>
      <c r="I236" s="1006">
        <f t="shared" si="103"/>
        <v>0</v>
      </c>
      <c r="J236" s="1007">
        <f>I236-H236</f>
        <v>0</v>
      </c>
      <c r="K236" s="286" t="str">
        <f t="shared" ref="K236" si="105">L236&amp;"("&amp;G236&amp;")"</f>
        <v>장의비(후원금)</v>
      </c>
      <c r="L236" s="296" t="str">
        <f>L232</f>
        <v>장의비</v>
      </c>
      <c r="M236" s="297"/>
      <c r="N236" s="1008">
        <f>IF(R236="",AB232,ROUNDUP(AB232/R236,-3))</f>
        <v>0</v>
      </c>
      <c r="O236" s="1309" t="str">
        <f t="shared" si="104"/>
        <v/>
      </c>
      <c r="P236" s="1010"/>
      <c r="Q236" s="1009" t="s">
        <v>407</v>
      </c>
      <c r="R236" s="1011">
        <f>IF(VLOOKUP($L236,데이터입력!$R$130:$U$155,4,FALSE)="",데이터입력!$Y$8,VLOOKUP($L236,데이터입력!$R$130:$U$155,4,FALSE))</f>
        <v>12</v>
      </c>
      <c r="S236" s="1009"/>
      <c r="T236" s="1009" t="s">
        <v>408</v>
      </c>
      <c r="U236" s="1009"/>
      <c r="V236" s="1014"/>
      <c r="W236" s="1014"/>
      <c r="X236" s="1013">
        <f>IF(P236=0,N236*R236,N236*P236*R236)</f>
        <v>0</v>
      </c>
      <c r="Y236" s="1013"/>
      <c r="Z236" s="284"/>
      <c r="AA236" s="284"/>
      <c r="AB236" s="284"/>
    </row>
    <row r="237" spans="1:28" s="309" customFormat="1">
      <c r="A237" s="308"/>
      <c r="B237" s="310" t="s">
        <v>315</v>
      </c>
      <c r="C237" s="349"/>
      <c r="D237" s="349"/>
      <c r="E237" s="349"/>
      <c r="F237" s="1040"/>
      <c r="G237" s="1040"/>
      <c r="H237" s="301">
        <f>SUM(H238:H256)</f>
        <v>8396</v>
      </c>
      <c r="I237" s="301">
        <f t="shared" ref="I237:J237" si="106">SUM(I238:I256)</f>
        <v>8396</v>
      </c>
      <c r="J237" s="301">
        <f t="shared" si="106"/>
        <v>0</v>
      </c>
      <c r="K237" s="301"/>
      <c r="L237" s="313"/>
      <c r="M237" s="313"/>
      <c r="N237" s="313"/>
      <c r="O237" s="313"/>
      <c r="P237" s="313"/>
      <c r="Q237" s="313"/>
      <c r="R237" s="313"/>
      <c r="S237" s="313"/>
      <c r="T237" s="313"/>
      <c r="U237" s="313"/>
      <c r="V237" s="302">
        <f>SUM(V238,V251,V254)</f>
        <v>8396000</v>
      </c>
      <c r="W237" s="302">
        <f>SUM(W238,W251,W254)</f>
        <v>0</v>
      </c>
      <c r="X237" s="302">
        <f>SUM(X238,X251,X254)</f>
        <v>0</v>
      </c>
      <c r="Y237" s="302">
        <f t="shared" ref="Y237" si="107">SUM(V237:X237)</f>
        <v>8396000</v>
      </c>
      <c r="Z237" s="156"/>
      <c r="AA237" s="156"/>
      <c r="AB237" s="156"/>
    </row>
    <row r="238" spans="1:28">
      <c r="A238" s="118"/>
      <c r="B238" s="118"/>
      <c r="C238" s="108" t="s">
        <v>65</v>
      </c>
      <c r="D238" s="108" t="s">
        <v>65</v>
      </c>
      <c r="E238" s="108">
        <v>503030101</v>
      </c>
      <c r="F238" s="981" t="s">
        <v>83</v>
      </c>
      <c r="G238" s="982" t="s">
        <v>6</v>
      </c>
      <c r="H238" s="1021">
        <f>IFERROR(IF(VLOOKUP(K238,데이터입력!$C$42:$L$137,5,FALSE)&lt;1000,ROUNDUP(VLOOKUP(K238,데이터입력!$C$42:$L$137,5,FALSE)*1/1000,0),ROUND(VLOOKUP(K238,데이터입력!$C$42:$L$137,5,FALSE)*1/1000,0)),0)</f>
        <v>8396</v>
      </c>
      <c r="I238" s="983">
        <f>IFERROR(IF(F238="06",IF(V238&lt;1000,ROUNDUP((V238)*1/1000,0),ROUND((V238)*1/1000,0)),IF(F238="07",IF(W238&lt;1000,ROUNDUP((W238)*1/1000,0),ROUND((W238)*1/1000,0)),IF(F238="05",IF(X238&lt;1000,ROUNDUP((X238)*1/1000,0),ROUND((X238)*1/1000,0))))),0)</f>
        <v>8396</v>
      </c>
      <c r="J238" s="983">
        <f>I238-H238</f>
        <v>0</v>
      </c>
      <c r="K238" s="984" t="str">
        <f>L238&amp;"("&amp;G238&amp;")"</f>
        <v>프로그램 사업비(수익사업)</v>
      </c>
      <c r="L238" s="112" t="str">
        <f>D238</f>
        <v>프로그램 사업비</v>
      </c>
      <c r="M238" s="113"/>
      <c r="N238" s="985"/>
      <c r="O238" s="986"/>
      <c r="P238" s="985"/>
      <c r="Q238" s="986"/>
      <c r="R238" s="985"/>
      <c r="S238" s="986"/>
      <c r="T238" s="986"/>
      <c r="U238" s="986"/>
      <c r="V238" s="987">
        <f>SUM(V239:V250)</f>
        <v>8396000</v>
      </c>
      <c r="W238" s="1037"/>
      <c r="X238" s="987">
        <f>SUM(X239:X250)</f>
        <v>0</v>
      </c>
      <c r="Y238" s="987">
        <f>SUM(V238:X238)</f>
        <v>8396000</v>
      </c>
      <c r="Z238" s="282">
        <f>IFERROR(VLOOKUP($L238,데이터입력!$R$67:$U$99,3,FALSE),0)</f>
        <v>8396000</v>
      </c>
      <c r="AA238" s="282">
        <f>IFERROR(VLOOKUP($L249,데이터입력!$R$100:$U$129,3,FALSE),0)</f>
        <v>0</v>
      </c>
      <c r="AB238" s="282">
        <f>IFERROR(VLOOKUP($L250,데이터입력!$R$130:$U$155,3,FALSE),0)</f>
        <v>0</v>
      </c>
    </row>
    <row r="239" spans="1:28">
      <c r="A239" s="118"/>
      <c r="B239" s="118"/>
      <c r="C239" s="118"/>
      <c r="D239" s="118"/>
      <c r="E239" s="118"/>
      <c r="F239" s="988"/>
      <c r="G239" s="989"/>
      <c r="H239" s="1023"/>
      <c r="I239" s="990"/>
      <c r="J239" s="990"/>
      <c r="K239" s="992"/>
      <c r="L239" s="127" t="str">
        <f>"  - "&amp;데이터입력!X62</f>
        <v xml:space="preserve">  - 재료비 등</v>
      </c>
      <c r="M239" s="263"/>
      <c r="N239" s="961">
        <f>데이터입력!Y62</f>
        <v>83000</v>
      </c>
      <c r="O239" s="121" t="str">
        <f t="shared" ref="O239:O248" si="108">IF(P239="","","x ")</f>
        <v/>
      </c>
      <c r="P239" s="963" t="str">
        <f>IF(OR(데이터입력!Z62="",데이터입력!Z62=0),"",데이터입력!Z62)</f>
        <v/>
      </c>
      <c r="Q239" s="962" t="s">
        <v>407</v>
      </c>
      <c r="R239" s="964">
        <f>IF(데이터입력!AA62="",데이터입력!$Y$8,데이터입력!AA62)</f>
        <v>12</v>
      </c>
      <c r="S239" s="962"/>
      <c r="T239" s="962" t="s">
        <v>408</v>
      </c>
      <c r="U239" s="962"/>
      <c r="V239" s="965">
        <f t="shared" ref="V239:V248" si="109">IF(P239="",N239*R239,N239*P239*R239)</f>
        <v>996000</v>
      </c>
      <c r="W239" s="967"/>
      <c r="X239" s="967"/>
      <c r="Y239" s="967"/>
      <c r="Z239" s="156"/>
      <c r="AA239" s="156"/>
      <c r="AB239" s="101"/>
    </row>
    <row r="240" spans="1:28">
      <c r="A240" s="118"/>
      <c r="B240" s="118"/>
      <c r="C240" s="118"/>
      <c r="D240" s="118"/>
      <c r="E240" s="118"/>
      <c r="F240" s="988"/>
      <c r="G240" s="989"/>
      <c r="H240" s="1023"/>
      <c r="I240" s="990"/>
      <c r="J240" s="990"/>
      <c r="K240" s="992"/>
      <c r="L240" s="127" t="str">
        <f>"  - "&amp;데이터입력!X63</f>
        <v xml:space="preserve">  - 인지기능 등</v>
      </c>
      <c r="M240" s="263"/>
      <c r="N240" s="961">
        <f>데이터입력!Y63</f>
        <v>250000</v>
      </c>
      <c r="O240" s="121" t="str">
        <f t="shared" si="108"/>
        <v/>
      </c>
      <c r="P240" s="963" t="str">
        <f>IF(OR(데이터입력!Z63="",데이터입력!Z63=0),"",데이터입력!Z63)</f>
        <v/>
      </c>
      <c r="Q240" s="962" t="s">
        <v>407</v>
      </c>
      <c r="R240" s="964">
        <f>IF(데이터입력!AA63="",데이터입력!$Y$8,데이터입력!AA63)</f>
        <v>12</v>
      </c>
      <c r="S240" s="962"/>
      <c r="T240" s="962" t="s">
        <v>408</v>
      </c>
      <c r="U240" s="962"/>
      <c r="V240" s="965">
        <f t="shared" si="109"/>
        <v>3000000</v>
      </c>
      <c r="W240" s="967"/>
      <c r="X240" s="967"/>
      <c r="Y240" s="967"/>
      <c r="Z240" s="156"/>
      <c r="AA240" s="156"/>
      <c r="AB240" s="101"/>
    </row>
    <row r="241" spans="1:28">
      <c r="A241" s="118"/>
      <c r="B241" s="118"/>
      <c r="C241" s="118"/>
      <c r="D241" s="118"/>
      <c r="E241" s="118"/>
      <c r="F241" s="988"/>
      <c r="G241" s="989"/>
      <c r="H241" s="1023"/>
      <c r="I241" s="990"/>
      <c r="J241" s="990"/>
      <c r="K241" s="992"/>
      <c r="L241" s="127" t="str">
        <f>"  - "&amp;데이터입력!X64</f>
        <v xml:space="preserve">  - 신체기능 등</v>
      </c>
      <c r="M241" s="263"/>
      <c r="N241" s="961">
        <f>데이터입력!Y64</f>
        <v>250000</v>
      </c>
      <c r="O241" s="121" t="str">
        <f t="shared" si="108"/>
        <v/>
      </c>
      <c r="P241" s="963" t="str">
        <f>IF(OR(데이터입력!Z64="",데이터입력!Z64=0),"",데이터입력!Z64)</f>
        <v/>
      </c>
      <c r="Q241" s="962" t="s">
        <v>407</v>
      </c>
      <c r="R241" s="964">
        <f>IF(데이터입력!AA64="",데이터입력!$Y$8,데이터입력!AA64)</f>
        <v>12</v>
      </c>
      <c r="S241" s="962"/>
      <c r="T241" s="962" t="s">
        <v>408</v>
      </c>
      <c r="U241" s="962"/>
      <c r="V241" s="965">
        <f t="shared" si="109"/>
        <v>3000000</v>
      </c>
      <c r="W241" s="967"/>
      <c r="X241" s="967"/>
      <c r="Y241" s="967"/>
      <c r="Z241" s="156"/>
      <c r="AA241" s="156"/>
      <c r="AB241" s="101"/>
    </row>
    <row r="242" spans="1:28">
      <c r="A242" s="118"/>
      <c r="B242" s="118"/>
      <c r="C242" s="118"/>
      <c r="D242" s="118"/>
      <c r="E242" s="118"/>
      <c r="F242" s="988"/>
      <c r="G242" s="989"/>
      <c r="H242" s="1023"/>
      <c r="I242" s="990"/>
      <c r="J242" s="990"/>
      <c r="K242" s="992"/>
      <c r="L242" s="127" t="str">
        <f>"  - "&amp;데이터입력!X65</f>
        <v xml:space="preserve">  - 사회적응</v>
      </c>
      <c r="M242" s="263"/>
      <c r="N242" s="961">
        <f>데이터입력!Y65</f>
        <v>30000</v>
      </c>
      <c r="O242" s="121" t="str">
        <f t="shared" si="108"/>
        <v/>
      </c>
      <c r="P242" s="963" t="str">
        <f>IF(OR(데이터입력!Z65="",데이터입력!Z65=0),"",데이터입력!Z65)</f>
        <v/>
      </c>
      <c r="Q242" s="962" t="s">
        <v>407</v>
      </c>
      <c r="R242" s="964">
        <f>IF(데이터입력!AA65="",데이터입력!$Y$8,데이터입력!AA65)</f>
        <v>2</v>
      </c>
      <c r="S242" s="962"/>
      <c r="T242" s="962" t="s">
        <v>408</v>
      </c>
      <c r="U242" s="962"/>
      <c r="V242" s="965">
        <f t="shared" si="109"/>
        <v>60000</v>
      </c>
      <c r="W242" s="967"/>
      <c r="X242" s="967"/>
      <c r="Y242" s="967"/>
      <c r="Z242" s="156"/>
      <c r="AA242" s="156"/>
      <c r="AB242" s="101"/>
    </row>
    <row r="243" spans="1:28">
      <c r="A243" s="118"/>
      <c r="B243" s="118"/>
      <c r="C243" s="118"/>
      <c r="D243" s="118"/>
      <c r="E243" s="118"/>
      <c r="F243" s="988"/>
      <c r="G243" s="989"/>
      <c r="H243" s="1023"/>
      <c r="I243" s="990"/>
      <c r="J243" s="990"/>
      <c r="K243" s="992"/>
      <c r="L243" s="127" t="str">
        <f>"  - "&amp;데이터입력!X66</f>
        <v xml:space="preserve">  - 명절잔치(수급자)</v>
      </c>
      <c r="M243" s="263"/>
      <c r="N243" s="961">
        <f>데이터입력!Y66</f>
        <v>50000</v>
      </c>
      <c r="O243" s="121" t="str">
        <f t="shared" si="108"/>
        <v/>
      </c>
      <c r="P243" s="963" t="str">
        <f>IF(OR(데이터입력!Z66="",데이터입력!Z66=0),"",데이터입력!Z66)</f>
        <v/>
      </c>
      <c r="Q243" s="962" t="s">
        <v>407</v>
      </c>
      <c r="R243" s="964">
        <f>IF(데이터입력!AA66="",데이터입력!$Y$8,데이터입력!AA66)</f>
        <v>2</v>
      </c>
      <c r="S243" s="962"/>
      <c r="T243" s="962" t="s">
        <v>408</v>
      </c>
      <c r="U243" s="962"/>
      <c r="V243" s="965">
        <f t="shared" si="109"/>
        <v>100000</v>
      </c>
      <c r="W243" s="967"/>
      <c r="X243" s="967"/>
      <c r="Y243" s="967"/>
      <c r="Z243" s="156"/>
      <c r="AA243" s="156"/>
      <c r="AB243" s="101"/>
    </row>
    <row r="244" spans="1:28" hidden="1">
      <c r="A244" s="118"/>
      <c r="B244" s="118"/>
      <c r="C244" s="118"/>
      <c r="D244" s="118"/>
      <c r="E244" s="118"/>
      <c r="F244" s="988"/>
      <c r="G244" s="989"/>
      <c r="H244" s="1023"/>
      <c r="I244" s="990"/>
      <c r="J244" s="990"/>
      <c r="K244" s="992"/>
      <c r="L244" s="127" t="str">
        <f>"  - "&amp;데이터입력!X67</f>
        <v xml:space="preserve">  - 생일잔치(수급자)</v>
      </c>
      <c r="M244" s="263"/>
      <c r="N244" s="961">
        <f>데이터입력!Y67</f>
        <v>70000</v>
      </c>
      <c r="O244" s="121" t="str">
        <f t="shared" si="108"/>
        <v/>
      </c>
      <c r="P244" s="963" t="str">
        <f>IF(OR(데이터입력!Z67="",데이터입력!Z67=0),"",데이터입력!Z67)</f>
        <v/>
      </c>
      <c r="Q244" s="962" t="s">
        <v>407</v>
      </c>
      <c r="R244" s="964">
        <f>IF(데이터입력!AA67="",데이터입력!$Y$8,데이터입력!AA67)</f>
        <v>12</v>
      </c>
      <c r="S244" s="962"/>
      <c r="T244" s="962" t="s">
        <v>408</v>
      </c>
      <c r="U244" s="962"/>
      <c r="V244" s="965">
        <f t="shared" si="109"/>
        <v>840000</v>
      </c>
      <c r="W244" s="967"/>
      <c r="X244" s="967"/>
      <c r="Y244" s="967"/>
      <c r="Z244" s="156"/>
      <c r="AA244" s="156"/>
      <c r="AB244" s="101"/>
    </row>
    <row r="245" spans="1:28" hidden="1">
      <c r="A245" s="118"/>
      <c r="B245" s="118"/>
      <c r="C245" s="118"/>
      <c r="D245" s="118"/>
      <c r="E245" s="118"/>
      <c r="F245" s="988"/>
      <c r="G245" s="989"/>
      <c r="H245" s="1023"/>
      <c r="I245" s="990"/>
      <c r="J245" s="990"/>
      <c r="K245" s="992"/>
      <c r="L245" s="127" t="str">
        <f>"  - "&amp;데이터입력!X68</f>
        <v xml:space="preserve">  - 가족내방참여</v>
      </c>
      <c r="M245" s="263"/>
      <c r="N245" s="961">
        <f>데이터입력!Y68</f>
        <v>100000</v>
      </c>
      <c r="O245" s="121" t="str">
        <f t="shared" si="108"/>
        <v/>
      </c>
      <c r="P245" s="963" t="str">
        <f>IF(OR(데이터입력!Z68="",데이터입력!Z68=0),"",데이터입력!Z68)</f>
        <v/>
      </c>
      <c r="Q245" s="962" t="s">
        <v>407</v>
      </c>
      <c r="R245" s="964">
        <f>IF(데이터입력!AA68="",데이터입력!$Y$8,데이터입력!AA68)</f>
        <v>2</v>
      </c>
      <c r="S245" s="962"/>
      <c r="T245" s="962" t="s">
        <v>408</v>
      </c>
      <c r="U245" s="962"/>
      <c r="V245" s="965">
        <f t="shared" si="109"/>
        <v>200000</v>
      </c>
      <c r="W245" s="967"/>
      <c r="X245" s="967"/>
      <c r="Y245" s="967"/>
      <c r="Z245" s="156"/>
      <c r="AA245" s="156"/>
      <c r="AB245" s="101"/>
    </row>
    <row r="246" spans="1:28" hidden="1">
      <c r="A246" s="118"/>
      <c r="B246" s="118"/>
      <c r="C246" s="118"/>
      <c r="D246" s="118"/>
      <c r="E246" s="118"/>
      <c r="F246" s="988"/>
      <c r="G246" s="989"/>
      <c r="H246" s="1023"/>
      <c r="I246" s="990"/>
      <c r="J246" s="990"/>
      <c r="K246" s="992"/>
      <c r="L246" s="127" t="str">
        <f>"  - "&amp;데이터입력!X69</f>
        <v xml:space="preserve">  - 외부나들이</v>
      </c>
      <c r="M246" s="263"/>
      <c r="N246" s="961">
        <f>데이터입력!Y69</f>
        <v>100000</v>
      </c>
      <c r="O246" s="121" t="str">
        <f t="shared" si="108"/>
        <v/>
      </c>
      <c r="P246" s="963" t="str">
        <f>IF(OR(데이터입력!Z69="",데이터입력!Z69=0),"",데이터입력!Z69)</f>
        <v/>
      </c>
      <c r="Q246" s="962" t="s">
        <v>407</v>
      </c>
      <c r="R246" s="964">
        <f>IF(데이터입력!AA69="",데이터입력!$Y$8,데이터입력!AA69)</f>
        <v>2</v>
      </c>
      <c r="S246" s="962"/>
      <c r="T246" s="962" t="s">
        <v>408</v>
      </c>
      <c r="U246" s="962"/>
      <c r="V246" s="965">
        <f t="shared" si="109"/>
        <v>200000</v>
      </c>
      <c r="W246" s="967"/>
      <c r="X246" s="967"/>
      <c r="Y246" s="967"/>
      <c r="Z246" s="156"/>
      <c r="AA246" s="156"/>
      <c r="AB246" s="101"/>
    </row>
    <row r="247" spans="1:28" hidden="1">
      <c r="A247" s="118"/>
      <c r="B247" s="118"/>
      <c r="C247" s="118"/>
      <c r="D247" s="118"/>
      <c r="E247" s="118"/>
      <c r="F247" s="988"/>
      <c r="G247" s="989"/>
      <c r="H247" s="1023"/>
      <c r="I247" s="990"/>
      <c r="J247" s="990"/>
      <c r="K247" s="992"/>
      <c r="L247" s="127" t="str">
        <f>"  - "&amp;데이터입력!X70</f>
        <v xml:space="preserve">  - </v>
      </c>
      <c r="M247" s="263"/>
      <c r="N247" s="961">
        <f>데이터입력!Y70</f>
        <v>0</v>
      </c>
      <c r="O247" s="121" t="str">
        <f t="shared" si="108"/>
        <v/>
      </c>
      <c r="P247" s="963" t="str">
        <f>IF(OR(데이터입력!Z70="",데이터입력!Z70=0),"",데이터입력!Z70)</f>
        <v/>
      </c>
      <c r="Q247" s="962" t="s">
        <v>407</v>
      </c>
      <c r="R247" s="964">
        <f>IF(데이터입력!AA70="",데이터입력!$Y$8,데이터입력!AA70)</f>
        <v>12</v>
      </c>
      <c r="S247" s="962"/>
      <c r="T247" s="962" t="s">
        <v>408</v>
      </c>
      <c r="U247" s="962"/>
      <c r="V247" s="965">
        <f t="shared" si="109"/>
        <v>0</v>
      </c>
      <c r="W247" s="967"/>
      <c r="X247" s="967"/>
      <c r="Y247" s="967"/>
      <c r="Z247" s="156"/>
      <c r="AA247" s="156"/>
      <c r="AB247" s="101"/>
    </row>
    <row r="248" spans="1:28" hidden="1">
      <c r="A248" s="118"/>
      <c r="B248" s="118"/>
      <c r="C248" s="118"/>
      <c r="D248" s="118"/>
      <c r="E248" s="118"/>
      <c r="F248" s="988"/>
      <c r="G248" s="989"/>
      <c r="H248" s="1023"/>
      <c r="I248" s="990"/>
      <c r="J248" s="990"/>
      <c r="K248" s="992"/>
      <c r="L248" s="127" t="str">
        <f>"  - "&amp;데이터입력!X71</f>
        <v xml:space="preserve">  - </v>
      </c>
      <c r="M248" s="263"/>
      <c r="N248" s="961">
        <f>데이터입력!Y71</f>
        <v>0</v>
      </c>
      <c r="O248" s="121" t="str">
        <f t="shared" si="108"/>
        <v/>
      </c>
      <c r="P248" s="963" t="str">
        <f>IF(OR(데이터입력!Z71="",데이터입력!Z71=0),"",데이터입력!Z71)</f>
        <v/>
      </c>
      <c r="Q248" s="962" t="s">
        <v>407</v>
      </c>
      <c r="R248" s="964">
        <f>IF(데이터입력!AA71="",데이터입력!$Y$8,데이터입력!AA71)</f>
        <v>12</v>
      </c>
      <c r="S248" s="962"/>
      <c r="T248" s="962" t="s">
        <v>408</v>
      </c>
      <c r="U248" s="962"/>
      <c r="V248" s="965">
        <f t="shared" si="109"/>
        <v>0</v>
      </c>
      <c r="W248" s="967"/>
      <c r="X248" s="967"/>
      <c r="Y248" s="967"/>
      <c r="Z248" s="156"/>
      <c r="AA248" s="156"/>
      <c r="AB248" s="101"/>
    </row>
    <row r="249" spans="1:28">
      <c r="A249" s="118"/>
      <c r="B249" s="118"/>
      <c r="C249" s="118"/>
      <c r="D249" s="118"/>
      <c r="E249" s="118"/>
      <c r="F249" s="993" t="s">
        <v>422</v>
      </c>
      <c r="G249" s="994" t="s">
        <v>384</v>
      </c>
      <c r="H249" s="1039">
        <f>IFERROR(IF(VLOOKUP(K249,데이터입력!$C$42:$L$137,5,FALSE)&lt;1000,ROUNDUP(VLOOKUP(K249,데이터입력!$C$42:$L$137,5,FALSE)*1/1000,0),ROUND(VLOOKUP(K249,데이터입력!$C$42:$L$137,5,FALSE)*1/1000,0)),0)</f>
        <v>0</v>
      </c>
      <c r="I249" s="995">
        <f t="shared" ref="I249:I250" si="110">IFERROR(IF(F249="06",IF(V249&lt;1000,ROUNDUP((V249)*1/1000,0),ROUND((V249)*1/1000,0)),IF(F249="07",IF(W249&lt;1000,ROUNDUP((W249)*1/1000,0),ROUND((W249)*1/1000,0)),IF(F249="05",IF(X249&lt;1000,ROUNDUP((X249)*1/1000,0),ROUND((X249)*1/1000,0))))),0)</f>
        <v>0</v>
      </c>
      <c r="J249" s="996">
        <f>I249-H249</f>
        <v>0</v>
      </c>
      <c r="K249" s="285" t="str">
        <f>L249&amp;"("&amp;G249&amp;")"</f>
        <v>프로그램 사업비(보조금)</v>
      </c>
      <c r="L249" s="294" t="str">
        <f>L238</f>
        <v>프로그램 사업비</v>
      </c>
      <c r="M249" s="295"/>
      <c r="N249" s="997">
        <f>IF(R249="",AA238,ROUNDUP(AA238/R249,-3))</f>
        <v>0</v>
      </c>
      <c r="O249" s="1310" t="str">
        <f t="shared" ref="O249:O250" si="111">IF(P249="","","x ")</f>
        <v/>
      </c>
      <c r="P249" s="999"/>
      <c r="Q249" s="998" t="s">
        <v>407</v>
      </c>
      <c r="R249" s="1000">
        <f>IF(VLOOKUP($L249,데이터입력!$R$100:$U$129,4,FALSE)="",데이터입력!$Y$8,VLOOKUP($L249,데이터입력!$R$100:$U$129,4,FALSE))</f>
        <v>12</v>
      </c>
      <c r="S249" s="998"/>
      <c r="T249" s="998" t="s">
        <v>408</v>
      </c>
      <c r="U249" s="998"/>
      <c r="V249" s="1003"/>
      <c r="W249" s="1003">
        <f>IF(P249="",N249*R249,N249*P249*R249)</f>
        <v>0</v>
      </c>
      <c r="X249" s="1002"/>
      <c r="Y249" s="1002"/>
      <c r="Z249" s="101"/>
      <c r="AA249" s="101"/>
      <c r="AB249" s="101"/>
    </row>
    <row r="250" spans="1:28">
      <c r="A250" s="118"/>
      <c r="B250" s="118"/>
      <c r="C250" s="118"/>
      <c r="D250" s="118"/>
      <c r="E250" s="118"/>
      <c r="F250" s="1004" t="s">
        <v>85</v>
      </c>
      <c r="G250" s="1005" t="s">
        <v>19</v>
      </c>
      <c r="H250" s="1035">
        <f>IFERROR(IF(VLOOKUP(K250,데이터입력!$C$42:$L$137,5,FALSE)&lt;1000,ROUNDUP(VLOOKUP(K250,데이터입력!$C$42:$L$137,5,FALSE)*1/1000,0),ROUND(VLOOKUP(K250,데이터입력!$C$42:$L$137,5,FALSE)*1/1000,0)),0)</f>
        <v>0</v>
      </c>
      <c r="I250" s="1006">
        <f t="shared" si="110"/>
        <v>0</v>
      </c>
      <c r="J250" s="1007">
        <f>I250-H250</f>
        <v>0</v>
      </c>
      <c r="K250" s="286" t="str">
        <f t="shared" ref="K250" si="112">L250&amp;"("&amp;G250&amp;")"</f>
        <v>프로그램 사업비(후원금)</v>
      </c>
      <c r="L250" s="296" t="str">
        <f>L238</f>
        <v>프로그램 사업비</v>
      </c>
      <c r="M250" s="297"/>
      <c r="N250" s="1008">
        <f>IF(R250="",AB238,ROUNDUP(AB238/R250,-3))</f>
        <v>0</v>
      </c>
      <c r="O250" s="1309" t="str">
        <f t="shared" si="111"/>
        <v/>
      </c>
      <c r="P250" s="1010"/>
      <c r="Q250" s="1009" t="s">
        <v>407</v>
      </c>
      <c r="R250" s="1011">
        <f>IF(VLOOKUP($L250,데이터입력!$R$130:$U$155,4,FALSE)="",데이터입력!$Y$8,VLOOKUP($L250,데이터입력!$R$130:$U$155,4,FALSE))</f>
        <v>12</v>
      </c>
      <c r="S250" s="1009"/>
      <c r="T250" s="1009" t="s">
        <v>408</v>
      </c>
      <c r="U250" s="1009"/>
      <c r="V250" s="1014"/>
      <c r="W250" s="1014"/>
      <c r="X250" s="1013">
        <f>IF(P250=0,N250*R250,N250*P250*R250)</f>
        <v>0</v>
      </c>
      <c r="Y250" s="1013"/>
      <c r="Z250" s="101"/>
      <c r="AA250" s="101"/>
      <c r="AB250" s="101"/>
    </row>
    <row r="251" spans="1:28">
      <c r="A251" s="118"/>
      <c r="B251" s="158"/>
      <c r="C251" s="118"/>
      <c r="D251" s="108" t="s">
        <v>448</v>
      </c>
      <c r="E251" s="108">
        <v>503030102</v>
      </c>
      <c r="F251" s="981" t="s">
        <v>83</v>
      </c>
      <c r="G251" s="982" t="s">
        <v>6</v>
      </c>
      <c r="H251" s="1021">
        <f>IFERROR(IF(VLOOKUP(K251,데이터입력!$C$42:$L$137,5,FALSE)&lt;1000,ROUNDUP(VLOOKUP(K251,데이터입력!$C$42:$L$137,5,FALSE)*1/1000,0),ROUND(VLOOKUP(K251,데이터입력!$C$42:$L$137,5,FALSE)*1/1000,0)),0)</f>
        <v>0</v>
      </c>
      <c r="I251" s="983">
        <f>IFERROR(IF(F251="06",IF(V251&lt;1000,ROUNDUP((V251)*1/1000,0),ROUND((V251)*1/1000,0)),IF(F251="07",IF(W251&lt;1000,ROUNDUP((W251)*1/1000,0),ROUND((W251)*1/1000,0)),IF(F251="05",IF(X251&lt;1000,ROUNDUP((X251)*1/1000,0),ROUND((X251)*1/1000,0))))),0)</f>
        <v>0</v>
      </c>
      <c r="J251" s="983">
        <f>I251-H251</f>
        <v>0</v>
      </c>
      <c r="K251" s="984" t="str">
        <f>L251&amp;"("&amp;G251&amp;")"</f>
        <v>대여용구취득비(수익사업)</v>
      </c>
      <c r="L251" s="112" t="str">
        <f>D251</f>
        <v>대여용구취득비</v>
      </c>
      <c r="M251" s="113"/>
      <c r="N251" s="985"/>
      <c r="O251" s="986"/>
      <c r="P251" s="985"/>
      <c r="Q251" s="986"/>
      <c r="R251" s="985"/>
      <c r="S251" s="986"/>
      <c r="T251" s="986"/>
      <c r="U251" s="986"/>
      <c r="V251" s="987">
        <f>SUM(V252:V253)</f>
        <v>0</v>
      </c>
      <c r="W251" s="987">
        <f t="shared" ref="W251:X251" si="113">SUM(W252:W253)</f>
        <v>0</v>
      </c>
      <c r="X251" s="987">
        <f t="shared" si="113"/>
        <v>0</v>
      </c>
      <c r="Y251" s="987">
        <f>SUM(V251:X251)</f>
        <v>0</v>
      </c>
      <c r="Z251" s="282">
        <f>데이터입력!Z80*데이터입력!$Y$8</f>
        <v>0</v>
      </c>
      <c r="AA251" s="155"/>
      <c r="AB251" s="151"/>
    </row>
    <row r="252" spans="1:28">
      <c r="A252" s="118"/>
      <c r="B252" s="158"/>
      <c r="C252" s="118"/>
      <c r="D252" s="118"/>
      <c r="E252" s="118"/>
      <c r="F252" s="988"/>
      <c r="G252" s="989"/>
      <c r="H252" s="1023"/>
      <c r="I252" s="990"/>
      <c r="J252" s="990"/>
      <c r="K252" s="992"/>
      <c r="L252" s="127" t="str">
        <f>"  - "&amp;L251</f>
        <v xml:space="preserve">  - 대여용구취득비</v>
      </c>
      <c r="M252" s="263"/>
      <c r="N252" s="961">
        <f>IF(R252="",Z251,ROUNDUP((Z251-V253)/R252,-3))</f>
        <v>0</v>
      </c>
      <c r="O252" s="121" t="str">
        <f>IF(P252="","","x ")</f>
        <v/>
      </c>
      <c r="P252" s="963"/>
      <c r="Q252" s="962" t="str">
        <f>IF(R252="","","x ")</f>
        <v xml:space="preserve">x </v>
      </c>
      <c r="R252" s="964">
        <f>IF(VLOOKUP($L251,데이터입력!$R$67:$U$99,4,FALSE)="",데이터입력!$Y$8,VLOOKUP($L251,데이터입력!$R$67:$U$99,4,FALSE))</f>
        <v>12</v>
      </c>
      <c r="S252" s="962"/>
      <c r="T252" s="962" t="s">
        <v>408</v>
      </c>
      <c r="U252" s="962"/>
      <c r="V252" s="965">
        <f>IF(R252="",N252,N252*R252)</f>
        <v>0</v>
      </c>
      <c r="W252" s="967"/>
      <c r="X252" s="967"/>
      <c r="Y252" s="967"/>
    </row>
    <row r="253" spans="1:28">
      <c r="A253" s="118"/>
      <c r="B253" s="158"/>
      <c r="C253" s="118"/>
      <c r="D253" s="134"/>
      <c r="E253" s="134"/>
      <c r="F253" s="1025"/>
      <c r="G253" s="1026"/>
      <c r="H253" s="1027"/>
      <c r="I253" s="1028"/>
      <c r="J253" s="1028"/>
      <c r="K253" s="1028"/>
      <c r="L253" s="130" t="s">
        <v>446</v>
      </c>
      <c r="M253" s="137"/>
      <c r="N253" s="1030">
        <v>0</v>
      </c>
      <c r="O253" s="121" t="str">
        <f>IF(P253="","","x ")</f>
        <v/>
      </c>
      <c r="P253" s="1032"/>
      <c r="Q253" s="1031" t="s">
        <v>407</v>
      </c>
      <c r="R253" s="1033">
        <f>IF(VLOOKUP($L251,데이터입력!$R$67:$U$99,4,FALSE)="",데이터입력!$Y$8,VLOOKUP($L251,데이터입력!$R$67:$U$99,4,FALSE))</f>
        <v>12</v>
      </c>
      <c r="S253" s="1031"/>
      <c r="T253" s="1031" t="s">
        <v>408</v>
      </c>
      <c r="U253" s="1031"/>
      <c r="V253" s="1034">
        <f>IF(P253=0,N253*R253,N253*P253*R253)</f>
        <v>0</v>
      </c>
      <c r="W253" s="974"/>
      <c r="X253" s="974"/>
      <c r="Y253" s="974"/>
    </row>
    <row r="254" spans="1:28">
      <c r="A254" s="118"/>
      <c r="B254" s="158"/>
      <c r="C254" s="118"/>
      <c r="D254" s="108" t="s">
        <v>447</v>
      </c>
      <c r="E254" s="108">
        <v>503030103</v>
      </c>
      <c r="F254" s="981" t="s">
        <v>83</v>
      </c>
      <c r="G254" s="982" t="s">
        <v>6</v>
      </c>
      <c r="H254" s="1021">
        <f>IFERROR(IF(VLOOKUP(K254,데이터입력!$C$42:$L$137,5,FALSE)&lt;1000,ROUNDUP(VLOOKUP(K254,데이터입력!$C$42:$L$137,5,FALSE)*1/1000,0),ROUND(VLOOKUP(K254,데이터입력!$C$42:$L$137,5,FALSE)*1/1000,0)),0)</f>
        <v>0</v>
      </c>
      <c r="I254" s="983">
        <f>IFERROR(IF(F254="06",IF(V254&lt;1000,ROUNDUP((V254)*1/1000,0),ROUND((V254)*1/1000,0)),IF(F254="07",IF(W254&lt;1000,ROUNDUP((W254)*1/1000,0),ROUND((W254)*1/1000,0)),IF(F254="05",IF(X254&lt;1000,ROUNDUP((X254)*1/1000,0),ROUND((X254)*1/1000,0))))),0)</f>
        <v>0</v>
      </c>
      <c r="J254" s="983">
        <f>I254-H254</f>
        <v>0</v>
      </c>
      <c r="K254" s="984" t="str">
        <f>L254&amp;"("&amp;G254&amp;")"</f>
        <v>판매용구취득비(수익사업)</v>
      </c>
      <c r="L254" s="112" t="str">
        <f>D254</f>
        <v>판매용구취득비</v>
      </c>
      <c r="M254" s="113"/>
      <c r="N254" s="985"/>
      <c r="O254" s="986"/>
      <c r="P254" s="985"/>
      <c r="Q254" s="986"/>
      <c r="R254" s="985"/>
      <c r="S254" s="986"/>
      <c r="T254" s="986"/>
      <c r="U254" s="986"/>
      <c r="V254" s="987">
        <f>SUM(V255:V256)</f>
        <v>0</v>
      </c>
      <c r="W254" s="987">
        <f t="shared" ref="W254:X254" si="114">SUM(W255:W256)</f>
        <v>0</v>
      </c>
      <c r="X254" s="987">
        <f t="shared" si="114"/>
        <v>0</v>
      </c>
      <c r="Y254" s="987">
        <f>SUM(V254:X254)</f>
        <v>0</v>
      </c>
      <c r="Z254" s="282">
        <f>데이터입력!Z83*데이터입력!$Y$8</f>
        <v>0</v>
      </c>
      <c r="AA254" s="155"/>
      <c r="AB254" s="151"/>
    </row>
    <row r="255" spans="1:28">
      <c r="A255" s="118"/>
      <c r="B255" s="158"/>
      <c r="C255" s="118"/>
      <c r="D255" s="118"/>
      <c r="E255" s="118"/>
      <c r="F255" s="988"/>
      <c r="G255" s="989"/>
      <c r="H255" s="1023"/>
      <c r="I255" s="990"/>
      <c r="J255" s="990"/>
      <c r="K255" s="992"/>
      <c r="L255" s="127" t="str">
        <f>"  - "&amp;L254</f>
        <v xml:space="preserve">  - 판매용구취득비</v>
      </c>
      <c r="M255" s="263"/>
      <c r="N255" s="961">
        <f>IF(R255="",Z254,ROUNDUP((Z254-V256)/R255,-3))</f>
        <v>0</v>
      </c>
      <c r="O255" s="121" t="str">
        <f>IF(P255="","","x ")</f>
        <v/>
      </c>
      <c r="P255" s="963"/>
      <c r="Q255" s="962" t="str">
        <f>IF(R255="","","x ")</f>
        <v xml:space="preserve">x </v>
      </c>
      <c r="R255" s="964">
        <f>IF(VLOOKUP($L254,데이터입력!$R$67:$U$99,4,FALSE)="",데이터입력!$Y$8,VLOOKUP($L254,데이터입력!$R$67:$U$99,4,FALSE))</f>
        <v>12</v>
      </c>
      <c r="S255" s="962"/>
      <c r="T255" s="962" t="s">
        <v>408</v>
      </c>
      <c r="U255" s="962"/>
      <c r="V255" s="965">
        <f>IF(R255="",N255,N255*R255)</f>
        <v>0</v>
      </c>
      <c r="W255" s="967"/>
      <c r="X255" s="967"/>
      <c r="Y255" s="967"/>
    </row>
    <row r="256" spans="1:28">
      <c r="A256" s="118"/>
      <c r="B256" s="134"/>
      <c r="C256" s="134"/>
      <c r="D256" s="134"/>
      <c r="E256" s="134"/>
      <c r="F256" s="1025"/>
      <c r="G256" s="1026"/>
      <c r="H256" s="1027"/>
      <c r="I256" s="1028"/>
      <c r="J256" s="1028"/>
      <c r="K256" s="1029"/>
      <c r="L256" s="130" t="s">
        <v>446</v>
      </c>
      <c r="M256" s="137"/>
      <c r="N256" s="1030">
        <v>0</v>
      </c>
      <c r="O256" s="121" t="str">
        <f>IF(P256="","","x ")</f>
        <v/>
      </c>
      <c r="P256" s="1032"/>
      <c r="Q256" s="1031" t="s">
        <v>407</v>
      </c>
      <c r="R256" s="1033">
        <f>IF(VLOOKUP($L254,데이터입력!$R$67:$U$99,4,FALSE)="",데이터입력!$Y$8,VLOOKUP($L254,데이터입력!$R$67:$U$99,4,FALSE))</f>
        <v>12</v>
      </c>
      <c r="S256" s="1031"/>
      <c r="T256" s="1031" t="s">
        <v>408</v>
      </c>
      <c r="U256" s="1031"/>
      <c r="V256" s="1034">
        <f>IF(P256=0,N256*R256,N256*P256*R256)</f>
        <v>0</v>
      </c>
      <c r="W256" s="974"/>
      <c r="X256" s="974"/>
      <c r="Y256" s="974"/>
    </row>
    <row r="257" spans="1:28">
      <c r="A257" s="320" t="s">
        <v>322</v>
      </c>
      <c r="B257" s="352" t="s">
        <v>322</v>
      </c>
      <c r="C257" s="316"/>
      <c r="D257" s="317"/>
      <c r="E257" s="317"/>
      <c r="F257" s="950"/>
      <c r="G257" s="950"/>
      <c r="H257" s="305">
        <f>SUM(H258:H263)</f>
        <v>33000</v>
      </c>
      <c r="I257" s="305">
        <f>SUM(I258:I263)</f>
        <v>30000</v>
      </c>
      <c r="J257" s="305">
        <f>SUM(J258:J263)</f>
        <v>-3000</v>
      </c>
      <c r="K257" s="305"/>
      <c r="L257" s="318"/>
      <c r="M257" s="318"/>
      <c r="N257" s="318"/>
      <c r="O257" s="318"/>
      <c r="P257" s="318"/>
      <c r="Q257" s="318"/>
      <c r="R257" s="318"/>
      <c r="S257" s="318"/>
      <c r="T257" s="318"/>
      <c r="U257" s="318"/>
      <c r="V257" s="307">
        <f>SUM(V258,V261)</f>
        <v>30000000</v>
      </c>
      <c r="W257" s="307">
        <f>SUM(W258,W261)</f>
        <v>0</v>
      </c>
      <c r="X257" s="307">
        <f>SUM(X258,X261)</f>
        <v>0</v>
      </c>
      <c r="Y257" s="307">
        <f t="shared" ref="Y257" si="115">SUM(V257:X257)</f>
        <v>30000000</v>
      </c>
      <c r="Z257" s="156"/>
      <c r="AA257" s="156"/>
      <c r="AB257" s="101"/>
    </row>
    <row r="258" spans="1:28">
      <c r="A258" s="118"/>
      <c r="B258" s="118"/>
      <c r="C258" s="118" t="s">
        <v>66</v>
      </c>
      <c r="D258" s="108" t="s">
        <v>66</v>
      </c>
      <c r="E258" s="108">
        <v>504010101</v>
      </c>
      <c r="F258" s="981" t="s">
        <v>83</v>
      </c>
      <c r="G258" s="982" t="s">
        <v>6</v>
      </c>
      <c r="H258" s="983">
        <f>IFERROR(IF(VLOOKUP(K258,데이터입력!$C$42:$L$137,5,FALSE)&lt;1000,ROUNDUP(VLOOKUP(K258,데이터입력!$C$42:$L$137,5,FALSE)*1/1000,0),ROUND(VLOOKUP(K258,데이터입력!$C$42:$L$137,5,FALSE)*1/1000,0)),0)</f>
        <v>0</v>
      </c>
      <c r="I258" s="983">
        <f>IFERROR(IF(F258="06",IF(V258&lt;1000,ROUNDUP((V258)*1/1000,0),ROUND((V258)*1/1000,0)),IF(F258="07",IF(W258&lt;1000,ROUNDUP((W258)*1/1000,0),ROUND((W258)*1/1000,0)),IF(F258="05",IF(X258&lt;1000,ROUNDUP((X258)*1/1000,0),ROUND((X258)*1/1000,0))))),0)</f>
        <v>0</v>
      </c>
      <c r="J258" s="983">
        <f>I258-H258</f>
        <v>0</v>
      </c>
      <c r="K258" s="984" t="str">
        <f>L258&amp;"("&amp;G258&amp;")"</f>
        <v>법인회계전출금(수익사업)</v>
      </c>
      <c r="L258" s="112" t="str">
        <f>D258</f>
        <v>법인회계전출금</v>
      </c>
      <c r="M258" s="113"/>
      <c r="N258" s="985"/>
      <c r="O258" s="986"/>
      <c r="P258" s="985"/>
      <c r="Q258" s="986"/>
      <c r="R258" s="985"/>
      <c r="S258" s="986"/>
      <c r="T258" s="986"/>
      <c r="U258" s="986"/>
      <c r="V258" s="987">
        <f>SUM(V259:V260)</f>
        <v>0</v>
      </c>
      <c r="W258" s="987">
        <f>SUM(W259:W260)</f>
        <v>0</v>
      </c>
      <c r="X258" s="987">
        <f>SUM(X259:X260)</f>
        <v>0</v>
      </c>
      <c r="Y258" s="987">
        <f>SUM(V258:X258)</f>
        <v>0</v>
      </c>
      <c r="Z258" s="282">
        <f>IFERROR(VLOOKUP($L258,데이터입력!$R$67:$U$99,3,FALSE),0)</f>
        <v>0</v>
      </c>
      <c r="AA258" s="155"/>
      <c r="AB258" s="151"/>
    </row>
    <row r="259" spans="1:28">
      <c r="A259" s="118"/>
      <c r="B259" s="118"/>
      <c r="C259" s="118"/>
      <c r="D259" s="118"/>
      <c r="E259" s="118"/>
      <c r="F259" s="988"/>
      <c r="G259" s="989"/>
      <c r="H259" s="990"/>
      <c r="I259" s="990"/>
      <c r="J259" s="990"/>
      <c r="K259" s="992"/>
      <c r="L259" s="127" t="str">
        <f>"  - "&amp;L258</f>
        <v xml:space="preserve">  - 법인회계전출금</v>
      </c>
      <c r="M259" s="263"/>
      <c r="N259" s="961">
        <f>IF(R259="",Z258,ROUNDUP((Z258-V260)/R259,-3))</f>
        <v>0</v>
      </c>
      <c r="O259" s="121" t="str">
        <f>IF(P259="","","x ")</f>
        <v/>
      </c>
      <c r="P259" s="963"/>
      <c r="Q259" s="962" t="str">
        <f>IF(R259="","","x ")</f>
        <v xml:space="preserve">x </v>
      </c>
      <c r="R259" s="964">
        <f>IF(VLOOKUP($L258,데이터입력!$R$67:$U$99,4,FALSE)="",데이터입력!$Y$8,VLOOKUP($L258,데이터입력!$R$67:$U$99,4,FALSE))</f>
        <v>12</v>
      </c>
      <c r="S259" s="962"/>
      <c r="T259" s="962" t="s">
        <v>408</v>
      </c>
      <c r="U259" s="962"/>
      <c r="V259" s="965">
        <f>IF(R259="",N259,N259*R259)</f>
        <v>0</v>
      </c>
      <c r="W259" s="967"/>
      <c r="X259" s="967"/>
      <c r="Y259" s="967"/>
      <c r="Z259" s="156"/>
      <c r="AA259" s="156"/>
      <c r="AB259" s="101"/>
    </row>
    <row r="260" spans="1:28">
      <c r="A260" s="118"/>
      <c r="B260" s="118"/>
      <c r="C260" s="118"/>
      <c r="D260" s="118"/>
      <c r="E260" s="118"/>
      <c r="F260" s="1025"/>
      <c r="G260" s="1026"/>
      <c r="H260" s="1028"/>
      <c r="I260" s="1028"/>
      <c r="J260" s="1028"/>
      <c r="K260" s="1029"/>
      <c r="L260" s="130" t="s">
        <v>444</v>
      </c>
      <c r="M260" s="137"/>
      <c r="N260" s="1030">
        <v>0</v>
      </c>
      <c r="O260" s="121" t="str">
        <f>IF(P260="","","x ")</f>
        <v/>
      </c>
      <c r="P260" s="1032"/>
      <c r="Q260" s="1031" t="s">
        <v>407</v>
      </c>
      <c r="R260" s="1033">
        <f>IF(VLOOKUP($L258,데이터입력!$R$67:$U$99,4,FALSE)="",데이터입력!$Y$8,VLOOKUP($L258,데이터입력!$R$67:$U$99,4,FALSE))</f>
        <v>12</v>
      </c>
      <c r="S260" s="1031"/>
      <c r="T260" s="1031" t="s">
        <v>408</v>
      </c>
      <c r="U260" s="1031"/>
      <c r="V260" s="1034">
        <f>IF(P260=0,N260*R260,N260*P260*R260)</f>
        <v>0</v>
      </c>
      <c r="W260" s="974"/>
      <c r="X260" s="974"/>
      <c r="Y260" s="974"/>
      <c r="Z260" s="156"/>
      <c r="AA260" s="156"/>
      <c r="AB260" s="101"/>
    </row>
    <row r="261" spans="1:28">
      <c r="A261" s="118"/>
      <c r="B261" s="118"/>
      <c r="C261" s="108" t="s">
        <v>67</v>
      </c>
      <c r="D261" s="108" t="s">
        <v>67</v>
      </c>
      <c r="E261" s="108">
        <v>504010201</v>
      </c>
      <c r="F261" s="981" t="s">
        <v>83</v>
      </c>
      <c r="G261" s="982" t="s">
        <v>6</v>
      </c>
      <c r="H261" s="983">
        <f>IFERROR(IF(VLOOKUP(K261,데이터입력!$C$42:$L$137,5,FALSE)&lt;1000,ROUNDUP(VLOOKUP(K261,데이터입력!$C$42:$L$137,5,FALSE)*1/1000,0),ROUND(VLOOKUP(K261,데이터입력!$C$42:$L$137,5,FALSE)*1/1000,0)),0)</f>
        <v>33000</v>
      </c>
      <c r="I261" s="983">
        <f>IFERROR(IF(F261="06",IF(V261&lt;1000,ROUNDUP((V261)*1/1000,0),ROUND((V261)*1/1000,0)),IF(F261="07",IF(W261&lt;1000,ROUNDUP((W261)*1/1000,0),ROUND((W261)*1/1000,0)),IF(F261="05",IF(X261&lt;1000,ROUNDUP((X261)*1/1000,0),ROUND((X261)*1/1000,0))))),0)</f>
        <v>30000</v>
      </c>
      <c r="J261" s="983">
        <f>I261-H261</f>
        <v>-3000</v>
      </c>
      <c r="K261" s="984" t="str">
        <f>L261&amp;"("&amp;G261&amp;")"</f>
        <v>기타전출금(수익사업)</v>
      </c>
      <c r="L261" s="112" t="str">
        <f>D261</f>
        <v>기타전출금</v>
      </c>
      <c r="M261" s="113"/>
      <c r="N261" s="985"/>
      <c r="O261" s="986"/>
      <c r="P261" s="985"/>
      <c r="Q261" s="986"/>
      <c r="R261" s="985"/>
      <c r="S261" s="986"/>
      <c r="T261" s="986"/>
      <c r="U261" s="986"/>
      <c r="V261" s="987">
        <f>SUM(V262:V263)</f>
        <v>30000000</v>
      </c>
      <c r="W261" s="987">
        <f>SUM(W262:W263)</f>
        <v>0</v>
      </c>
      <c r="X261" s="987">
        <f>SUM(X262:X263)</f>
        <v>0</v>
      </c>
      <c r="Y261" s="987">
        <f>SUM(V261:X261)</f>
        <v>30000000</v>
      </c>
      <c r="Z261" s="282">
        <f>IFERROR(VLOOKUP($L261,데이터입력!$R$67:$U$99,3,FALSE),0)</f>
        <v>30000000</v>
      </c>
      <c r="AA261" s="155"/>
      <c r="AB261" s="151"/>
    </row>
    <row r="262" spans="1:28">
      <c r="A262" s="118"/>
      <c r="B262" s="118"/>
      <c r="C262" s="118"/>
      <c r="D262" s="118"/>
      <c r="E262" s="118"/>
      <c r="F262" s="988"/>
      <c r="G262" s="989"/>
      <c r="H262" s="990"/>
      <c r="I262" s="990"/>
      <c r="J262" s="990"/>
      <c r="K262" s="992"/>
      <c r="L262" s="127" t="str">
        <f>"  - "&amp;L261</f>
        <v xml:space="preserve">  - 기타전출금</v>
      </c>
      <c r="M262" s="263"/>
      <c r="N262" s="961">
        <f>IF(R262="",Z261,ROUNDUP((Z261-V263)/R262,-3))</f>
        <v>2500000</v>
      </c>
      <c r="O262" s="121" t="str">
        <f>IF(P262="","","x ")</f>
        <v/>
      </c>
      <c r="P262" s="963"/>
      <c r="Q262" s="962" t="str">
        <f>IF(R262="","","x ")</f>
        <v xml:space="preserve">x </v>
      </c>
      <c r="R262" s="964">
        <f>IF(VLOOKUP($L261,데이터입력!$R$67:$U$99,4,FALSE)="",데이터입력!$Y$8,VLOOKUP($L261,데이터입력!$R$67:$U$99,4,FALSE))</f>
        <v>12</v>
      </c>
      <c r="S262" s="962"/>
      <c r="T262" s="962" t="s">
        <v>408</v>
      </c>
      <c r="U262" s="962"/>
      <c r="V262" s="965">
        <f>IF(R262="",N262,N262*R262)</f>
        <v>30000000</v>
      </c>
      <c r="W262" s="967"/>
      <c r="X262" s="967"/>
      <c r="Y262" s="967"/>
      <c r="Z262" s="156"/>
      <c r="AA262" s="156"/>
      <c r="AB262" s="101"/>
    </row>
    <row r="263" spans="1:28">
      <c r="A263" s="118"/>
      <c r="B263" s="118"/>
      <c r="C263" s="134"/>
      <c r="D263" s="134"/>
      <c r="E263" s="134"/>
      <c r="F263" s="1025"/>
      <c r="G263" s="1026"/>
      <c r="H263" s="1028"/>
      <c r="I263" s="1028"/>
      <c r="J263" s="1028"/>
      <c r="K263" s="1029"/>
      <c r="L263" s="130" t="s">
        <v>444</v>
      </c>
      <c r="M263" s="137"/>
      <c r="N263" s="1030">
        <v>0</v>
      </c>
      <c r="O263" s="121" t="str">
        <f>IF(P263="","","x ")</f>
        <v/>
      </c>
      <c r="P263" s="1032"/>
      <c r="Q263" s="1031" t="s">
        <v>407</v>
      </c>
      <c r="R263" s="1033">
        <f>IF(VLOOKUP($L261,데이터입력!$R$67:$U$99,4,FALSE)="",데이터입력!$Y$8,VLOOKUP($L261,데이터입력!$R$67:$U$99,4,FALSE))</f>
        <v>12</v>
      </c>
      <c r="S263" s="1031"/>
      <c r="T263" s="1031" t="s">
        <v>408</v>
      </c>
      <c r="U263" s="1031"/>
      <c r="V263" s="1034">
        <f>IF(P263=0,N263*R263,N263*P263*R263)</f>
        <v>0</v>
      </c>
      <c r="W263" s="974"/>
      <c r="X263" s="974"/>
      <c r="Y263" s="974"/>
      <c r="Z263" s="156"/>
      <c r="AA263" s="156"/>
      <c r="AB263" s="101"/>
    </row>
    <row r="264" spans="1:28">
      <c r="A264" s="324" t="s">
        <v>68</v>
      </c>
      <c r="B264" s="323" t="s">
        <v>68</v>
      </c>
      <c r="C264" s="316"/>
      <c r="D264" s="317"/>
      <c r="E264" s="317"/>
      <c r="F264" s="950"/>
      <c r="G264" s="950"/>
      <c r="H264" s="305">
        <f>SUM(H265:H268)</f>
        <v>0</v>
      </c>
      <c r="I264" s="305">
        <f>SUM(I265:I268)</f>
        <v>0</v>
      </c>
      <c r="J264" s="305">
        <f>SUM(J265:J268)</f>
        <v>0</v>
      </c>
      <c r="K264" s="305"/>
      <c r="L264" s="318"/>
      <c r="M264" s="318"/>
      <c r="N264" s="318"/>
      <c r="O264" s="318"/>
      <c r="P264" s="318"/>
      <c r="Q264" s="318"/>
      <c r="R264" s="318"/>
      <c r="S264" s="318"/>
      <c r="T264" s="318"/>
      <c r="U264" s="318"/>
      <c r="V264" s="307">
        <f>SUM(V265)</f>
        <v>0</v>
      </c>
      <c r="W264" s="307">
        <f t="shared" ref="W264:X264" si="116">SUM(W265)</f>
        <v>0</v>
      </c>
      <c r="X264" s="307">
        <f t="shared" si="116"/>
        <v>0</v>
      </c>
      <c r="Y264" s="307">
        <f t="shared" ref="Y264" si="117">SUM(V264:X264)</f>
        <v>0</v>
      </c>
      <c r="Z264" s="156"/>
      <c r="AA264" s="156"/>
      <c r="AB264" s="101"/>
    </row>
    <row r="265" spans="1:28">
      <c r="A265" s="108"/>
      <c r="B265" s="108"/>
      <c r="C265" s="108" t="s">
        <v>68</v>
      </c>
      <c r="D265" s="108" t="s">
        <v>68</v>
      </c>
      <c r="E265" s="108">
        <v>505010101</v>
      </c>
      <c r="F265" s="981" t="s">
        <v>83</v>
      </c>
      <c r="G265" s="982" t="s">
        <v>6</v>
      </c>
      <c r="H265" s="983">
        <f>IFERROR(IF(VLOOKUP(K265,데이터입력!$C$42:$L$137,5,FALSE)&lt;1000,ROUNDUP(VLOOKUP(K265,데이터입력!$C$42:$L$137,5,FALSE)*1/1000,0),ROUND(VLOOKUP(K265,데이터입력!$C$42:$L$137,5,FALSE)*1/1000,0)),0)</f>
        <v>0</v>
      </c>
      <c r="I265" s="983">
        <f>IFERROR(IF(F265="06",IF(V265&lt;1000,ROUNDUP((V265)*1/1000,0),ROUND((V265)*1/1000,0)),IF(F265="07",IF(W265&lt;1000,ROUNDUP((W265)*1/1000,0),ROUND((W265)*1/1000,0)),IF(F265="05",IF(X265&lt;1000,ROUNDUP((X265)*1/1000,0),ROUND((X265)*1/1000,0))))),0)</f>
        <v>0</v>
      </c>
      <c r="J265" s="983">
        <f>I265-H265</f>
        <v>0</v>
      </c>
      <c r="K265" s="984" t="str">
        <f>L265&amp;"("&amp;G265&amp;")"</f>
        <v>과년도지출(수익사업)</v>
      </c>
      <c r="L265" s="112" t="str">
        <f>D265</f>
        <v>과년도지출</v>
      </c>
      <c r="M265" s="113"/>
      <c r="N265" s="985"/>
      <c r="O265" s="986"/>
      <c r="P265" s="985"/>
      <c r="Q265" s="986"/>
      <c r="R265" s="985"/>
      <c r="S265" s="986"/>
      <c r="T265" s="986"/>
      <c r="U265" s="986"/>
      <c r="V265" s="987">
        <f>SUM(V266:V268)</f>
        <v>0</v>
      </c>
      <c r="W265" s="987">
        <f>SUM(W266:W268)</f>
        <v>0</v>
      </c>
      <c r="X265" s="987">
        <f>SUM(X266:X268)</f>
        <v>0</v>
      </c>
      <c r="Y265" s="987">
        <f>SUM(V265:X265)</f>
        <v>0</v>
      </c>
      <c r="Z265" s="282">
        <f>IFERROR(VLOOKUP($L265,데이터입력!$R$67:$U$99,3,FALSE),0)</f>
        <v>0</v>
      </c>
      <c r="AA265" s="282">
        <f>IFERROR(VLOOKUP($L268,데이터입력!$R$100:$U$129,3,FALSE),0)</f>
        <v>0</v>
      </c>
      <c r="AB265" s="282"/>
    </row>
    <row r="266" spans="1:28">
      <c r="A266" s="118"/>
      <c r="B266" s="118"/>
      <c r="C266" s="118"/>
      <c r="D266" s="118"/>
      <c r="E266" s="118"/>
      <c r="F266" s="988"/>
      <c r="G266" s="989"/>
      <c r="H266" s="990"/>
      <c r="I266" s="990"/>
      <c r="J266" s="990"/>
      <c r="K266" s="992"/>
      <c r="L266" s="127" t="str">
        <f>"  - "&amp;L265</f>
        <v xml:space="preserve">  - 과년도지출</v>
      </c>
      <c r="M266" s="263"/>
      <c r="N266" s="961">
        <f>IF(R266="",Z265,ROUNDUP((Z265-V267)/R266,-3))</f>
        <v>0</v>
      </c>
      <c r="O266" s="121" t="str">
        <f>IF(P266="","","x ")</f>
        <v/>
      </c>
      <c r="P266" s="963"/>
      <c r="Q266" s="962" t="str">
        <f>IF(R266="","","x ")</f>
        <v xml:space="preserve">x </v>
      </c>
      <c r="R266" s="964">
        <f>IF(VLOOKUP($L265,데이터입력!$R$67:$U$99,4,FALSE)="",데이터입력!$Y$8,VLOOKUP($L265,데이터입력!$R$67:$U$99,4,FALSE))</f>
        <v>12</v>
      </c>
      <c r="S266" s="962"/>
      <c r="T266" s="962" t="s">
        <v>408</v>
      </c>
      <c r="U266" s="962"/>
      <c r="V266" s="965">
        <f>IF(R266="",N266,N266*R266)</f>
        <v>0</v>
      </c>
      <c r="W266" s="967"/>
      <c r="X266" s="967"/>
      <c r="Y266" s="967"/>
      <c r="Z266" s="283"/>
      <c r="AA266" s="283"/>
      <c r="AB266" s="284"/>
    </row>
    <row r="267" spans="1:28">
      <c r="A267" s="118"/>
      <c r="B267" s="118"/>
      <c r="C267" s="118"/>
      <c r="D267" s="118"/>
      <c r="E267" s="118"/>
      <c r="F267" s="988"/>
      <c r="G267" s="989"/>
      <c r="H267" s="990"/>
      <c r="I267" s="990"/>
      <c r="J267" s="990"/>
      <c r="K267" s="992"/>
      <c r="L267" s="127" t="s">
        <v>444</v>
      </c>
      <c r="M267" s="263"/>
      <c r="N267" s="961">
        <v>0</v>
      </c>
      <c r="O267" s="121" t="str">
        <f>IF(P267="","","x ")</f>
        <v/>
      </c>
      <c r="P267" s="963"/>
      <c r="Q267" s="962" t="s">
        <v>407</v>
      </c>
      <c r="R267" s="964">
        <f>IF(VLOOKUP($L265,데이터입력!$R$67:$U$99,4,FALSE)="",데이터입력!$Y$8,VLOOKUP($L265,데이터입력!$R$67:$U$99,4,FALSE))</f>
        <v>12</v>
      </c>
      <c r="S267" s="962"/>
      <c r="T267" s="962" t="s">
        <v>408</v>
      </c>
      <c r="U267" s="962"/>
      <c r="V267" s="965">
        <f>IF(P267=0,N267*R267,N267*P267*R267)</f>
        <v>0</v>
      </c>
      <c r="W267" s="967"/>
      <c r="X267" s="967"/>
      <c r="Y267" s="967"/>
      <c r="Z267" s="283"/>
      <c r="AA267" s="283"/>
      <c r="AB267" s="284"/>
    </row>
    <row r="268" spans="1:28">
      <c r="A268" s="118"/>
      <c r="B268" s="118"/>
      <c r="C268" s="134"/>
      <c r="D268" s="134"/>
      <c r="E268" s="134"/>
      <c r="F268" s="1004" t="s">
        <v>422</v>
      </c>
      <c r="G268" s="1005" t="s">
        <v>384</v>
      </c>
      <c r="H268" s="1006">
        <f>IFERROR(IF(VLOOKUP(K268,데이터입력!$C$42:$L$137,5,FALSE)&lt;1000,ROUNDUP(VLOOKUP(K268,데이터입력!$C$42:$L$137,5,FALSE)*1/1000,0),ROUND(VLOOKUP(K268,데이터입력!$C$42:$L$137,5,FALSE)*1/1000,0)),0)</f>
        <v>0</v>
      </c>
      <c r="I268" s="1006">
        <f>IFERROR(IF(F268="06",IF(V268&lt;1000,ROUNDUP((V268)*1/1000,0),ROUND((V268)*1/1000,0)),IF(F268="07",IF(W268&lt;1000,ROUNDUP((W268)*1/1000,0),ROUND((W268)*1/1000,0)),IF(F268="05",IF(X268&lt;1000,ROUNDUP((X268)*1/1000,0),ROUND((X268)*1/1000,0))))),0)</f>
        <v>0</v>
      </c>
      <c r="J268" s="1007">
        <f>I268-H268</f>
        <v>0</v>
      </c>
      <c r="K268" s="286" t="str">
        <f>L268&amp;"("&amp;G268&amp;")"</f>
        <v>과년도지출(보조금)</v>
      </c>
      <c r="L268" s="296" t="str">
        <f>L265</f>
        <v>과년도지출</v>
      </c>
      <c r="M268" s="297"/>
      <c r="N268" s="1008">
        <f>IF(R268="",AA265,ROUNDUP(AA265/R268,-3))</f>
        <v>0</v>
      </c>
      <c r="O268" s="1309" t="str">
        <f>IF(P268="","","x ")</f>
        <v/>
      </c>
      <c r="P268" s="1010"/>
      <c r="Q268" s="1009" t="s">
        <v>407</v>
      </c>
      <c r="R268" s="1011">
        <f>IF(VLOOKUP($L268,데이터입력!$R$100:$U$129,4,FALSE)="",데이터입력!$Y$8,VLOOKUP($L268,데이터입력!$R$100:$U$129,4,FALSE))</f>
        <v>12</v>
      </c>
      <c r="S268" s="1009"/>
      <c r="T268" s="1009" t="s">
        <v>408</v>
      </c>
      <c r="U268" s="1009"/>
      <c r="V268" s="1013"/>
      <c r="W268" s="1013">
        <f>IF(P268="",N268*R268,N268*P268*R268)</f>
        <v>0</v>
      </c>
      <c r="X268" s="1014"/>
      <c r="Y268" s="1014"/>
      <c r="Z268" s="284"/>
      <c r="AA268" s="284"/>
      <c r="AB268" s="284"/>
    </row>
    <row r="269" spans="1:28">
      <c r="A269" s="324" t="s">
        <v>329</v>
      </c>
      <c r="B269" s="323" t="s">
        <v>330</v>
      </c>
      <c r="C269" s="316"/>
      <c r="D269" s="317"/>
      <c r="E269" s="317"/>
      <c r="F269" s="950"/>
      <c r="G269" s="950"/>
      <c r="H269" s="305">
        <f>SUM(H270:H275)</f>
        <v>0</v>
      </c>
      <c r="I269" s="305">
        <f>SUM(I270:I275)</f>
        <v>0</v>
      </c>
      <c r="J269" s="305">
        <f>SUM(J270:J275)</f>
        <v>0</v>
      </c>
      <c r="K269" s="305"/>
      <c r="L269" s="318"/>
      <c r="M269" s="318"/>
      <c r="N269" s="318"/>
      <c r="O269" s="318"/>
      <c r="P269" s="318"/>
      <c r="Q269" s="318"/>
      <c r="R269" s="318"/>
      <c r="S269" s="318"/>
      <c r="T269" s="318"/>
      <c r="U269" s="318"/>
      <c r="V269" s="307">
        <f>SUM(V270,V273)</f>
        <v>0</v>
      </c>
      <c r="W269" s="307">
        <f>SUM(W270,W273)</f>
        <v>0</v>
      </c>
      <c r="X269" s="307">
        <f>SUM(X270,X273)</f>
        <v>0</v>
      </c>
      <c r="Y269" s="307">
        <f t="shared" ref="Y269" si="118">SUM(V269:X269)</f>
        <v>0</v>
      </c>
      <c r="Z269" s="156"/>
      <c r="AA269" s="156"/>
      <c r="AB269" s="101"/>
    </row>
    <row r="270" spans="1:28">
      <c r="A270" s="108"/>
      <c r="B270" s="108"/>
      <c r="C270" s="108" t="s">
        <v>69</v>
      </c>
      <c r="D270" s="108" t="s">
        <v>69</v>
      </c>
      <c r="E270" s="108">
        <v>506010101</v>
      </c>
      <c r="F270" s="981" t="s">
        <v>83</v>
      </c>
      <c r="G270" s="982" t="s">
        <v>6</v>
      </c>
      <c r="H270" s="983">
        <f>IFERROR(IF(VLOOKUP(K270,데이터입력!$C$42:$L$137,5,FALSE)&lt;1000,ROUNDUP(VLOOKUP(K270,데이터입력!$C$42:$L$137,5,FALSE)*1/1000,0),ROUND(VLOOKUP(K270,데이터입력!$C$42:$L$137,5,FALSE)*1/1000,0)),0)</f>
        <v>0</v>
      </c>
      <c r="I270" s="983">
        <f>IFERROR(IF(F270="06",IF(V270&lt;1000,ROUNDUP((V270)*1/1000,0),ROUND((V270)*1/1000,0)),IF(F270="07",IF(W270&lt;1000,ROUNDUP((W270)*1/1000,0),ROUND((W270)*1/1000,0)),IF(F270="05",IF(X270&lt;1000,ROUNDUP((X270)*1/1000,0),ROUND((X270)*1/1000,0))))),0)</f>
        <v>0</v>
      </c>
      <c r="J270" s="983">
        <f>I270-H270</f>
        <v>0</v>
      </c>
      <c r="K270" s="984" t="str">
        <f>L270&amp;"("&amp;G270&amp;")"</f>
        <v>원금상환금(수익사업)</v>
      </c>
      <c r="L270" s="112" t="str">
        <f>D270</f>
        <v>원금상환금</v>
      </c>
      <c r="M270" s="113"/>
      <c r="N270" s="985"/>
      <c r="O270" s="986"/>
      <c r="P270" s="985"/>
      <c r="Q270" s="986"/>
      <c r="R270" s="985"/>
      <c r="S270" s="986"/>
      <c r="T270" s="986"/>
      <c r="U270" s="986"/>
      <c r="V270" s="987">
        <f>SUM(V271:V272)</f>
        <v>0</v>
      </c>
      <c r="W270" s="987">
        <f>SUM(W271:W272)</f>
        <v>0</v>
      </c>
      <c r="X270" s="987">
        <f>SUM(X271:X272)</f>
        <v>0</v>
      </c>
      <c r="Y270" s="987">
        <f>SUM(V270:X270)</f>
        <v>0</v>
      </c>
      <c r="Z270" s="282">
        <f>IFERROR(VLOOKUP($L270,데이터입력!$R$67:$U$99,3,FALSE),0)</f>
        <v>0</v>
      </c>
      <c r="AA270" s="155"/>
      <c r="AB270" s="151"/>
    </row>
    <row r="271" spans="1:28">
      <c r="A271" s="118"/>
      <c r="B271" s="118"/>
      <c r="C271" s="118"/>
      <c r="D271" s="118"/>
      <c r="E271" s="118"/>
      <c r="F271" s="988"/>
      <c r="G271" s="989"/>
      <c r="H271" s="990"/>
      <c r="I271" s="990"/>
      <c r="J271" s="990"/>
      <c r="K271" s="992"/>
      <c r="L271" s="127" t="str">
        <f>"  - "&amp;L270</f>
        <v xml:space="preserve">  - 원금상환금</v>
      </c>
      <c r="M271" s="263"/>
      <c r="N271" s="961">
        <f>IF(R271="",Z270,ROUNDUP((Z270-V272)/R271,-3))</f>
        <v>0</v>
      </c>
      <c r="O271" s="121" t="str">
        <f>IF(P271="","","x ")</f>
        <v/>
      </c>
      <c r="P271" s="963"/>
      <c r="Q271" s="962" t="str">
        <f>IF(R271="","","x ")</f>
        <v xml:space="preserve">x </v>
      </c>
      <c r="R271" s="964">
        <f>IF(VLOOKUP($L270,데이터입력!$R$67:$U$99,4,FALSE)="",데이터입력!$Y$8,VLOOKUP($L270,데이터입력!$R$67:$U$99,4,FALSE))</f>
        <v>12</v>
      </c>
      <c r="S271" s="962"/>
      <c r="T271" s="962" t="s">
        <v>408</v>
      </c>
      <c r="U271" s="962"/>
      <c r="V271" s="965">
        <f>IF(R271="",N271,N271*R271)</f>
        <v>0</v>
      </c>
      <c r="W271" s="967"/>
      <c r="X271" s="967"/>
      <c r="Y271" s="967"/>
      <c r="Z271" s="156"/>
      <c r="AA271" s="156"/>
      <c r="AB271" s="101"/>
    </row>
    <row r="272" spans="1:28">
      <c r="A272" s="118"/>
      <c r="B272" s="118"/>
      <c r="C272" s="134"/>
      <c r="D272" s="134"/>
      <c r="E272" s="134"/>
      <c r="F272" s="1025"/>
      <c r="G272" s="1026"/>
      <c r="H272" s="1028"/>
      <c r="I272" s="1028"/>
      <c r="J272" s="1028"/>
      <c r="K272" s="1029"/>
      <c r="L272" s="130" t="s">
        <v>444</v>
      </c>
      <c r="M272" s="137"/>
      <c r="N272" s="1030">
        <v>0</v>
      </c>
      <c r="O272" s="121" t="str">
        <f>IF(P272="","","x ")</f>
        <v/>
      </c>
      <c r="P272" s="1032"/>
      <c r="Q272" s="1031" t="s">
        <v>407</v>
      </c>
      <c r="R272" s="1033">
        <f>IF(VLOOKUP($L270,데이터입력!$R$67:$U$99,4,FALSE)="",데이터입력!$Y$8,VLOOKUP($L270,데이터입력!$R$67:$U$99,4,FALSE))</f>
        <v>12</v>
      </c>
      <c r="S272" s="1031"/>
      <c r="T272" s="1031" t="s">
        <v>408</v>
      </c>
      <c r="U272" s="1031"/>
      <c r="V272" s="1034">
        <f>IF(P272=0,N272*R272,N272*P272*R272)</f>
        <v>0</v>
      </c>
      <c r="W272" s="974"/>
      <c r="X272" s="974"/>
      <c r="Y272" s="974"/>
      <c r="Z272" s="156"/>
      <c r="AA272" s="156"/>
      <c r="AB272" s="101"/>
    </row>
    <row r="273" spans="1:28">
      <c r="A273" s="118"/>
      <c r="B273" s="118"/>
      <c r="C273" s="108" t="s">
        <v>70</v>
      </c>
      <c r="D273" s="108" t="s">
        <v>70</v>
      </c>
      <c r="E273" s="108">
        <v>506010201</v>
      </c>
      <c r="F273" s="981" t="s">
        <v>83</v>
      </c>
      <c r="G273" s="982" t="s">
        <v>6</v>
      </c>
      <c r="H273" s="983">
        <f>IFERROR(IF(VLOOKUP(K273,데이터입력!$C$42:$L$137,5,FALSE)&lt;1000,ROUNDUP(VLOOKUP(K273,데이터입력!$C$42:$L$137,5,FALSE)*1/1000,0),ROUND(VLOOKUP(K273,데이터입력!$C$42:$L$137,5,FALSE)*1/1000,0)),0)</f>
        <v>0</v>
      </c>
      <c r="I273" s="983">
        <f>IFERROR(IF(F273="06",IF(V273&lt;1000,ROUNDUP((V273)*1/1000,0),ROUND((V273)*1/1000,0)),IF(F273="07",IF(W273&lt;1000,ROUNDUP((W273)*1/1000,0),ROUND((W273)*1/1000,0)),IF(F273="05",IF(X273&lt;1000,ROUNDUP((X273)*1/1000,0),ROUND((X273)*1/1000,0))))),0)</f>
        <v>0</v>
      </c>
      <c r="J273" s="983">
        <f>I273-H273</f>
        <v>0</v>
      </c>
      <c r="K273" s="984" t="str">
        <f>L273&amp;"("&amp;G273&amp;")"</f>
        <v>이자지불금(수익사업)</v>
      </c>
      <c r="L273" s="112" t="str">
        <f>D273</f>
        <v>이자지불금</v>
      </c>
      <c r="M273" s="113"/>
      <c r="N273" s="985"/>
      <c r="O273" s="986"/>
      <c r="P273" s="985"/>
      <c r="Q273" s="986"/>
      <c r="R273" s="985"/>
      <c r="S273" s="986"/>
      <c r="T273" s="986"/>
      <c r="U273" s="986"/>
      <c r="V273" s="987">
        <f>SUM(V274:V275)</f>
        <v>0</v>
      </c>
      <c r="W273" s="987">
        <f>SUM(W274:W275)</f>
        <v>0</v>
      </c>
      <c r="X273" s="987">
        <f>SUM(X274:X275)</f>
        <v>0</v>
      </c>
      <c r="Y273" s="987">
        <f>SUM(V273:X273)</f>
        <v>0</v>
      </c>
      <c r="Z273" s="282">
        <f>IFERROR(VLOOKUP($L273,데이터입력!$R$67:$U$99,3,FALSE),0)</f>
        <v>0</v>
      </c>
      <c r="AA273" s="155"/>
      <c r="AB273" s="151"/>
    </row>
    <row r="274" spans="1:28">
      <c r="A274" s="118"/>
      <c r="B274" s="118"/>
      <c r="C274" s="118"/>
      <c r="D274" s="118"/>
      <c r="E274" s="118"/>
      <c r="F274" s="988"/>
      <c r="G274" s="989"/>
      <c r="H274" s="990"/>
      <c r="I274" s="990"/>
      <c r="J274" s="990"/>
      <c r="K274" s="992"/>
      <c r="L274" s="127" t="str">
        <f>"  - "&amp;L273</f>
        <v xml:space="preserve">  - 이자지불금</v>
      </c>
      <c r="M274" s="263"/>
      <c r="N274" s="961">
        <f>IF(R274="",Z273,ROUNDUP((Z273-V275)/R274,-3))</f>
        <v>0</v>
      </c>
      <c r="O274" s="121" t="str">
        <f>IF(P274="","","x ")</f>
        <v/>
      </c>
      <c r="P274" s="963"/>
      <c r="Q274" s="962" t="str">
        <f>IF(R274="","","x ")</f>
        <v xml:space="preserve">x </v>
      </c>
      <c r="R274" s="964">
        <f>IF(VLOOKUP($L273,데이터입력!$R$67:$U$99,4,FALSE)="",데이터입력!$Y$8,VLOOKUP($L273,데이터입력!$R$67:$U$99,4,FALSE))</f>
        <v>12</v>
      </c>
      <c r="S274" s="962"/>
      <c r="T274" s="962" t="s">
        <v>408</v>
      </c>
      <c r="U274" s="962"/>
      <c r="V274" s="965">
        <f>IF(R274="",N274,N274*R274)</f>
        <v>0</v>
      </c>
      <c r="W274" s="967"/>
      <c r="X274" s="967"/>
      <c r="Y274" s="967"/>
      <c r="Z274" s="156"/>
      <c r="AA274" s="156"/>
      <c r="AB274" s="101"/>
    </row>
    <row r="275" spans="1:28">
      <c r="A275" s="118"/>
      <c r="B275" s="118"/>
      <c r="C275" s="134"/>
      <c r="D275" s="134"/>
      <c r="E275" s="134"/>
      <c r="F275" s="1025"/>
      <c r="G275" s="1026"/>
      <c r="H275" s="1028"/>
      <c r="I275" s="1028"/>
      <c r="J275" s="1028"/>
      <c r="K275" s="1029"/>
      <c r="L275" s="130" t="s">
        <v>444</v>
      </c>
      <c r="M275" s="137"/>
      <c r="N275" s="1030">
        <v>0</v>
      </c>
      <c r="O275" s="121" t="str">
        <f>IF(P275="","","x ")</f>
        <v/>
      </c>
      <c r="P275" s="1032"/>
      <c r="Q275" s="1031" t="s">
        <v>407</v>
      </c>
      <c r="R275" s="1033">
        <f>IF(VLOOKUP($L273,데이터입력!$R$67:$U$99,4,FALSE)="",데이터입력!$Y$8,VLOOKUP($L273,데이터입력!$R$67:$U$99,4,FALSE))</f>
        <v>12</v>
      </c>
      <c r="S275" s="1031"/>
      <c r="T275" s="1031" t="s">
        <v>408</v>
      </c>
      <c r="U275" s="1031"/>
      <c r="V275" s="1034">
        <f>IF(P275=0,N275*R275,N275*P275*R275)</f>
        <v>0</v>
      </c>
      <c r="W275" s="974"/>
      <c r="X275" s="974"/>
      <c r="Y275" s="974"/>
      <c r="Z275" s="156"/>
      <c r="AA275" s="156"/>
      <c r="AB275" s="101"/>
    </row>
    <row r="276" spans="1:28">
      <c r="A276" s="324" t="s">
        <v>71</v>
      </c>
      <c r="B276" s="323" t="s">
        <v>71</v>
      </c>
      <c r="C276" s="316"/>
      <c r="D276" s="317"/>
      <c r="E276" s="317"/>
      <c r="F276" s="950"/>
      <c r="G276" s="950"/>
      <c r="H276" s="305">
        <f>SUM(H277:H288)</f>
        <v>6142</v>
      </c>
      <c r="I276" s="305">
        <f>SUM(I277:I288)</f>
        <v>3913</v>
      </c>
      <c r="J276" s="305">
        <f>SUM(J277:J288)</f>
        <v>-2229</v>
      </c>
      <c r="K276" s="305"/>
      <c r="L276" s="318"/>
      <c r="M276" s="318"/>
      <c r="N276" s="318"/>
      <c r="O276" s="318"/>
      <c r="P276" s="318"/>
      <c r="Q276" s="318"/>
      <c r="R276" s="318"/>
      <c r="S276" s="318"/>
      <c r="T276" s="318"/>
      <c r="U276" s="318"/>
      <c r="V276" s="307">
        <f>SUM(V277)</f>
        <v>3912994</v>
      </c>
      <c r="W276" s="307">
        <f t="shared" ref="W276:X276" si="119">SUM(W277)</f>
        <v>0</v>
      </c>
      <c r="X276" s="307">
        <f t="shared" si="119"/>
        <v>0</v>
      </c>
      <c r="Y276" s="307">
        <f t="shared" ref="Y276" si="120">SUM(V276:X276)</f>
        <v>3912994</v>
      </c>
      <c r="Z276" s="156"/>
      <c r="AA276" s="156"/>
      <c r="AB276" s="101"/>
    </row>
    <row r="277" spans="1:28">
      <c r="A277" s="108"/>
      <c r="B277" s="108"/>
      <c r="C277" s="108" t="s">
        <v>71</v>
      </c>
      <c r="D277" s="108" t="s">
        <v>71</v>
      </c>
      <c r="E277" s="108">
        <v>507010101</v>
      </c>
      <c r="F277" s="981" t="s">
        <v>83</v>
      </c>
      <c r="G277" s="982" t="s">
        <v>6</v>
      </c>
      <c r="H277" s="983">
        <f>IFERROR(IF(VLOOKUP(K277,데이터입력!$C$42:$L$137,5,FALSE)&lt;1000,ROUNDUP(VLOOKUP(K277,데이터입력!$C$42:$L$137,5,FALSE)*1/1000,0),ROUND(VLOOKUP(K277,데이터입력!$C$42:$L$137,5,FALSE)*1/1000,0)),0)</f>
        <v>6142</v>
      </c>
      <c r="I277" s="983">
        <f>IFERROR(IF(F277="06",IF(V277&lt;1000,ROUNDUP((V277)*1/1000,0),ROUND((V277)*1/1000,0)),IF(F277="07",IF(W277&lt;1000,ROUNDUP((W277)*1/1000,0),ROUND((W277)*1/1000,0)),IF(F277="05",IF(X277&lt;1000,ROUNDUP((X277)*1/1000,0),ROUND((X277)*1/1000,0))))),0)</f>
        <v>3913</v>
      </c>
      <c r="J277" s="983">
        <f>I277-H277</f>
        <v>-2229</v>
      </c>
      <c r="K277" s="984" t="str">
        <f>L277&amp;"("&amp;G277&amp;")"</f>
        <v>잡지출(수익사업)</v>
      </c>
      <c r="L277" s="112" t="str">
        <f>D277</f>
        <v>잡지출</v>
      </c>
      <c r="M277" s="113"/>
      <c r="N277" s="985"/>
      <c r="O277" s="986"/>
      <c r="P277" s="985"/>
      <c r="Q277" s="986"/>
      <c r="R277" s="985"/>
      <c r="S277" s="986"/>
      <c r="T277" s="986"/>
      <c r="U277" s="986"/>
      <c r="V277" s="987">
        <f>SUM(V278:V288)</f>
        <v>3912994</v>
      </c>
      <c r="W277" s="987">
        <f>SUM(W278:W288)</f>
        <v>0</v>
      </c>
      <c r="X277" s="987">
        <f>SUM(X278:X288)</f>
        <v>0</v>
      </c>
      <c r="Y277" s="987">
        <f>SUM(V277:X277)</f>
        <v>3912994</v>
      </c>
      <c r="Z277" s="282">
        <f>IFERROR(VLOOKUP($L277,데이터입력!$R$67:$U$99,3,FALSE),0)</f>
        <v>3912994</v>
      </c>
      <c r="AA277" s="282">
        <f>IFERROR(VLOOKUP($L288,데이터입력!$R$100:$U$129,3,FALSE),0)</f>
        <v>0</v>
      </c>
      <c r="AB277" s="282"/>
    </row>
    <row r="278" spans="1:28">
      <c r="A278" s="118"/>
      <c r="B278" s="118"/>
      <c r="C278" s="118"/>
      <c r="D278" s="118"/>
      <c r="E278" s="118"/>
      <c r="F278" s="988"/>
      <c r="G278" s="989"/>
      <c r="H278" s="990"/>
      <c r="I278" s="990"/>
      <c r="J278" s="990"/>
      <c r="K278" s="992"/>
      <c r="L278" s="127" t="str">
        <f>"  - "&amp;데이터입력!AD62</f>
        <v xml:space="preserve">  - 잡지출</v>
      </c>
      <c r="M278" s="263"/>
      <c r="N278" s="961"/>
      <c r="O278" s="962"/>
      <c r="P278" s="963"/>
      <c r="Q278" s="962"/>
      <c r="R278" s="964"/>
      <c r="S278" s="962"/>
      <c r="T278" s="962" t="s">
        <v>408</v>
      </c>
      <c r="U278" s="962"/>
      <c r="V278" s="965">
        <f>데이터입력!AE62</f>
        <v>1212994</v>
      </c>
      <c r="W278" s="967"/>
      <c r="X278" s="967"/>
      <c r="Y278" s="967"/>
      <c r="Z278" s="156"/>
      <c r="AA278" s="156"/>
      <c r="AB278" s="101"/>
    </row>
    <row r="279" spans="1:28">
      <c r="A279" s="118"/>
      <c r="B279" s="118"/>
      <c r="C279" s="118"/>
      <c r="D279" s="118"/>
      <c r="E279" s="118"/>
      <c r="F279" s="988"/>
      <c r="G279" s="989"/>
      <c r="H279" s="990"/>
      <c r="I279" s="990"/>
      <c r="J279" s="990"/>
      <c r="K279" s="992"/>
      <c r="L279" s="127" t="str">
        <f>"  - "&amp;데이터입력!AD63</f>
        <v xml:space="preserve">  - 각종근로지원금</v>
      </c>
      <c r="M279" s="263"/>
      <c r="N279" s="961">
        <f>데이터입력!AE63</f>
        <v>150000</v>
      </c>
      <c r="O279" s="121" t="str">
        <f t="shared" ref="O279:O288" si="121">IF(P279="","","x ")</f>
        <v/>
      </c>
      <c r="P279" s="963"/>
      <c r="Q279" s="962" t="str">
        <f t="shared" ref="Q279:Q287" si="122">IF(R279="","","x ")</f>
        <v xml:space="preserve">x </v>
      </c>
      <c r="R279" s="964">
        <f>IF(데이터입력!AF63="",데이터입력!$Y$8,데이터입력!AF63)</f>
        <v>12</v>
      </c>
      <c r="S279" s="962"/>
      <c r="T279" s="962" t="s">
        <v>408</v>
      </c>
      <c r="U279" s="962"/>
      <c r="V279" s="965">
        <f t="shared" ref="V279:V287" si="123">IF(P279="",N279*R279,N279*P279*R279)</f>
        <v>1800000</v>
      </c>
      <c r="W279" s="967"/>
      <c r="X279" s="967"/>
      <c r="Y279" s="967"/>
      <c r="Z279" s="156"/>
      <c r="AA279" s="156"/>
      <c r="AB279" s="101"/>
    </row>
    <row r="280" spans="1:28">
      <c r="A280" s="118"/>
      <c r="B280" s="118"/>
      <c r="C280" s="118"/>
      <c r="D280" s="118"/>
      <c r="E280" s="118"/>
      <c r="F280" s="988"/>
      <c r="G280" s="989"/>
      <c r="H280" s="990"/>
      <c r="I280" s="990"/>
      <c r="J280" s="990"/>
      <c r="K280" s="992"/>
      <c r="L280" s="127" t="str">
        <f>"  - "&amp;데이터입력!AD64</f>
        <v xml:space="preserve">  - 의료비대납외</v>
      </c>
      <c r="M280" s="263"/>
      <c r="N280" s="961">
        <f>데이터입력!AE64</f>
        <v>50000</v>
      </c>
      <c r="O280" s="121" t="str">
        <f t="shared" si="121"/>
        <v/>
      </c>
      <c r="P280" s="963"/>
      <c r="Q280" s="962" t="str">
        <f t="shared" si="122"/>
        <v xml:space="preserve">x </v>
      </c>
      <c r="R280" s="964">
        <f>IF(데이터입력!AF64="",데이터입력!$Y$8,데이터입력!AF64)</f>
        <v>12</v>
      </c>
      <c r="S280" s="962"/>
      <c r="T280" s="962" t="s">
        <v>408</v>
      </c>
      <c r="U280" s="962"/>
      <c r="V280" s="965">
        <f t="shared" si="123"/>
        <v>600000</v>
      </c>
      <c r="W280" s="967"/>
      <c r="X280" s="967"/>
      <c r="Y280" s="967"/>
      <c r="Z280" s="156"/>
      <c r="AA280" s="156"/>
      <c r="AB280" s="101"/>
    </row>
    <row r="281" spans="1:28">
      <c r="A281" s="118"/>
      <c r="B281" s="118"/>
      <c r="C281" s="118"/>
      <c r="D281" s="118"/>
      <c r="E281" s="118"/>
      <c r="F281" s="988"/>
      <c r="G281" s="989"/>
      <c r="H281" s="990"/>
      <c r="I281" s="990"/>
      <c r="J281" s="990"/>
      <c r="K281" s="992"/>
      <c r="L281" s="127" t="str">
        <f>"  - "&amp;데이터입력!AD65</f>
        <v xml:space="preserve">  - 과태료외</v>
      </c>
      <c r="M281" s="263"/>
      <c r="N281" s="961">
        <f>데이터입력!AE65</f>
        <v>50000</v>
      </c>
      <c r="O281" s="121" t="str">
        <f t="shared" si="121"/>
        <v/>
      </c>
      <c r="P281" s="963"/>
      <c r="Q281" s="962" t="str">
        <f t="shared" si="122"/>
        <v xml:space="preserve">x </v>
      </c>
      <c r="R281" s="964">
        <f>IF(데이터입력!AF65="",데이터입력!$Y$8,데이터입력!AF65)</f>
        <v>6</v>
      </c>
      <c r="S281" s="962"/>
      <c r="T281" s="962" t="s">
        <v>408</v>
      </c>
      <c r="U281" s="962"/>
      <c r="V281" s="965">
        <f t="shared" si="123"/>
        <v>300000</v>
      </c>
      <c r="W281" s="967"/>
      <c r="X281" s="967"/>
      <c r="Y281" s="967"/>
      <c r="Z281" s="156"/>
      <c r="AA281" s="156"/>
      <c r="AB281" s="101"/>
    </row>
    <row r="282" spans="1:28">
      <c r="A282" s="118"/>
      <c r="B282" s="118"/>
      <c r="C282" s="118"/>
      <c r="D282" s="118"/>
      <c r="E282" s="118"/>
      <c r="F282" s="988"/>
      <c r="G282" s="989"/>
      <c r="H282" s="990"/>
      <c r="I282" s="990"/>
      <c r="J282" s="990"/>
      <c r="K282" s="992"/>
      <c r="L282" s="127" t="str">
        <f>"  - "&amp;데이터입력!AD66</f>
        <v xml:space="preserve">  - </v>
      </c>
      <c r="M282" s="263"/>
      <c r="N282" s="961">
        <f>데이터입력!AE66</f>
        <v>0</v>
      </c>
      <c r="O282" s="121" t="str">
        <f t="shared" si="121"/>
        <v/>
      </c>
      <c r="P282" s="963"/>
      <c r="Q282" s="962" t="str">
        <f t="shared" si="122"/>
        <v xml:space="preserve">x </v>
      </c>
      <c r="R282" s="964">
        <f>IF(데이터입력!AF66="",데이터입력!$Y$8,데이터입력!AF66)</f>
        <v>12</v>
      </c>
      <c r="S282" s="962"/>
      <c r="T282" s="962" t="s">
        <v>408</v>
      </c>
      <c r="U282" s="962"/>
      <c r="V282" s="965">
        <f t="shared" si="123"/>
        <v>0</v>
      </c>
      <c r="W282" s="967"/>
      <c r="X282" s="967"/>
      <c r="Y282" s="967"/>
      <c r="Z282" s="156"/>
      <c r="AA282" s="156"/>
      <c r="AB282" s="101"/>
    </row>
    <row r="283" spans="1:28" hidden="1">
      <c r="A283" s="118"/>
      <c r="B283" s="118"/>
      <c r="C283" s="118"/>
      <c r="D283" s="118"/>
      <c r="E283" s="118"/>
      <c r="F283" s="988"/>
      <c r="G283" s="989"/>
      <c r="H283" s="990"/>
      <c r="I283" s="990"/>
      <c r="J283" s="990"/>
      <c r="K283" s="992"/>
      <c r="L283" s="127" t="str">
        <f>"  - "&amp;데이터입력!AD67</f>
        <v xml:space="preserve">  - </v>
      </c>
      <c r="M283" s="263"/>
      <c r="N283" s="961">
        <f>데이터입력!AE67</f>
        <v>0</v>
      </c>
      <c r="O283" s="121" t="str">
        <f t="shared" si="121"/>
        <v/>
      </c>
      <c r="P283" s="963"/>
      <c r="Q283" s="962" t="str">
        <f t="shared" si="122"/>
        <v xml:space="preserve">x </v>
      </c>
      <c r="R283" s="964">
        <f>IF(데이터입력!AF67="",데이터입력!$Y$8,데이터입력!AF67)</f>
        <v>12</v>
      </c>
      <c r="S283" s="962"/>
      <c r="T283" s="962" t="s">
        <v>408</v>
      </c>
      <c r="U283" s="962"/>
      <c r="V283" s="965">
        <f t="shared" si="123"/>
        <v>0</v>
      </c>
      <c r="W283" s="967"/>
      <c r="X283" s="967"/>
      <c r="Y283" s="967"/>
      <c r="Z283" s="156"/>
      <c r="AA283" s="156"/>
      <c r="AB283" s="101"/>
    </row>
    <row r="284" spans="1:28" hidden="1">
      <c r="A284" s="118"/>
      <c r="B284" s="118"/>
      <c r="C284" s="118"/>
      <c r="D284" s="118"/>
      <c r="E284" s="118"/>
      <c r="F284" s="988"/>
      <c r="G284" s="989"/>
      <c r="H284" s="990"/>
      <c r="I284" s="990"/>
      <c r="J284" s="990"/>
      <c r="K284" s="992"/>
      <c r="L284" s="127" t="str">
        <f>"  - "&amp;데이터입력!AD68</f>
        <v xml:space="preserve">  - </v>
      </c>
      <c r="M284" s="263"/>
      <c r="N284" s="961">
        <f>데이터입력!AE68</f>
        <v>0</v>
      </c>
      <c r="O284" s="121" t="str">
        <f t="shared" si="121"/>
        <v/>
      </c>
      <c r="P284" s="963"/>
      <c r="Q284" s="962" t="str">
        <f t="shared" si="122"/>
        <v xml:space="preserve">x </v>
      </c>
      <c r="R284" s="964">
        <f>IF(데이터입력!AF68="",데이터입력!$Y$8,데이터입력!AF68)</f>
        <v>12</v>
      </c>
      <c r="S284" s="962"/>
      <c r="T284" s="962" t="s">
        <v>408</v>
      </c>
      <c r="U284" s="962"/>
      <c r="V284" s="965">
        <f t="shared" si="123"/>
        <v>0</v>
      </c>
      <c r="W284" s="967"/>
      <c r="X284" s="967"/>
      <c r="Y284" s="967"/>
      <c r="Z284" s="156"/>
      <c r="AA284" s="156"/>
      <c r="AB284" s="101"/>
    </row>
    <row r="285" spans="1:28" hidden="1">
      <c r="A285" s="118"/>
      <c r="B285" s="118"/>
      <c r="C285" s="118"/>
      <c r="D285" s="118"/>
      <c r="E285" s="118"/>
      <c r="F285" s="988"/>
      <c r="G285" s="989"/>
      <c r="H285" s="990"/>
      <c r="I285" s="990"/>
      <c r="J285" s="990"/>
      <c r="K285" s="992"/>
      <c r="L285" s="127" t="str">
        <f>"  - "&amp;데이터입력!AD69</f>
        <v xml:space="preserve">  - </v>
      </c>
      <c r="M285" s="263"/>
      <c r="N285" s="961">
        <f>데이터입력!AE69</f>
        <v>0</v>
      </c>
      <c r="O285" s="121" t="str">
        <f t="shared" si="121"/>
        <v/>
      </c>
      <c r="P285" s="963"/>
      <c r="Q285" s="962" t="str">
        <f t="shared" si="122"/>
        <v xml:space="preserve">x </v>
      </c>
      <c r="R285" s="964">
        <f>IF(데이터입력!AF69="",데이터입력!$Y$8,데이터입력!AF69)</f>
        <v>12</v>
      </c>
      <c r="S285" s="962"/>
      <c r="T285" s="962" t="s">
        <v>408</v>
      </c>
      <c r="U285" s="962"/>
      <c r="V285" s="965">
        <f t="shared" si="123"/>
        <v>0</v>
      </c>
      <c r="W285" s="967"/>
      <c r="X285" s="967"/>
      <c r="Y285" s="967"/>
      <c r="Z285" s="156"/>
      <c r="AA285" s="156"/>
      <c r="AB285" s="101"/>
    </row>
    <row r="286" spans="1:28" hidden="1">
      <c r="A286" s="118"/>
      <c r="B286" s="118"/>
      <c r="C286" s="118"/>
      <c r="D286" s="118"/>
      <c r="E286" s="118"/>
      <c r="F286" s="988"/>
      <c r="G286" s="989"/>
      <c r="H286" s="990"/>
      <c r="I286" s="990"/>
      <c r="J286" s="990"/>
      <c r="K286" s="992"/>
      <c r="L286" s="127" t="str">
        <f>"  - "&amp;데이터입력!AD70</f>
        <v xml:space="preserve">  - </v>
      </c>
      <c r="M286" s="263"/>
      <c r="N286" s="961">
        <f>데이터입력!AE70</f>
        <v>0</v>
      </c>
      <c r="O286" s="121" t="str">
        <f t="shared" si="121"/>
        <v/>
      </c>
      <c r="P286" s="963"/>
      <c r="Q286" s="962" t="str">
        <f t="shared" si="122"/>
        <v xml:space="preserve">x </v>
      </c>
      <c r="R286" s="964">
        <f>IF(데이터입력!AF70="",데이터입력!$Y$8,데이터입력!AF70)</f>
        <v>12</v>
      </c>
      <c r="S286" s="962"/>
      <c r="T286" s="962" t="s">
        <v>408</v>
      </c>
      <c r="U286" s="962"/>
      <c r="V286" s="965">
        <f t="shared" si="123"/>
        <v>0</v>
      </c>
      <c r="W286" s="967"/>
      <c r="X286" s="967"/>
      <c r="Y286" s="967"/>
      <c r="Z286" s="156"/>
      <c r="AA286" s="156"/>
      <c r="AB286" s="101"/>
    </row>
    <row r="287" spans="1:28" hidden="1">
      <c r="A287" s="118"/>
      <c r="B287" s="118"/>
      <c r="C287" s="118"/>
      <c r="D287" s="118"/>
      <c r="E287" s="118"/>
      <c r="F287" s="988"/>
      <c r="G287" s="989"/>
      <c r="H287" s="990"/>
      <c r="I287" s="990"/>
      <c r="J287" s="990"/>
      <c r="K287" s="992"/>
      <c r="L287" s="127" t="str">
        <f>"  - "&amp;데이터입력!AD71</f>
        <v xml:space="preserve">  - </v>
      </c>
      <c r="M287" s="263"/>
      <c r="N287" s="961">
        <f>데이터입력!AE71</f>
        <v>0</v>
      </c>
      <c r="O287" s="121" t="str">
        <f t="shared" si="121"/>
        <v/>
      </c>
      <c r="P287" s="963"/>
      <c r="Q287" s="962" t="str">
        <f t="shared" si="122"/>
        <v xml:space="preserve">x </v>
      </c>
      <c r="R287" s="964">
        <f>IF(데이터입력!AF71="",데이터입력!$Y$8,데이터입력!AF71)</f>
        <v>12</v>
      </c>
      <c r="S287" s="962"/>
      <c r="T287" s="962" t="s">
        <v>408</v>
      </c>
      <c r="U287" s="962"/>
      <c r="V287" s="965">
        <f t="shared" si="123"/>
        <v>0</v>
      </c>
      <c r="W287" s="967"/>
      <c r="X287" s="967"/>
      <c r="Y287" s="967"/>
      <c r="Z287" s="156"/>
      <c r="AA287" s="156"/>
      <c r="AB287" s="101"/>
    </row>
    <row r="288" spans="1:28">
      <c r="A288" s="118"/>
      <c r="B288" s="118"/>
      <c r="C288" s="134"/>
      <c r="D288" s="134"/>
      <c r="E288" s="134"/>
      <c r="F288" s="1004" t="s">
        <v>646</v>
      </c>
      <c r="G288" s="1005" t="s">
        <v>384</v>
      </c>
      <c r="H288" s="1006">
        <f>IFERROR(IF(VLOOKUP(K288,데이터입력!$C$42:$L$137,5,FALSE)&lt;1000,ROUNDUP(VLOOKUP(K288,데이터입력!$C$42:$L$137,5,FALSE)*1/1000,0),ROUND(VLOOKUP(K288,데이터입력!$C$42:$L$137,5,FALSE)*1/1000,0)),0)</f>
        <v>0</v>
      </c>
      <c r="I288" s="1006">
        <f>IFERROR(IF(F288="06",IF(V288&lt;1000,ROUNDUP((V288)*1/1000,0),ROUND((V288)*1/1000,0)),IF(F288="07",IF(W288&lt;1000,ROUNDUP((W288)*1/1000,0),ROUND((W288)*1/1000,0)),IF(F288="05",IF(X288&lt;1000,ROUNDUP((X288)*1/1000,0),ROUND((X288)*1/1000,0))))),0)</f>
        <v>0</v>
      </c>
      <c r="J288" s="1007">
        <f>I288-H288</f>
        <v>0</v>
      </c>
      <c r="K288" s="286" t="str">
        <f t="shared" ref="K288" si="124">L288&amp;"("&amp;G288&amp;")"</f>
        <v>잡지출(보조금)</v>
      </c>
      <c r="L288" s="296" t="str">
        <f>L277</f>
        <v>잡지출</v>
      </c>
      <c r="M288" s="297"/>
      <c r="N288" s="1008">
        <f>IF(R288="",AA277,ROUNDUP(AA277/R288,-3))</f>
        <v>0</v>
      </c>
      <c r="O288" s="1309" t="str">
        <f t="shared" si="121"/>
        <v/>
      </c>
      <c r="P288" s="1010"/>
      <c r="Q288" s="1009" t="s">
        <v>407</v>
      </c>
      <c r="R288" s="1011">
        <f>IF(VLOOKUP($L288,데이터입력!$R$100:$U$129,4,FALSE)="",데이터입력!$Y$8,VLOOKUP($L288,데이터입력!$R$100:$U$129,4,FALSE))</f>
        <v>12</v>
      </c>
      <c r="S288" s="1009"/>
      <c r="T288" s="1009" t="s">
        <v>408</v>
      </c>
      <c r="U288" s="1009"/>
      <c r="V288" s="1014"/>
      <c r="W288" s="1013">
        <f>IF(P288="",N288*R288,N288*P288*R288)</f>
        <v>0</v>
      </c>
      <c r="X288" s="1014"/>
      <c r="Y288" s="1013"/>
      <c r="Z288" s="101"/>
      <c r="AA288" s="101"/>
      <c r="AB288" s="101"/>
    </row>
    <row r="289" spans="1:28">
      <c r="A289" s="324" t="s">
        <v>335</v>
      </c>
      <c r="B289" s="323" t="s">
        <v>335</v>
      </c>
      <c r="C289" s="316"/>
      <c r="D289" s="317"/>
      <c r="E289" s="317"/>
      <c r="F289" s="950"/>
      <c r="G289" s="950"/>
      <c r="H289" s="305">
        <f>SUM(H290:H296)</f>
        <v>1000</v>
      </c>
      <c r="I289" s="305">
        <f t="shared" ref="I289:J289" si="125">SUM(I290:I296)</f>
        <v>0</v>
      </c>
      <c r="J289" s="305">
        <f t="shared" si="125"/>
        <v>-1000</v>
      </c>
      <c r="K289" s="305"/>
      <c r="L289" s="318"/>
      <c r="M289" s="318"/>
      <c r="N289" s="318"/>
      <c r="O289" s="318"/>
      <c r="P289" s="318"/>
      <c r="Q289" s="318"/>
      <c r="R289" s="318"/>
      <c r="S289" s="318"/>
      <c r="T289" s="318"/>
      <c r="U289" s="318"/>
      <c r="V289" s="307">
        <f>SUM(V290,V293)</f>
        <v>0</v>
      </c>
      <c r="W289" s="307">
        <f>SUM(W290,W293)</f>
        <v>0</v>
      </c>
      <c r="X289" s="307">
        <f>SUM(X290,X293)</f>
        <v>0</v>
      </c>
      <c r="Y289" s="307">
        <f t="shared" ref="Y289" si="126">SUM(V289:X289)</f>
        <v>0</v>
      </c>
      <c r="Z289" s="156"/>
      <c r="AA289" s="156"/>
      <c r="AB289" s="101"/>
    </row>
    <row r="290" spans="1:28">
      <c r="A290" s="108"/>
      <c r="B290" s="108"/>
      <c r="C290" s="108" t="s">
        <v>72</v>
      </c>
      <c r="D290" s="108" t="s">
        <v>72</v>
      </c>
      <c r="E290" s="108">
        <v>508010101</v>
      </c>
      <c r="F290" s="981" t="s">
        <v>83</v>
      </c>
      <c r="G290" s="982" t="s">
        <v>6</v>
      </c>
      <c r="H290" s="983">
        <f>IFERROR(IF(VLOOKUP(K290,데이터입력!$C$42:$L$137,5,FALSE)&lt;1000,ROUNDUP(VLOOKUP(K290,데이터입력!$C$42:$L$137,5,FALSE)*1/1000,0),ROUND(VLOOKUP(K290,데이터입력!$C$42:$L$137,5,FALSE)*1/1000,0)),0)</f>
        <v>1000</v>
      </c>
      <c r="I290" s="983">
        <f>IFERROR(IF(F290="06",IF(V290&lt;1000,ROUNDUP((V290)*1/1000,0),ROUND((V290)*1/1000,0)),IF(F290="07",IF(W290&lt;1000,ROUNDUP((W290)*1/1000,0),ROUND((W290)*1/1000,0)),IF(F290="05",IF(X290&lt;1000,ROUNDUP((X290)*1/1000,0),ROUND((X290)*1/1000,0))))),0)</f>
        <v>0</v>
      </c>
      <c r="J290" s="983">
        <f>I290-H290</f>
        <v>-1000</v>
      </c>
      <c r="K290" s="984" t="str">
        <f>L290&amp;"("&amp;G290&amp;")"</f>
        <v>예비비(수익사업)</v>
      </c>
      <c r="L290" s="112" t="str">
        <f>D290</f>
        <v>예비비</v>
      </c>
      <c r="M290" s="113"/>
      <c r="N290" s="985"/>
      <c r="O290" s="986"/>
      <c r="P290" s="985"/>
      <c r="Q290" s="986"/>
      <c r="R290" s="985"/>
      <c r="S290" s="986"/>
      <c r="T290" s="986"/>
      <c r="U290" s="986"/>
      <c r="V290" s="987">
        <f>SUM(V291:V292)</f>
        <v>0</v>
      </c>
      <c r="W290" s="987">
        <f>SUM(W291:W292)</f>
        <v>0</v>
      </c>
      <c r="X290" s="987">
        <f>SUM(X291:X292)</f>
        <v>0</v>
      </c>
      <c r="Y290" s="987">
        <f>SUM(V290:X290)</f>
        <v>0</v>
      </c>
      <c r="Z290" s="282">
        <f>IFERROR(VLOOKUP($L290,데이터입력!$R$67:$U$99,3,FALSE),0)</f>
        <v>0</v>
      </c>
      <c r="AA290" s="155"/>
      <c r="AB290" s="151"/>
    </row>
    <row r="291" spans="1:28">
      <c r="A291" s="118"/>
      <c r="B291" s="118"/>
      <c r="C291" s="118"/>
      <c r="D291" s="118"/>
      <c r="E291" s="118"/>
      <c r="F291" s="988"/>
      <c r="G291" s="989"/>
      <c r="H291" s="990"/>
      <c r="I291" s="990"/>
      <c r="J291" s="990"/>
      <c r="K291" s="992"/>
      <c r="L291" s="127" t="str">
        <f>"  - "&amp;L290</f>
        <v xml:space="preserve">  - 예비비</v>
      </c>
      <c r="M291" s="263"/>
      <c r="N291" s="961"/>
      <c r="O291" s="962"/>
      <c r="P291" s="963"/>
      <c r="Q291" s="962"/>
      <c r="R291" s="964"/>
      <c r="S291" s="962"/>
      <c r="T291" s="962" t="s">
        <v>408</v>
      </c>
      <c r="U291" s="962"/>
      <c r="V291" s="965">
        <f>Z290-V292</f>
        <v>0</v>
      </c>
      <c r="W291" s="967"/>
      <c r="X291" s="967"/>
      <c r="Y291" s="967"/>
      <c r="Z291" s="156"/>
      <c r="AA291" s="156"/>
      <c r="AB291" s="101"/>
    </row>
    <row r="292" spans="1:28">
      <c r="A292" s="118"/>
      <c r="B292" s="118"/>
      <c r="C292" s="118"/>
      <c r="D292" s="118"/>
      <c r="E292" s="118"/>
      <c r="F292" s="1025"/>
      <c r="G292" s="1026"/>
      <c r="H292" s="1028"/>
      <c r="I292" s="1028"/>
      <c r="J292" s="1028"/>
      <c r="K292" s="1029"/>
      <c r="L292" s="130" t="s">
        <v>444</v>
      </c>
      <c r="M292" s="137"/>
      <c r="N292" s="1030">
        <v>0</v>
      </c>
      <c r="O292" s="121" t="str">
        <f>IF(P292="","","x ")</f>
        <v/>
      </c>
      <c r="P292" s="1032"/>
      <c r="Q292" s="1031" t="s">
        <v>407</v>
      </c>
      <c r="R292" s="1033">
        <f>IF(VLOOKUP($L290,데이터입력!$R$67:$U$99,4,FALSE)="",데이터입력!$Y$8,VLOOKUP($L290,데이터입력!$R$67:$U$99,4,FALSE))</f>
        <v>12</v>
      </c>
      <c r="S292" s="1031"/>
      <c r="T292" s="1031" t="s">
        <v>408</v>
      </c>
      <c r="U292" s="1031"/>
      <c r="V292" s="1034">
        <f>IF(P292=0,N292*R292,N292*P292*R292)</f>
        <v>0</v>
      </c>
      <c r="W292" s="974"/>
      <c r="X292" s="974"/>
      <c r="Y292" s="974"/>
      <c r="Z292" s="156"/>
      <c r="AA292" s="156"/>
      <c r="AB292" s="101"/>
    </row>
    <row r="293" spans="1:28">
      <c r="A293" s="118"/>
      <c r="B293" s="118"/>
      <c r="C293" s="108" t="s">
        <v>73</v>
      </c>
      <c r="D293" s="108" t="s">
        <v>73</v>
      </c>
      <c r="E293" s="108">
        <v>508010201</v>
      </c>
      <c r="F293" s="981" t="s">
        <v>646</v>
      </c>
      <c r="G293" s="982" t="s">
        <v>384</v>
      </c>
      <c r="H293" s="983">
        <f>IFERROR(IF(VLOOKUP(K293,데이터입력!$C$42:$L$137,5,FALSE)&lt;1000,ROUNDUP(VLOOKUP(K293,데이터입력!$C$42:$L$137,5,FALSE)*1/1000,0),ROUND(VLOOKUP(K293,데이터입력!$C$42:$L$137,5,FALSE)*1/1000,0)),0)</f>
        <v>0</v>
      </c>
      <c r="I293" s="983">
        <f>IFERROR(IF(F293="06",IF(V293&lt;1000,ROUNDUP((V293)*1/1000,0),ROUND((V293)*1/1000,0)),IF(F293="07",IF(W293&lt;1000,ROUNDUP((W293)*1/1000,0),ROUND((W293)*1/1000,0)),IF(F293="05",IF(X293&lt;1000,ROUNDUP((X293)*1/1000,0),ROUND((X293)*1/1000,0))))),0)</f>
        <v>0</v>
      </c>
      <c r="J293" s="983">
        <f>I293-H293</f>
        <v>0</v>
      </c>
      <c r="K293" s="984" t="str">
        <f>L293&amp;"("&amp;G293&amp;")"</f>
        <v>반환금(보조금)</v>
      </c>
      <c r="L293" s="112" t="str">
        <f>D293</f>
        <v>반환금</v>
      </c>
      <c r="M293" s="113"/>
      <c r="N293" s="985"/>
      <c r="O293" s="986"/>
      <c r="P293" s="985"/>
      <c r="Q293" s="986"/>
      <c r="R293" s="985"/>
      <c r="S293" s="986"/>
      <c r="T293" s="986"/>
      <c r="U293" s="986"/>
      <c r="V293" s="987">
        <f>SUM(V294:V296)</f>
        <v>0</v>
      </c>
      <c r="W293" s="987">
        <f>SUM(W294:W296)</f>
        <v>0</v>
      </c>
      <c r="X293" s="987">
        <f>SUM(X294:X296)</f>
        <v>0</v>
      </c>
      <c r="Y293" s="987">
        <f>SUM(V293:X293)</f>
        <v>0</v>
      </c>
      <c r="Z293" s="282">
        <f>IFERROR(VLOOKUP($L296,데이터입력!$R$67:$U$99,3,FALSE),0)</f>
        <v>0</v>
      </c>
      <c r="AA293" s="282">
        <f>IFERROR(VLOOKUP($L293,데이터입력!$R$100:$U$129,3,FALSE),0)</f>
        <v>0</v>
      </c>
      <c r="AB293" s="282"/>
    </row>
    <row r="294" spans="1:28">
      <c r="A294" s="118"/>
      <c r="B294" s="118"/>
      <c r="C294" s="118"/>
      <c r="D294" s="118"/>
      <c r="E294" s="118"/>
      <c r="F294" s="988"/>
      <c r="G294" s="989"/>
      <c r="H294" s="990"/>
      <c r="I294" s="990"/>
      <c r="J294" s="990"/>
      <c r="K294" s="992"/>
      <c r="L294" s="127" t="str">
        <f>"  - "&amp;L293</f>
        <v xml:space="preserve">  - 반환금</v>
      </c>
      <c r="M294" s="263"/>
      <c r="N294" s="961"/>
      <c r="O294" s="962"/>
      <c r="P294" s="963"/>
      <c r="Q294" s="962"/>
      <c r="R294" s="963"/>
      <c r="S294" s="962"/>
      <c r="T294" s="962" t="s">
        <v>408</v>
      </c>
      <c r="U294" s="962"/>
      <c r="V294" s="967"/>
      <c r="W294" s="965">
        <f>AA293-W295</f>
        <v>0</v>
      </c>
      <c r="X294" s="967"/>
      <c r="Y294" s="967"/>
      <c r="Z294" s="156"/>
      <c r="AA294" s="156"/>
      <c r="AB294" s="101"/>
    </row>
    <row r="295" spans="1:28">
      <c r="A295" s="118"/>
      <c r="B295" s="118"/>
      <c r="C295" s="118"/>
      <c r="D295" s="118"/>
      <c r="E295" s="118"/>
      <c r="F295" s="988"/>
      <c r="G295" s="989"/>
      <c r="H295" s="990"/>
      <c r="I295" s="990"/>
      <c r="J295" s="990"/>
      <c r="K295" s="992"/>
      <c r="L295" s="127" t="str">
        <f>"  - "&amp;L293&amp;"(전년도이월금,예금이자외)"</f>
        <v xml:space="preserve">  - 반환금(전년도이월금,예금이자외)</v>
      </c>
      <c r="M295" s="263"/>
      <c r="N295" s="961"/>
      <c r="O295" s="962"/>
      <c r="P295" s="963"/>
      <c r="Q295" s="962"/>
      <c r="R295" s="963"/>
      <c r="S295" s="962"/>
      <c r="T295" s="962" t="s">
        <v>408</v>
      </c>
      <c r="U295" s="962"/>
      <c r="V295" s="965"/>
      <c r="W295" s="965">
        <f>데이터입력!AB22</f>
        <v>0</v>
      </c>
      <c r="X295" s="967"/>
      <c r="Y295" s="967"/>
      <c r="Z295" s="156"/>
      <c r="AA295" s="156"/>
      <c r="AB295" s="101"/>
    </row>
    <row r="296" spans="1:28">
      <c r="A296" s="118"/>
      <c r="B296" s="118"/>
      <c r="C296" s="134"/>
      <c r="D296" s="134"/>
      <c r="E296" s="134"/>
      <c r="F296" s="1004" t="s">
        <v>647</v>
      </c>
      <c r="G296" s="1005" t="s">
        <v>383</v>
      </c>
      <c r="H296" s="1006">
        <f>IFERROR(IF(VLOOKUP(K296,데이터입력!$C$42:$L$137,5,FALSE)&lt;1000,ROUNDUP(VLOOKUP(K296,데이터입력!$C$42:$L$137,5,FALSE)*1/1000,0),ROUND(VLOOKUP(K296,데이터입력!$C$42:$L$137,5,FALSE)*1/1000,0)),0)</f>
        <v>0</v>
      </c>
      <c r="I296" s="1006">
        <f>IFERROR(IF(F296="06",IF(V296&lt;1000,ROUNDUP((V296)*1/1000,0),ROUND((V296)*1/1000,0)),IF(F296="07",IF(W296&lt;1000,ROUNDUP((W296)*1/1000,0),ROUND((W296)*1/1000,0)),IF(F296="05",IF(X296&lt;1000,ROUNDUP((X296)*1/1000,0),ROUND((X296)*1/1000,0))))),0)</f>
        <v>0</v>
      </c>
      <c r="J296" s="1007">
        <f>I296-H296</f>
        <v>0</v>
      </c>
      <c r="K296" s="286" t="str">
        <f t="shared" ref="K296" si="127">L296&amp;"("&amp;G296&amp;")"</f>
        <v>반환금(수익사업)</v>
      </c>
      <c r="L296" s="296" t="str">
        <f>L293</f>
        <v>반환금</v>
      </c>
      <c r="M296" s="297"/>
      <c r="N296" s="1008"/>
      <c r="O296" s="1009"/>
      <c r="P296" s="1010"/>
      <c r="Q296" s="1009"/>
      <c r="R296" s="1011"/>
      <c r="S296" s="1009"/>
      <c r="T296" s="1009" t="s">
        <v>408</v>
      </c>
      <c r="U296" s="1009"/>
      <c r="V296" s="1013">
        <f>Z293</f>
        <v>0</v>
      </c>
      <c r="W296" s="1014"/>
      <c r="X296" s="1013"/>
      <c r="Y296" s="1013"/>
      <c r="Z296" s="101"/>
      <c r="AA296" s="101"/>
      <c r="AB296" s="101"/>
    </row>
    <row r="297" spans="1:28" ht="24">
      <c r="A297" s="324" t="s">
        <v>338</v>
      </c>
      <c r="B297" s="323" t="s">
        <v>449</v>
      </c>
      <c r="C297" s="316"/>
      <c r="D297" s="317"/>
      <c r="E297" s="317"/>
      <c r="F297" s="950"/>
      <c r="G297" s="950"/>
      <c r="H297" s="305">
        <f>SUM(H298:H303)</f>
        <v>0</v>
      </c>
      <c r="I297" s="305">
        <f>SUM(I298:I303)</f>
        <v>0</v>
      </c>
      <c r="J297" s="305">
        <f>SUM(J298:J303)</f>
        <v>0</v>
      </c>
      <c r="K297" s="305"/>
      <c r="L297" s="318"/>
      <c r="M297" s="318"/>
      <c r="N297" s="318"/>
      <c r="O297" s="318"/>
      <c r="P297" s="318"/>
      <c r="Q297" s="318"/>
      <c r="R297" s="318"/>
      <c r="S297" s="318"/>
      <c r="T297" s="318"/>
      <c r="U297" s="318"/>
      <c r="V297" s="307">
        <f>SUM(V298,V301)</f>
        <v>0</v>
      </c>
      <c r="W297" s="307">
        <f t="shared" ref="W297:X297" si="128">SUM(W298,W301)</f>
        <v>0</v>
      </c>
      <c r="X297" s="307">
        <f t="shared" si="128"/>
        <v>0</v>
      </c>
      <c r="Y297" s="307">
        <f t="shared" ref="Y297" si="129">SUM(V297:X297)</f>
        <v>0</v>
      </c>
      <c r="Z297" s="156"/>
      <c r="AA297" s="156"/>
      <c r="AB297" s="101"/>
    </row>
    <row r="298" spans="1:28">
      <c r="A298" s="108"/>
      <c r="B298" s="108"/>
      <c r="C298" s="108" t="s">
        <v>3</v>
      </c>
      <c r="D298" s="108" t="s">
        <v>3</v>
      </c>
      <c r="E298" s="108">
        <v>509010101</v>
      </c>
      <c r="F298" s="981" t="s">
        <v>83</v>
      </c>
      <c r="G298" s="982" t="s">
        <v>6</v>
      </c>
      <c r="H298" s="983">
        <f>IFERROR(IF(VLOOKUP(K298,데이터입력!$C$42:$L$137,5,FALSE)&lt;1000,ROUNDUP(VLOOKUP(K298,데이터입력!$C$42:$L$137,5,FALSE)*1/1000,0),ROUND(VLOOKUP(K298,데이터입력!$C$42:$L$137,5,FALSE)*1/1000,0)),0)</f>
        <v>0</v>
      </c>
      <c r="I298" s="983">
        <f>IFERROR(IF(F298="06",IF(V298&lt;1000,ROUNDUP((V298)*1/1000,0),ROUND((V298)*1/1000,0)),IF(F298="07",IF(W298&lt;1000,ROUNDUP((W298)*1/1000,0),ROUND((W298)*1/1000,0)),IF(F298="05",IF(X298&lt;1000,ROUNDUP((X298)*1/1000,0),ROUND((X298)*1/1000,0))))),0)</f>
        <v>0</v>
      </c>
      <c r="J298" s="983">
        <f>I298-H298</f>
        <v>0</v>
      </c>
      <c r="K298" s="984" t="str">
        <f>L298&amp;"("&amp;G298&amp;")"</f>
        <v>운영충당적립금(수익사업)</v>
      </c>
      <c r="L298" s="112" t="str">
        <f>D298</f>
        <v>운영충당적립금</v>
      </c>
      <c r="M298" s="113"/>
      <c r="N298" s="985"/>
      <c r="O298" s="986"/>
      <c r="P298" s="985"/>
      <c r="Q298" s="986"/>
      <c r="R298" s="985"/>
      <c r="S298" s="986"/>
      <c r="T298" s="986"/>
      <c r="U298" s="986"/>
      <c r="V298" s="987">
        <f>SUM(V299:V300)</f>
        <v>0</v>
      </c>
      <c r="W298" s="987">
        <f>SUM(W299:W300)</f>
        <v>0</v>
      </c>
      <c r="X298" s="987">
        <f>SUM(X299:X300)</f>
        <v>0</v>
      </c>
      <c r="Y298" s="987">
        <f>SUM(V298:X298)</f>
        <v>0</v>
      </c>
      <c r="Z298" s="282">
        <f>IFERROR(VLOOKUP($L298,데이터입력!$R$67:$U$99,3,FALSE),0)</f>
        <v>0</v>
      </c>
      <c r="AA298" s="155"/>
      <c r="AB298" s="151"/>
    </row>
    <row r="299" spans="1:28">
      <c r="A299" s="118"/>
      <c r="B299" s="118"/>
      <c r="C299" s="118"/>
      <c r="D299" s="118"/>
      <c r="E299" s="118"/>
      <c r="F299" s="988"/>
      <c r="G299" s="989"/>
      <c r="H299" s="990"/>
      <c r="I299" s="990"/>
      <c r="J299" s="990"/>
      <c r="K299" s="992"/>
      <c r="L299" s="127" t="str">
        <f>"  - "&amp;L298</f>
        <v xml:space="preserve">  - 운영충당적립금</v>
      </c>
      <c r="M299" s="263"/>
      <c r="N299" s="961">
        <f>IF(R299="",Z298,ROUNDUP((Z298-V300)/R299,-3))</f>
        <v>0</v>
      </c>
      <c r="O299" s="121" t="str">
        <f>IF(P299="","","x ")</f>
        <v/>
      </c>
      <c r="P299" s="963"/>
      <c r="Q299" s="962" t="str">
        <f>IF(R299="","","x ")</f>
        <v xml:space="preserve">x </v>
      </c>
      <c r="R299" s="964">
        <f>IF(VLOOKUP($L298,데이터입력!$R$67:$U$99,4,FALSE)="",데이터입력!$Y$8,VLOOKUP($L298,데이터입력!$R$67:$U$99,4,FALSE))</f>
        <v>12</v>
      </c>
      <c r="S299" s="962"/>
      <c r="T299" s="962" t="s">
        <v>408</v>
      </c>
      <c r="U299" s="962"/>
      <c r="V299" s="965">
        <f>IF(R299="",N299,N299*R299)</f>
        <v>0</v>
      </c>
      <c r="W299" s="967"/>
      <c r="X299" s="967"/>
      <c r="Y299" s="967"/>
      <c r="Z299" s="156"/>
      <c r="AA299" s="156"/>
      <c r="AB299" s="101"/>
    </row>
    <row r="300" spans="1:28" hidden="1">
      <c r="A300" s="118"/>
      <c r="B300" s="118"/>
      <c r="C300" s="118"/>
      <c r="D300" s="118"/>
      <c r="E300" s="118"/>
      <c r="F300" s="1025"/>
      <c r="G300" s="1026"/>
      <c r="H300" s="1028"/>
      <c r="I300" s="1028"/>
      <c r="J300" s="1028"/>
      <c r="K300" s="1029"/>
      <c r="L300" s="130" t="s">
        <v>444</v>
      </c>
      <c r="M300" s="137"/>
      <c r="N300" s="1030">
        <v>0</v>
      </c>
      <c r="O300" s="1031" t="s">
        <v>407</v>
      </c>
      <c r="P300" s="1032"/>
      <c r="Q300" s="1031" t="s">
        <v>407</v>
      </c>
      <c r="R300" s="1033">
        <f>IF(VLOOKUP($L298,데이터입력!$R$67:$U$99,4,FALSE)="",데이터입력!$Y$8,VLOOKUP($L298,데이터입력!$R$67:$U$99,4,FALSE))</f>
        <v>12</v>
      </c>
      <c r="S300" s="1031"/>
      <c r="T300" s="1031" t="s">
        <v>408</v>
      </c>
      <c r="U300" s="1031"/>
      <c r="V300" s="1034">
        <f>IF(P300=0,N300*R300,N300*P300*R300)</f>
        <v>0</v>
      </c>
      <c r="W300" s="974"/>
      <c r="X300" s="974"/>
      <c r="Y300" s="974"/>
      <c r="Z300" s="156"/>
      <c r="AA300" s="156"/>
      <c r="AB300" s="101"/>
    </row>
    <row r="301" spans="1:28" ht="24">
      <c r="A301" s="118"/>
      <c r="B301" s="118"/>
      <c r="C301" s="289" t="s">
        <v>74</v>
      </c>
      <c r="D301" s="289" t="s">
        <v>74</v>
      </c>
      <c r="E301" s="108">
        <v>509010201</v>
      </c>
      <c r="F301" s="981" t="s">
        <v>83</v>
      </c>
      <c r="G301" s="982" t="s">
        <v>6</v>
      </c>
      <c r="H301" s="983">
        <f>IFERROR(IF(VLOOKUP(K301,데이터입력!$C$42:$L$137,5,FALSE)&lt;1000,ROUNDUP(VLOOKUP(K301,데이터입력!$C$42:$L$137,5,FALSE)*1/1000,0),ROUND(VLOOKUP(K301,데이터입력!$C$42:$L$137,5,FALSE)*1/1000,0)),0)</f>
        <v>0</v>
      </c>
      <c r="I301" s="983">
        <f>IFERROR(IF(F301="06",IF(V301&lt;1000,ROUNDUP((V301)*1/1000,0),ROUND((V301)*1/1000,0)),IF(F301="07",IF(W301&lt;1000,ROUNDUP((W301)*1/1000,0),ROUND((W301)*1/1000,0)),IF(F301="05",IF(X301&lt;1000,ROUNDUP((X301)*1/1000,0),ROUND((X301)*1/1000,0))))),0)</f>
        <v>0</v>
      </c>
      <c r="J301" s="983">
        <f>I301-H301</f>
        <v>0</v>
      </c>
      <c r="K301" s="984" t="str">
        <f>L301&amp;"("&amp;G301&amp;")"</f>
        <v>시설환경 개선준비금(수익사업)</v>
      </c>
      <c r="L301" s="112" t="str">
        <f>D301</f>
        <v>시설환경 개선준비금</v>
      </c>
      <c r="M301" s="113"/>
      <c r="N301" s="985"/>
      <c r="O301" s="986"/>
      <c r="P301" s="985"/>
      <c r="Q301" s="986"/>
      <c r="R301" s="985"/>
      <c r="S301" s="986"/>
      <c r="T301" s="986"/>
      <c r="U301" s="986"/>
      <c r="V301" s="987">
        <f>SUM(V302:V303)</f>
        <v>0</v>
      </c>
      <c r="W301" s="987">
        <f>SUM(W302:W303)</f>
        <v>0</v>
      </c>
      <c r="X301" s="987">
        <f>SUM(X302:X303)</f>
        <v>0</v>
      </c>
      <c r="Y301" s="987">
        <f>SUM(V301:X301)</f>
        <v>0</v>
      </c>
      <c r="Z301" s="282">
        <f>IFERROR(VLOOKUP($L301,데이터입력!$R$67:$U$99,3,FALSE),0)</f>
        <v>0</v>
      </c>
      <c r="AA301" s="155"/>
      <c r="AB301" s="151"/>
    </row>
    <row r="302" spans="1:28">
      <c r="A302" s="118"/>
      <c r="B302" s="118"/>
      <c r="C302" s="290"/>
      <c r="D302" s="290"/>
      <c r="E302" s="118"/>
      <c r="F302" s="988"/>
      <c r="G302" s="989"/>
      <c r="H302" s="990"/>
      <c r="I302" s="990"/>
      <c r="J302" s="990"/>
      <c r="K302" s="992"/>
      <c r="L302" s="127" t="str">
        <f>"  - "&amp;L301</f>
        <v xml:space="preserve">  - 시설환경 개선준비금</v>
      </c>
      <c r="M302" s="263"/>
      <c r="N302" s="961">
        <f>IF(R302="",Z301,ROUNDUP((Z301-V303)/R302,-3))</f>
        <v>0</v>
      </c>
      <c r="O302" s="121" t="str">
        <f>IF(P302="","","x ")</f>
        <v/>
      </c>
      <c r="P302" s="963"/>
      <c r="Q302" s="962" t="str">
        <f>IF(R302="","","x ")</f>
        <v xml:space="preserve">x </v>
      </c>
      <c r="R302" s="964">
        <f>IF(VLOOKUP($L301,데이터입력!$R$67:$U$99,4,FALSE)="",데이터입력!$Y$8,VLOOKUP($L301,데이터입력!$R$67:$U$99,4,FALSE))</f>
        <v>12</v>
      </c>
      <c r="S302" s="962"/>
      <c r="T302" s="962" t="s">
        <v>408</v>
      </c>
      <c r="U302" s="962"/>
      <c r="V302" s="965">
        <f>IF(R302="",N302,N302*R302)</f>
        <v>0</v>
      </c>
      <c r="W302" s="967"/>
      <c r="X302" s="967"/>
      <c r="Y302" s="967"/>
      <c r="Z302" s="156"/>
      <c r="AA302" s="156"/>
      <c r="AB302" s="101"/>
    </row>
    <row r="303" spans="1:28" hidden="1">
      <c r="A303" s="118"/>
      <c r="B303" s="118"/>
      <c r="C303" s="291"/>
      <c r="D303" s="291"/>
      <c r="E303" s="134"/>
      <c r="F303" s="1025"/>
      <c r="G303" s="1026"/>
      <c r="H303" s="1028"/>
      <c r="I303" s="1028"/>
      <c r="J303" s="1028"/>
      <c r="K303" s="1029"/>
      <c r="L303" s="130" t="s">
        <v>444</v>
      </c>
      <c r="M303" s="137"/>
      <c r="N303" s="1030">
        <v>0</v>
      </c>
      <c r="O303" s="1031" t="s">
        <v>407</v>
      </c>
      <c r="P303" s="1032"/>
      <c r="Q303" s="1031" t="s">
        <v>407</v>
      </c>
      <c r="R303" s="1033">
        <f>IF(VLOOKUP($L301,데이터입력!$R$67:$U$99,4,FALSE)="",데이터입력!$Y$8,VLOOKUP($L301,데이터입력!$R$67:$U$99,4,FALSE))</f>
        <v>12</v>
      </c>
      <c r="S303" s="1031"/>
      <c r="T303" s="1031" t="s">
        <v>408</v>
      </c>
      <c r="U303" s="1031"/>
      <c r="V303" s="1034">
        <f>IF(P303=0,N303*R303,N303*P303*R303)</f>
        <v>0</v>
      </c>
      <c r="W303" s="974"/>
      <c r="X303" s="974"/>
      <c r="Y303" s="974"/>
      <c r="Z303" s="156"/>
      <c r="AA303" s="156"/>
      <c r="AB303" s="101"/>
    </row>
    <row r="304" spans="1:28" ht="21" customHeight="1">
      <c r="A304" s="1679" t="s">
        <v>450</v>
      </c>
      <c r="B304" s="1680"/>
      <c r="C304" s="1680"/>
      <c r="D304" s="1680"/>
      <c r="E304" s="1680"/>
      <c r="F304" s="1680"/>
      <c r="G304" s="1681"/>
      <c r="H304" s="142">
        <f>SUM(H297,H289,H276,H269,H264,H257,H191,H167,H4)</f>
        <v>353968</v>
      </c>
      <c r="I304" s="142">
        <f>SUM(I297,I289,I276,I269,I264,I257,I191,I167,I4)</f>
        <v>369513</v>
      </c>
      <c r="J304" s="142">
        <f>SUM(J297,J289,J276,J269,J264,J257,J191,J167,J4)</f>
        <v>15545</v>
      </c>
      <c r="K304" s="261"/>
      <c r="L304" s="287"/>
      <c r="M304" s="288"/>
      <c r="N304" s="329" t="s">
        <v>427</v>
      </c>
      <c r="O304" s="330"/>
      <c r="P304" s="330"/>
      <c r="Q304" s="330"/>
      <c r="R304" s="331"/>
      <c r="S304" s="330"/>
      <c r="T304" s="330"/>
      <c r="U304" s="330"/>
      <c r="V304" s="332">
        <f>SUM(V297,V289,V276,V269,V264,V257,V191,V167,V4)</f>
        <v>369514076</v>
      </c>
      <c r="W304" s="332">
        <f>SUM(W297,W289,W276,W269,W264,W257,W191,W167,W4)</f>
        <v>0</v>
      </c>
      <c r="X304" s="332">
        <f>SUM(X297,X289,X276,X269,X264,X257,X191,X167,X4)</f>
        <v>0</v>
      </c>
      <c r="Y304" s="332">
        <f>SUM(Y297,Y289,Y276,Y269,Y264,Y257,Y191,Y167,Y4)</f>
        <v>369514076</v>
      </c>
      <c r="Z304" s="101"/>
      <c r="AA304" s="101"/>
      <c r="AB304" s="101"/>
    </row>
    <row r="305" spans="17:25">
      <c r="Q305" s="1678" t="str">
        <f>표지!B9</f>
        <v>한마음데이케어센터</v>
      </c>
      <c r="R305" s="1678"/>
      <c r="S305" s="1678"/>
      <c r="T305" s="1678"/>
      <c r="U305" s="1678"/>
      <c r="V305" s="1678"/>
      <c r="W305" s="1678"/>
      <c r="X305" s="1678"/>
      <c r="Y305" s="1678"/>
    </row>
  </sheetData>
  <sheetProtection algorithmName="SHA-512" hashValue="/RTcjxBCKkTtGcO+SiPYqPjTwTT6MO2LHNheEm6u7IGvUsxEBfKFOs7musijbtiAT57uaJWcUcgLs8GxHDzKdw==" saltValue="AbOPXoVliIqlfJQlxqGFqg==" spinCount="100000" sheet="1" objects="1" scenarios="1"/>
  <mergeCells count="9">
    <mergeCell ref="A1:Y1"/>
    <mergeCell ref="R2:Y2"/>
    <mergeCell ref="Q305:Y305"/>
    <mergeCell ref="D63:D68"/>
    <mergeCell ref="A304:G304"/>
    <mergeCell ref="F3:G3"/>
    <mergeCell ref="L3:U3"/>
    <mergeCell ref="C43:D43"/>
    <mergeCell ref="D55:D60"/>
  </mergeCells>
  <phoneticPr fontId="10" type="noConversion"/>
  <pageMargins left="0.25" right="0.25" top="0.75" bottom="0.75" header="0.3" footer="0.3"/>
  <pageSetup paperSize="9" scale="56" fitToHeight="0" orientation="landscape" r:id="rId1"/>
  <rowBreaks count="4" manualBreakCount="4">
    <brk id="42" max="24" man="1"/>
    <brk id="111" max="24" man="1"/>
    <brk id="172" max="24" man="1"/>
    <brk id="250" max="24" man="1"/>
  </rowBreaks>
  <ignoredErrors>
    <ignoredError sqref="F11:J20 F206:G303 F110:G195 F198:G199 F201:G202 F21:G74 F80:G84 F90:G93 F99:G104" numberStoredAsText="1"/>
    <ignoredError sqref="H206:J303 H110:J195 H198:J199 H201:J202 H21:J74 H80:J84 H90:J93 H99:J104" numberStoredAsText="1" formula="1"/>
    <ignoredError sqref="N58:N66 V130 Y193"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08A05-FC7F-4FEE-8A03-19D7AFA7C517}">
  <sheetPr>
    <tabColor theme="4"/>
    <pageSetUpPr fitToPage="1"/>
  </sheetPr>
  <dimension ref="A1:AG265"/>
  <sheetViews>
    <sheetView view="pageBreakPreview" zoomScaleNormal="100" zoomScaleSheetLayoutView="100" workbookViewId="0">
      <pane ySplit="10" topLeftCell="A11" activePane="bottomLeft" state="frozen"/>
      <selection pane="bottomLeft" sqref="A1:M1"/>
    </sheetView>
  </sheetViews>
  <sheetFormatPr defaultRowHeight="16.5"/>
  <cols>
    <col min="1" max="1" width="5.5" style="214" customWidth="1"/>
    <col min="2" max="2" width="4.625" style="214" customWidth="1"/>
    <col min="3" max="3" width="14.125" style="214" customWidth="1"/>
    <col min="4" max="4" width="10.625" style="214" customWidth="1"/>
    <col min="5" max="5" width="16.75" style="214" customWidth="1"/>
    <col min="6" max="6" width="21.375" style="214" customWidth="1"/>
    <col min="7" max="7" width="8.5" style="161" customWidth="1"/>
    <col min="8" max="8" width="16.875" style="214" hidden="1" customWidth="1"/>
    <col min="9" max="10" width="12.375" style="214" customWidth="1"/>
    <col min="11" max="11" width="9.875" style="214" customWidth="1"/>
    <col min="12" max="13" width="12.375" style="214" customWidth="1"/>
    <col min="14" max="14" width="2.625" style="214" customWidth="1"/>
    <col min="15" max="15" width="9" style="214" hidden="1" customWidth="1"/>
    <col min="16" max="16" width="12.125" style="214" hidden="1" customWidth="1"/>
    <col min="17" max="17" width="11.625" style="214" hidden="1" customWidth="1"/>
    <col min="18" max="18" width="10.5" style="214" hidden="1" customWidth="1"/>
    <col min="19" max="19" width="12.625" style="214" hidden="1" customWidth="1"/>
    <col min="20" max="20" width="9.625" style="214" hidden="1" customWidth="1"/>
    <col min="21" max="22" width="10.75" style="214" hidden="1" customWidth="1"/>
    <col min="23" max="25" width="12.625" style="214" hidden="1" customWidth="1"/>
    <col min="26" max="29" width="9" style="214" hidden="1" customWidth="1"/>
    <col min="30" max="33" width="0" style="214" hidden="1" customWidth="1"/>
    <col min="34" max="16384" width="9" style="214"/>
  </cols>
  <sheetData>
    <row r="1" spans="1:33" ht="39.75" thickBot="1">
      <c r="A1" s="1659" t="str">
        <f>IF(데이터입력!$AE$2="추경","보수일람표 ("&amp;데이터입력!Y1&amp;"년도 추경"&amp;데이터입력!$AI$2&amp;"차)","보수일람표 ("&amp;데이터입력!Y1&amp;"년도)")</f>
        <v>보수일람표 (2023년도 추경2차)</v>
      </c>
      <c r="B1" s="1659"/>
      <c r="C1" s="1659"/>
      <c r="D1" s="1659"/>
      <c r="E1" s="1659"/>
      <c r="F1" s="1659"/>
      <c r="G1" s="1659"/>
      <c r="H1" s="1659"/>
      <c r="I1" s="1659"/>
      <c r="J1" s="1659"/>
      <c r="K1" s="1659"/>
      <c r="L1" s="1659"/>
      <c r="M1" s="1659"/>
      <c r="N1" s="586"/>
      <c r="O1" s="1685" t="s">
        <v>451</v>
      </c>
      <c r="P1" s="1686"/>
      <c r="Q1" s="587">
        <f>데이터입력!$AR$1</f>
        <v>1</v>
      </c>
      <c r="Z1" s="696" t="s">
        <v>664</v>
      </c>
      <c r="AA1" s="697" t="s">
        <v>129</v>
      </c>
      <c r="AB1" s="697" t="s">
        <v>662</v>
      </c>
      <c r="AC1" s="698" t="s">
        <v>663</v>
      </c>
    </row>
    <row r="2" spans="1:33">
      <c r="A2" s="1714" t="s">
        <v>452</v>
      </c>
      <c r="B2" s="1714"/>
      <c r="C2" s="1714"/>
      <c r="D2" s="1714"/>
      <c r="E2" s="1714"/>
      <c r="F2" s="1714"/>
      <c r="G2" s="1714"/>
      <c r="H2" s="1714"/>
      <c r="I2" s="1714"/>
      <c r="J2" s="1714"/>
      <c r="K2" s="1714"/>
      <c r="L2" s="1714"/>
      <c r="M2" s="1715"/>
      <c r="N2" s="292"/>
      <c r="O2" s="160" t="s">
        <v>156</v>
      </c>
      <c r="P2" s="1716" t="str">
        <f>데이터입력!$AB$8</f>
        <v>00</v>
      </c>
      <c r="Q2" s="1717"/>
      <c r="R2" s="1718"/>
      <c r="S2" s="1711" t="s">
        <v>453</v>
      </c>
      <c r="T2" s="1712"/>
      <c r="U2" s="1712"/>
      <c r="V2" s="1712"/>
      <c r="W2" s="1713"/>
      <c r="Z2" s="699" t="str">
        <f>데이터입력!$B$42</f>
        <v>급여(직접비)</v>
      </c>
      <c r="AA2" s="695">
        <f>보수일람표!$I$262</f>
        <v>126936000</v>
      </c>
      <c r="AB2" s="695">
        <f>IFERROR(IF(데이터입력!$L$42=0,ROUNDUP(Q6*VLOOKUP(데이터입력!$AB$2,데이터입력!$AH$17:$AI$23,2,FALSE),0)-J262-K262-L262-M262,데이터입력!$L$42),0)</f>
        <v>69360000</v>
      </c>
      <c r="AC2" s="702">
        <f>IF((AB2-AA2)&lt;=0,0,AB2-AA2)</f>
        <v>0</v>
      </c>
      <c r="AD2" s="1723" t="s">
        <v>160</v>
      </c>
      <c r="AE2" s="1724"/>
      <c r="AF2" s="1725">
        <f>데이터입력!$Y$12</f>
        <v>0.50700000000000001</v>
      </c>
      <c r="AG2" s="1726"/>
    </row>
    <row r="3" spans="1:33">
      <c r="A3" s="1700" t="s">
        <v>454</v>
      </c>
      <c r="B3" s="1700"/>
      <c r="C3" s="1693" t="s">
        <v>455</v>
      </c>
      <c r="D3" s="1693"/>
      <c r="E3" s="1694"/>
      <c r="F3" s="1695" t="s">
        <v>456</v>
      </c>
      <c r="G3" s="1693"/>
      <c r="H3" s="1693"/>
      <c r="I3" s="1693"/>
      <c r="J3" s="1693"/>
      <c r="K3" s="1693"/>
      <c r="L3" s="1693"/>
      <c r="M3" s="1694"/>
      <c r="N3" s="292"/>
      <c r="O3" s="162" t="s">
        <v>159</v>
      </c>
      <c r="P3" s="1719" t="str">
        <f>데이터입력!$AC$9</f>
        <v>일반사업[일반]</v>
      </c>
      <c r="Q3" s="1719"/>
      <c r="R3" s="1720"/>
      <c r="S3" s="4" t="s">
        <v>161</v>
      </c>
      <c r="T3" s="5" t="s">
        <v>163</v>
      </c>
      <c r="U3" s="5" t="s">
        <v>165</v>
      </c>
      <c r="V3" s="5" t="s">
        <v>457</v>
      </c>
      <c r="W3" s="932" t="s">
        <v>166</v>
      </c>
      <c r="Z3" s="699" t="str">
        <f>데이터입력!$B$43</f>
        <v>급여(간접비)</v>
      </c>
      <c r="AA3" s="695">
        <f>보수일람표!$I$261</f>
        <v>55434480</v>
      </c>
      <c r="AB3" s="695">
        <f>데이터입력!$L$43</f>
        <v>45648000</v>
      </c>
      <c r="AC3" s="702">
        <f t="shared" ref="AC3:AC9" si="0">IF((AB3-AA3)&lt;=0,0,AB3-AA3)</f>
        <v>0</v>
      </c>
      <c r="AD3" s="1696" t="s">
        <v>162</v>
      </c>
      <c r="AE3" s="1697"/>
      <c r="AF3" s="1698">
        <f>데이터입력!$Y$13</f>
        <v>296902596</v>
      </c>
      <c r="AG3" s="1699"/>
    </row>
    <row r="4" spans="1:33" ht="17.25" thickBot="1">
      <c r="A4" s="1700"/>
      <c r="B4" s="1700"/>
      <c r="C4" s="1701" t="s">
        <v>458</v>
      </c>
      <c r="D4" s="1701"/>
      <c r="E4" s="1702"/>
      <c r="F4" s="1695" t="s">
        <v>459</v>
      </c>
      <c r="G4" s="1693"/>
      <c r="H4" s="1693"/>
      <c r="I4" s="1693"/>
      <c r="J4" s="1693"/>
      <c r="K4" s="1693"/>
      <c r="L4" s="1693"/>
      <c r="M4" s="1694"/>
      <c r="N4" s="292"/>
      <c r="O4" s="163" t="s">
        <v>157</v>
      </c>
      <c r="P4" s="1721" t="str">
        <f>데이터입력!$AC$10</f>
        <v>재가노인복지시설 주야간보호</v>
      </c>
      <c r="Q4" s="1721"/>
      <c r="R4" s="1722"/>
      <c r="S4" s="164">
        <f>S7</f>
        <v>4.4999999999999998E-2</v>
      </c>
      <c r="T4" s="165">
        <f>T7</f>
        <v>3.5450000000000002E-2</v>
      </c>
      <c r="U4" s="166">
        <f>U7</f>
        <v>0.12809999999999999</v>
      </c>
      <c r="V4" s="166">
        <f>데이터입력!$AD$12</f>
        <v>8.9999999999999993E-3</v>
      </c>
      <c r="W4" s="933"/>
      <c r="Z4" s="699" t="str">
        <f>데이터입력!$B$44</f>
        <v>각종수당(직접비)</v>
      </c>
      <c r="AA4" s="695">
        <f>보수일람표!$J$262</f>
        <v>0</v>
      </c>
      <c r="AB4" s="695">
        <f>데이터입력!$L$44</f>
        <v>0</v>
      </c>
      <c r="AC4" s="702">
        <f t="shared" si="0"/>
        <v>0</v>
      </c>
      <c r="AD4" s="1732" t="s">
        <v>164</v>
      </c>
      <c r="AE4" s="1733"/>
      <c r="AF4" s="1734">
        <f>데이터입력!$Y$14</f>
        <v>150790382</v>
      </c>
      <c r="AG4" s="1735"/>
    </row>
    <row r="5" spans="1:33">
      <c r="A5" s="1700"/>
      <c r="B5" s="1700"/>
      <c r="C5" s="1701" t="s">
        <v>460</v>
      </c>
      <c r="D5" s="1701"/>
      <c r="E5" s="1702"/>
      <c r="F5" s="1695" t="s">
        <v>461</v>
      </c>
      <c r="G5" s="1693"/>
      <c r="H5" s="1693"/>
      <c r="I5" s="1693"/>
      <c r="J5" s="1693"/>
      <c r="K5" s="1693"/>
      <c r="L5" s="1693"/>
      <c r="M5" s="1694"/>
      <c r="N5" s="292"/>
      <c r="O5" s="1723" t="s">
        <v>160</v>
      </c>
      <c r="P5" s="1724"/>
      <c r="Q5" s="1725">
        <f>데이터입력!$Y$12</f>
        <v>0.50700000000000001</v>
      </c>
      <c r="R5" s="1726"/>
      <c r="S5" s="1711" t="str">
        <f>데이터입력!$AA$11</f>
        <v>4대보험요율(합산)</v>
      </c>
      <c r="T5" s="1712"/>
      <c r="U5" s="1712"/>
      <c r="V5" s="1712"/>
      <c r="W5" s="1713"/>
      <c r="Z5" s="699" t="str">
        <f>데이터입력!$B$45</f>
        <v>각종수당(간접비)</v>
      </c>
      <c r="AA5" s="695">
        <f>보수일람표!$J$261</f>
        <v>0</v>
      </c>
      <c r="AB5" s="695">
        <f>데이터입력!$L$45</f>
        <v>0</v>
      </c>
      <c r="AC5" s="1300">
        <f t="shared" si="0"/>
        <v>0</v>
      </c>
      <c r="AD5" s="1727" t="str">
        <f>"업체유형별 인건비비율("&amp;데이터입력!$Y$1&amp;")"</f>
        <v>업체유형별 인건비비율(2023)</v>
      </c>
      <c r="AE5" s="1728"/>
      <c r="AF5" s="1728"/>
      <c r="AG5" s="1729"/>
    </row>
    <row r="6" spans="1:33">
      <c r="A6" s="1700"/>
      <c r="B6" s="1700"/>
      <c r="C6" s="1693" t="s">
        <v>228</v>
      </c>
      <c r="D6" s="1693"/>
      <c r="E6" s="1694"/>
      <c r="F6" s="1695" t="s">
        <v>462</v>
      </c>
      <c r="G6" s="1693"/>
      <c r="H6" s="1693"/>
      <c r="I6" s="1693"/>
      <c r="J6" s="1693"/>
      <c r="K6" s="1693"/>
      <c r="L6" s="1693"/>
      <c r="M6" s="1694"/>
      <c r="N6" s="292"/>
      <c r="O6" s="1696" t="s">
        <v>162</v>
      </c>
      <c r="P6" s="1697"/>
      <c r="Q6" s="1698">
        <f>데이터입력!$Y$13</f>
        <v>296902596</v>
      </c>
      <c r="R6" s="1699"/>
      <c r="S6" s="4" t="s">
        <v>161</v>
      </c>
      <c r="T6" s="5" t="s">
        <v>163</v>
      </c>
      <c r="U6" s="5" t="s">
        <v>165</v>
      </c>
      <c r="V6" s="5" t="s">
        <v>457</v>
      </c>
      <c r="W6" s="932" t="s">
        <v>166</v>
      </c>
      <c r="Z6" s="699" t="str">
        <f>데이터입력!$B$46</f>
        <v>일용잡급(직접비)</v>
      </c>
      <c r="AA6" s="695">
        <f>보수일람표!$K$262</f>
        <v>0</v>
      </c>
      <c r="AB6" s="695">
        <f>데이터입력!$L$46</f>
        <v>0</v>
      </c>
      <c r="AC6" s="1300">
        <f t="shared" si="0"/>
        <v>0</v>
      </c>
      <c r="AD6" s="1730" t="s">
        <v>232</v>
      </c>
      <c r="AE6" s="1731"/>
      <c r="AF6" s="1738">
        <f>데이터입력!AI17</f>
        <v>0.61399999999999999</v>
      </c>
      <c r="AG6" s="1739"/>
    </row>
    <row r="7" spans="1:33" ht="17.25" thickBot="1">
      <c r="A7" s="1700" t="s">
        <v>463</v>
      </c>
      <c r="B7" s="1700"/>
      <c r="C7" s="1701" t="s">
        <v>464</v>
      </c>
      <c r="D7" s="1701"/>
      <c r="E7" s="1702"/>
      <c r="F7" s="1695" t="s">
        <v>465</v>
      </c>
      <c r="G7" s="1693"/>
      <c r="H7" s="1693"/>
      <c r="I7" s="1693"/>
      <c r="J7" s="1693"/>
      <c r="K7" s="1693"/>
      <c r="L7" s="1693"/>
      <c r="M7" s="1694"/>
      <c r="N7" s="292"/>
      <c r="O7" s="1703" t="s">
        <v>164</v>
      </c>
      <c r="P7" s="1704"/>
      <c r="Q7" s="1705">
        <f>데이터입력!$Y$14</f>
        <v>150790382</v>
      </c>
      <c r="R7" s="1706"/>
      <c r="S7" s="167">
        <f>데이터입력!$AB$12</f>
        <v>4.4999999999999998E-2</v>
      </c>
      <c r="T7" s="168">
        <f>데이터입력!$AB$13</f>
        <v>3.5450000000000002E-2</v>
      </c>
      <c r="U7" s="168">
        <f>데이터입력!$AB$14</f>
        <v>0.12809999999999999</v>
      </c>
      <c r="V7" s="168">
        <f>데이터입력!$AD$13</f>
        <v>1.15E-2</v>
      </c>
      <c r="W7" s="934">
        <f>데이터입력!$AD$14</f>
        <v>8.0999999999999996E-3</v>
      </c>
      <c r="Z7" s="699" t="str">
        <f>데이터입력!$B$47</f>
        <v>일용잡급(간접비)</v>
      </c>
      <c r="AA7" s="695">
        <f>보수일람표!$K$261</f>
        <v>0</v>
      </c>
      <c r="AB7" s="695">
        <f>데이터입력!$L$47</f>
        <v>0</v>
      </c>
      <c r="AC7" s="1300">
        <f t="shared" si="0"/>
        <v>0</v>
      </c>
      <c r="AD7" s="1730" t="s">
        <v>233</v>
      </c>
      <c r="AE7" s="1731">
        <v>0.65800000000000003</v>
      </c>
      <c r="AF7" s="1738">
        <f>데이터입력!AI18</f>
        <v>0.65800000000000003</v>
      </c>
      <c r="AG7" s="1739"/>
    </row>
    <row r="8" spans="1:33" ht="16.5" customHeight="1">
      <c r="A8" s="1700"/>
      <c r="B8" s="1700"/>
      <c r="C8" s="1701" t="s">
        <v>458</v>
      </c>
      <c r="D8" s="1701"/>
      <c r="E8" s="1702"/>
      <c r="F8" s="1695" t="s">
        <v>466</v>
      </c>
      <c r="G8" s="1693"/>
      <c r="H8" s="1693"/>
      <c r="I8" s="1693"/>
      <c r="J8" s="1693"/>
      <c r="K8" s="1693"/>
      <c r="L8" s="1693"/>
      <c r="M8" s="1694"/>
      <c r="N8" s="292"/>
      <c r="O8" s="1707" t="str">
        <f>"월별 보수일람표 ("&amp;표지!$B$2&amp;")"</f>
        <v>월별 보수일람표 (2023년도 예산서(추경2차))</v>
      </c>
      <c r="P8" s="1708"/>
      <c r="Q8" s="1708"/>
      <c r="R8" s="1708"/>
      <c r="S8" s="1708"/>
      <c r="T8" s="1708"/>
      <c r="U8" s="1708"/>
      <c r="V8" s="1708"/>
      <c r="W8" s="1708"/>
      <c r="Z8" s="699" t="str">
        <f>데이터입력!$B$48</f>
        <v>퇴직금 및 퇴직적립금(직접비)</v>
      </c>
      <c r="AA8" s="695">
        <f>보수일람표!$L$262</f>
        <v>10578012</v>
      </c>
      <c r="AB8" s="695">
        <f>데이터입력!$L$48</f>
        <v>8484000</v>
      </c>
      <c r="AC8" s="1300">
        <f t="shared" si="0"/>
        <v>0</v>
      </c>
      <c r="AD8" s="1730" t="s">
        <v>234</v>
      </c>
      <c r="AE8" s="1731">
        <v>0.49</v>
      </c>
      <c r="AF8" s="1738">
        <f>데이터입력!AI19</f>
        <v>0.49</v>
      </c>
      <c r="AG8" s="1739"/>
    </row>
    <row r="9" spans="1:33" ht="17.25" customHeight="1" thickBot="1">
      <c r="A9" s="1700"/>
      <c r="B9" s="1700"/>
      <c r="C9" s="1701" t="s">
        <v>467</v>
      </c>
      <c r="D9" s="1701"/>
      <c r="E9" s="1702"/>
      <c r="F9" s="1695" t="s">
        <v>468</v>
      </c>
      <c r="G9" s="1693"/>
      <c r="H9" s="1693"/>
      <c r="I9" s="1693"/>
      <c r="J9" s="1693"/>
      <c r="K9" s="1693"/>
      <c r="L9" s="1693"/>
      <c r="M9" s="1694"/>
      <c r="N9" s="292"/>
      <c r="O9" s="1709"/>
      <c r="P9" s="1710"/>
      <c r="Q9" s="1710"/>
      <c r="R9" s="1710"/>
      <c r="S9" s="1710"/>
      <c r="T9" s="1710"/>
      <c r="U9" s="1710"/>
      <c r="V9" s="1710"/>
      <c r="W9" s="1710"/>
      <c r="Z9" s="700" t="str">
        <f>데이터입력!$B$49</f>
        <v>퇴직금 및 퇴직적립금(간접비)</v>
      </c>
      <c r="AA9" s="701">
        <f>보수일람표!$L$261</f>
        <v>4800000</v>
      </c>
      <c r="AB9" s="701">
        <f>데이터입력!$L$49</f>
        <v>1860000</v>
      </c>
      <c r="AC9" s="1301">
        <f t="shared" si="0"/>
        <v>0</v>
      </c>
      <c r="AD9" s="1730" t="s">
        <v>235</v>
      </c>
      <c r="AE9" s="1731">
        <v>0.59299999999999997</v>
      </c>
      <c r="AF9" s="1738">
        <f>데이터입력!AI20</f>
        <v>0.59299999999999997</v>
      </c>
      <c r="AG9" s="1739"/>
    </row>
    <row r="10" spans="1:33" ht="24.75" thickBot="1">
      <c r="A10" s="169" t="s">
        <v>469</v>
      </c>
      <c r="B10" s="169" t="s">
        <v>470</v>
      </c>
      <c r="C10" s="169" t="s">
        <v>471</v>
      </c>
      <c r="D10" s="169" t="s">
        <v>472</v>
      </c>
      <c r="E10" s="169" t="s">
        <v>250</v>
      </c>
      <c r="F10" s="169" t="s">
        <v>248</v>
      </c>
      <c r="G10" s="169" t="s">
        <v>473</v>
      </c>
      <c r="H10" s="169" t="s">
        <v>474</v>
      </c>
      <c r="I10" s="170" t="s">
        <v>251</v>
      </c>
      <c r="J10" s="169" t="s">
        <v>435</v>
      </c>
      <c r="K10" s="169" t="s">
        <v>436</v>
      </c>
      <c r="L10" s="169" t="s">
        <v>475</v>
      </c>
      <c r="M10" s="169" t="s">
        <v>476</v>
      </c>
      <c r="N10" s="588"/>
      <c r="O10" s="589" t="s">
        <v>472</v>
      </c>
      <c r="P10" s="590" t="s">
        <v>250</v>
      </c>
      <c r="Q10" s="590" t="s">
        <v>251</v>
      </c>
      <c r="R10" s="591" t="s">
        <v>435</v>
      </c>
      <c r="S10" s="592" t="s">
        <v>477</v>
      </c>
      <c r="T10" s="593" t="s">
        <v>436</v>
      </c>
      <c r="U10" s="590" t="s">
        <v>475</v>
      </c>
      <c r="V10" s="591" t="s">
        <v>476</v>
      </c>
      <c r="W10" s="592" t="s">
        <v>478</v>
      </c>
      <c r="X10" s="592" t="s">
        <v>714</v>
      </c>
      <c r="Y10" s="592" t="s">
        <v>715</v>
      </c>
      <c r="Z10" s="692" t="s">
        <v>479</v>
      </c>
      <c r="AA10" s="693" t="s">
        <v>480</v>
      </c>
      <c r="AB10" s="694" t="s">
        <v>481</v>
      </c>
      <c r="AC10" s="1302" t="s">
        <v>482</v>
      </c>
      <c r="AD10" s="1730" t="s">
        <v>113</v>
      </c>
      <c r="AE10" s="1731">
        <v>0.86599999999999999</v>
      </c>
      <c r="AF10" s="1738">
        <f>데이터입력!AI21</f>
        <v>0.86599999999999999</v>
      </c>
      <c r="AG10" s="1739"/>
    </row>
    <row r="11" spans="1:33" ht="18" thickTop="1" thickBot="1">
      <c r="A11" s="171">
        <f>IF(W11="","",SUBTOTAL(3,$W$11:W11))</f>
        <v>1</v>
      </c>
      <c r="B11" s="172" t="str">
        <f t="shared" ref="B11:B74" si="1">$P$2</f>
        <v>00</v>
      </c>
      <c r="C11" s="173" t="str">
        <f>IF(D11="","",$P$3)</f>
        <v>일반사업[일반]</v>
      </c>
      <c r="D11" s="173" t="str">
        <f>IF(O11="","",O11)</f>
        <v>김현주</v>
      </c>
      <c r="E11" s="173" t="str">
        <f>IF(P11="","",P11)</f>
        <v>시설장(관리책임자)</v>
      </c>
      <c r="F11" s="174" t="str">
        <f>IF(E11="","",$P$4)</f>
        <v>재가노인복지시설 주야간보호</v>
      </c>
      <c r="G11" s="172" t="s">
        <v>483</v>
      </c>
      <c r="H11" s="172" t="s">
        <v>484</v>
      </c>
      <c r="I11" s="175">
        <f>IF(X11="","",X11*데이터입력!$Y$8)</f>
        <v>24252600</v>
      </c>
      <c r="J11" s="176">
        <f>R11*데이터입력!$Y$8+IF(R11&gt;0,데이터입력!$AE$91,0)</f>
        <v>0</v>
      </c>
      <c r="K11" s="176">
        <f>T11*데이터입력!$Y$8++IF(T11&gt;0,데이터입력!$AE$93,0)</f>
        <v>0</v>
      </c>
      <c r="L11" s="176">
        <f>IFERROR(IF(U11="","",U11*데이터입력!$Y$8+데이터입력!$AE$95),0)</f>
        <v>2100000</v>
      </c>
      <c r="M11" s="176">
        <f>IFERROR(IF(V11=0,"",V11*데이터입력!$Y$8+데이터입력!$AE$97),0)</f>
        <v>3689900</v>
      </c>
      <c r="N11" s="594"/>
      <c r="O11" s="184" t="str">
        <f>IF(데이터입력!AP11="","",데이터입력!AP11)</f>
        <v>김현주</v>
      </c>
      <c r="P11" s="185" t="str">
        <f>IF(데이터입력!AQ11="","",데이터입력!AQ11)</f>
        <v>시설장(관리책임자)</v>
      </c>
      <c r="Q11" s="186">
        <f>IF(데이터입력!AR11="",0,데이터입력!AR11)</f>
        <v>2100000</v>
      </c>
      <c r="R11" s="187">
        <f>IF(데이터입력!AS11="",0,데이터입력!AS11)</f>
        <v>0</v>
      </c>
      <c r="S11" s="178">
        <f>IF(데이터입력!AT11="",0,데이터입력!AT11)</f>
        <v>2100000</v>
      </c>
      <c r="T11" s="187">
        <f>IF(데이터입력!AU11="",0,데이터입력!AU11)</f>
        <v>0</v>
      </c>
      <c r="U11" s="186">
        <f>IF(데이터입력!AV11="",0,데이터입력!AV11)</f>
        <v>175000</v>
      </c>
      <c r="V11" s="177">
        <f>IF(데이터입력!AW11="",0,데이터입력!AW11)</f>
        <v>307500</v>
      </c>
      <c r="W11" s="597">
        <f>IF(데이터입력!AX11="",0,데이터입력!AX11)</f>
        <v>2582500</v>
      </c>
      <c r="X11" s="598">
        <f>IF(데이터입력!AY11="",0,데이터입력!AY11)</f>
        <v>2021050</v>
      </c>
      <c r="Y11" s="931">
        <f>IF(데이터입력!AZ11="",0,데이터입력!AZ11)</f>
        <v>2100000</v>
      </c>
      <c r="Z11" s="599">
        <f>IF(데이터입력!BA11="",0,데이터입력!BA11)</f>
        <v>175000</v>
      </c>
      <c r="AA11" s="935">
        <f>IF(데이터입력!BB11="",0,데이터입력!BB11)</f>
        <v>175000</v>
      </c>
      <c r="AB11" s="595">
        <f>IF(데이터입력!BC11="",0,데이터입력!BC11)</f>
        <v>3</v>
      </c>
      <c r="AC11" s="1303">
        <f>IF(데이터입력!BD11="",0,데이터입력!BD11)</f>
        <v>3</v>
      </c>
      <c r="AD11" s="1730" t="s">
        <v>116</v>
      </c>
      <c r="AE11" s="1731">
        <v>0.501</v>
      </c>
      <c r="AF11" s="1738">
        <f>데이터입력!AI22</f>
        <v>0.501</v>
      </c>
      <c r="AG11" s="1739"/>
    </row>
    <row r="12" spans="1:33" ht="18" thickTop="1" thickBot="1">
      <c r="A12" s="171">
        <f>IF(W12="","",SUBTOTAL(2,$W$11:W12))</f>
        <v>2</v>
      </c>
      <c r="B12" s="179" t="str">
        <f t="shared" si="1"/>
        <v>00</v>
      </c>
      <c r="C12" s="180" t="str">
        <f t="shared" ref="C12:C75" si="2">IF(D12="","",$P$3)</f>
        <v>일반사업[일반]</v>
      </c>
      <c r="D12" s="180" t="str">
        <f t="shared" ref="D12:E60" si="3">IF(O12="","",O12)</f>
        <v>유미남</v>
      </c>
      <c r="E12" s="180" t="str">
        <f t="shared" si="3"/>
        <v>조리원</v>
      </c>
      <c r="F12" s="181" t="str">
        <f t="shared" ref="F12:F75" si="4">IF(E12="","",$P$4)</f>
        <v>재가노인복지시설 주야간보호</v>
      </c>
      <c r="G12" s="179" t="s">
        <v>483</v>
      </c>
      <c r="H12" s="179" t="s">
        <v>484</v>
      </c>
      <c r="I12" s="182">
        <f>IF(X12="","",X12*데이터입력!$Y$8)</f>
        <v>24252600</v>
      </c>
      <c r="J12" s="183">
        <f>IFERROR(IF(R11="",R12*데이터입력!$Y$8+데이터입력!$AE$91,R12*데이터입력!$Y$8),0)</f>
        <v>0</v>
      </c>
      <c r="K12" s="183">
        <f>IFERROR(IF(T11="",T12*데이터입력!$Y$8+데이터입력!$AE$93,T12*데이터입력!$Y$8),0)</f>
        <v>0</v>
      </c>
      <c r="L12" s="183">
        <f>IFERROR(IF(U11="",U12*데이터입력!$Y$8+데이터입력!$AE$95,U12*데이터입력!$Y$8),0)</f>
        <v>2100000</v>
      </c>
      <c r="M12" s="183">
        <f>IFERROR(IF(V11=0,V12*데이터입력!$Y$8+데이터입력!$AE$97,V12*데이터입력!$Y$8),0)</f>
        <v>3690000</v>
      </c>
      <c r="N12" s="594"/>
      <c r="O12" s="184" t="str">
        <f>IF(데이터입력!AP12="","",데이터입력!AP12)</f>
        <v>유미남</v>
      </c>
      <c r="P12" s="185" t="str">
        <f>IF(데이터입력!AQ12="","",데이터입력!AQ12)</f>
        <v>조리원</v>
      </c>
      <c r="Q12" s="186">
        <f>IF(데이터입력!AR12="",0,데이터입력!AR12)</f>
        <v>2100000</v>
      </c>
      <c r="R12" s="187">
        <f>IF(데이터입력!AS12="",0,데이터입력!AS12)</f>
        <v>0</v>
      </c>
      <c r="S12" s="178">
        <f>IF(데이터입력!AT12="",0,데이터입력!AT12)</f>
        <v>2100000</v>
      </c>
      <c r="T12" s="187">
        <f>IF(데이터입력!AU12="",0,데이터입력!AU12)</f>
        <v>0</v>
      </c>
      <c r="U12" s="186">
        <f>IF(데이터입력!AV12="",0,데이터입력!AV12)</f>
        <v>175000</v>
      </c>
      <c r="V12" s="177">
        <f>IF(데이터입력!AW12="",0,데이터입력!AW12)</f>
        <v>307500</v>
      </c>
      <c r="W12" s="597">
        <f>IF(데이터입력!AX12="",0,데이터입력!AX12)</f>
        <v>2582500</v>
      </c>
      <c r="X12" s="598">
        <f>IF(데이터입력!AY12="",0,데이터입력!AY12)</f>
        <v>2021050</v>
      </c>
      <c r="Y12" s="931">
        <f>IF(데이터입력!AZ12="",0,데이터입력!AZ12)</f>
        <v>2100000</v>
      </c>
      <c r="Z12" s="599">
        <f>IF(데이터입력!BA12="",0,데이터입력!BA12)</f>
        <v>175000</v>
      </c>
      <c r="AA12" s="935">
        <f>IF(데이터입력!BB12="",0,데이터입력!BB12)</f>
        <v>175000</v>
      </c>
      <c r="AD12" s="1736" t="s">
        <v>119</v>
      </c>
      <c r="AE12" s="1737">
        <v>0.60899999999999999</v>
      </c>
      <c r="AF12" s="1740">
        <f>데이터입력!AI23</f>
        <v>0.60899999999999999</v>
      </c>
      <c r="AG12" s="1741"/>
    </row>
    <row r="13" spans="1:33">
      <c r="A13" s="171">
        <f>IF(W13="","",SUBTOTAL(2,$W$11:W13))</f>
        <v>3</v>
      </c>
      <c r="B13" s="172" t="str">
        <f t="shared" si="1"/>
        <v>00</v>
      </c>
      <c r="C13" s="173" t="str">
        <f t="shared" si="2"/>
        <v>일반사업[일반]</v>
      </c>
      <c r="D13" s="173" t="str">
        <f t="shared" si="3"/>
        <v>신규1</v>
      </c>
      <c r="E13" s="173" t="str">
        <f t="shared" si="3"/>
        <v>보조원 운전사</v>
      </c>
      <c r="F13" s="174" t="str">
        <f t="shared" si="4"/>
        <v>재가노인복지시설 주야간보호</v>
      </c>
      <c r="G13" s="172" t="s">
        <v>483</v>
      </c>
      <c r="H13" s="172" t="s">
        <v>484</v>
      </c>
      <c r="I13" s="175">
        <f>IF(X13="","",X13*데이터입력!$Y$8)</f>
        <v>6929280</v>
      </c>
      <c r="J13" s="176">
        <f>R13*데이터입력!$Y$8</f>
        <v>0</v>
      </c>
      <c r="K13" s="176">
        <f>T13*데이터입력!$Y$8</f>
        <v>0</v>
      </c>
      <c r="L13" s="176">
        <f>IFERROR(U13*데이터입력!$Y$8,0)</f>
        <v>600000</v>
      </c>
      <c r="M13" s="176">
        <f>IFERROR(V13*데이터입력!$Y$8,0)</f>
        <v>1054320</v>
      </c>
      <c r="N13" s="594"/>
      <c r="O13" s="184" t="str">
        <f>IF(데이터입력!AP13="","",데이터입력!AP13)</f>
        <v>신규1</v>
      </c>
      <c r="P13" s="185" t="str">
        <f>IF(데이터입력!AQ13="","",데이터입력!AQ13)</f>
        <v>보조원 운전사</v>
      </c>
      <c r="Q13" s="186">
        <f>IF(데이터입력!AR13="",0,데이터입력!AR13)</f>
        <v>600000</v>
      </c>
      <c r="R13" s="187">
        <f>IF(데이터입력!AS13="",0,데이터입력!AS13)</f>
        <v>0</v>
      </c>
      <c r="S13" s="178">
        <f>IF(데이터입력!AT13="",0,데이터입력!AT13)</f>
        <v>600000</v>
      </c>
      <c r="T13" s="187">
        <f>IF(데이터입력!AU13="",0,데이터입력!AU13)</f>
        <v>0</v>
      </c>
      <c r="U13" s="186">
        <f>IF(데이터입력!AV13="",0,데이터입력!AV13)</f>
        <v>50000</v>
      </c>
      <c r="V13" s="177">
        <f>IF(데이터입력!AW13="",0,데이터입력!AW13)</f>
        <v>87860</v>
      </c>
      <c r="W13" s="597">
        <f>IF(데이터입력!AX13="",0,데이터입력!AX13)</f>
        <v>737860</v>
      </c>
      <c r="X13" s="598">
        <f>IF(데이터입력!AY13="",0,데이터입력!AY13)</f>
        <v>577440</v>
      </c>
      <c r="Y13" s="931">
        <f>IF(데이터입력!AZ13="",0,데이터입력!AZ13)</f>
        <v>600000</v>
      </c>
      <c r="Z13" s="599">
        <f>IF(데이터입력!BA13="",0,데이터입력!BA13)</f>
        <v>50000</v>
      </c>
      <c r="AA13" s="935">
        <f>IF(데이터입력!BB13="",0,데이터입력!BB13)</f>
        <v>50000</v>
      </c>
    </row>
    <row r="14" spans="1:33">
      <c r="A14" s="171">
        <f>IF(W14="","",SUBTOTAL(2,$W$11:W14))</f>
        <v>4</v>
      </c>
      <c r="B14" s="179" t="str">
        <f t="shared" si="1"/>
        <v>00</v>
      </c>
      <c r="C14" s="180" t="str">
        <f t="shared" si="2"/>
        <v/>
      </c>
      <c r="D14" s="180" t="str">
        <f t="shared" si="3"/>
        <v/>
      </c>
      <c r="E14" s="180" t="str">
        <f t="shared" si="3"/>
        <v/>
      </c>
      <c r="F14" s="181" t="str">
        <f t="shared" si="4"/>
        <v/>
      </c>
      <c r="G14" s="179" t="s">
        <v>483</v>
      </c>
      <c r="H14" s="179" t="s">
        <v>484</v>
      </c>
      <c r="I14" s="182">
        <f>IF(X14="","",X14*데이터입력!$Y$8)</f>
        <v>0</v>
      </c>
      <c r="J14" s="183">
        <f>R14*데이터입력!$Y$8</f>
        <v>0</v>
      </c>
      <c r="K14" s="183">
        <f>T14*데이터입력!$Y$8</f>
        <v>0</v>
      </c>
      <c r="L14" s="183">
        <f>IFERROR(U14*데이터입력!$Y$8,0)</f>
        <v>0</v>
      </c>
      <c r="M14" s="183">
        <f>IFERROR(V14*데이터입력!$Y$8,0)</f>
        <v>0</v>
      </c>
      <c r="N14" s="594"/>
      <c r="O14" s="184" t="str">
        <f>IF(데이터입력!AP14="","",데이터입력!AP14)</f>
        <v/>
      </c>
      <c r="P14" s="185" t="str">
        <f>IF(데이터입력!AQ14="","",데이터입력!AQ14)</f>
        <v/>
      </c>
      <c r="Q14" s="186">
        <f>IF(데이터입력!AR14="",0,데이터입력!AR14)</f>
        <v>0</v>
      </c>
      <c r="R14" s="187">
        <f>IF(데이터입력!AS14="",0,데이터입력!AS14)</f>
        <v>0</v>
      </c>
      <c r="S14" s="178">
        <f>IF(데이터입력!AT14="",0,데이터입력!AT14)</f>
        <v>0</v>
      </c>
      <c r="T14" s="187">
        <f>IF(데이터입력!AU14="",0,데이터입력!AU14)</f>
        <v>0</v>
      </c>
      <c r="U14" s="186">
        <f>IF(데이터입력!AV14="",0,데이터입력!AV14)</f>
        <v>0</v>
      </c>
      <c r="V14" s="177">
        <f>IF(데이터입력!AW14="",0,데이터입력!AW14)</f>
        <v>0</v>
      </c>
      <c r="W14" s="597">
        <f>IF(데이터입력!AX14="",0,데이터입력!AX14)</f>
        <v>0</v>
      </c>
      <c r="X14" s="598">
        <f>IF(데이터입력!AY14="",0,데이터입력!AY14)</f>
        <v>0</v>
      </c>
      <c r="Y14" s="931">
        <f>IF(데이터입력!AZ14="",0,데이터입력!AZ14)</f>
        <v>0</v>
      </c>
      <c r="Z14" s="599">
        <f>IF(데이터입력!BA14="",0,데이터입력!BA14)</f>
        <v>0</v>
      </c>
      <c r="AA14" s="935">
        <f>IF(데이터입력!BB14="",0,데이터입력!BB14)</f>
        <v>0</v>
      </c>
    </row>
    <row r="15" spans="1:33">
      <c r="A15" s="171">
        <f>IF(W15="","",SUBTOTAL(2,$W$11:W15))</f>
        <v>5</v>
      </c>
      <c r="B15" s="172" t="str">
        <f t="shared" si="1"/>
        <v>00</v>
      </c>
      <c r="C15" s="173" t="str">
        <f t="shared" si="2"/>
        <v/>
      </c>
      <c r="D15" s="173" t="str">
        <f t="shared" si="3"/>
        <v/>
      </c>
      <c r="E15" s="173" t="str">
        <f t="shared" si="3"/>
        <v/>
      </c>
      <c r="F15" s="174" t="str">
        <f t="shared" si="4"/>
        <v/>
      </c>
      <c r="G15" s="172" t="s">
        <v>483</v>
      </c>
      <c r="H15" s="172" t="s">
        <v>484</v>
      </c>
      <c r="I15" s="175">
        <f>IF(X15="","",X15*데이터입력!$Y$8)</f>
        <v>0</v>
      </c>
      <c r="J15" s="176">
        <f>R15*데이터입력!$Y$8</f>
        <v>0</v>
      </c>
      <c r="K15" s="176">
        <f>T15*데이터입력!$Y$8</f>
        <v>0</v>
      </c>
      <c r="L15" s="176">
        <f>IFERROR(U15*데이터입력!$Y$8,0)</f>
        <v>0</v>
      </c>
      <c r="M15" s="176">
        <f>IFERROR(V15*데이터입력!$Y$8,0)</f>
        <v>0</v>
      </c>
      <c r="N15" s="594"/>
      <c r="O15" s="184" t="str">
        <f>IF(데이터입력!AP15="","",데이터입력!AP15)</f>
        <v/>
      </c>
      <c r="P15" s="185" t="str">
        <f>IF(데이터입력!AQ15="","",데이터입력!AQ15)</f>
        <v/>
      </c>
      <c r="Q15" s="186">
        <f>IF(데이터입력!AR15="",0,데이터입력!AR15)</f>
        <v>0</v>
      </c>
      <c r="R15" s="187">
        <f>IF(데이터입력!AS15="",0,데이터입력!AS15)</f>
        <v>0</v>
      </c>
      <c r="S15" s="178">
        <f>IF(데이터입력!AT15="",0,데이터입력!AT15)</f>
        <v>0</v>
      </c>
      <c r="T15" s="187">
        <f>IF(데이터입력!AU15="",0,데이터입력!AU15)</f>
        <v>0</v>
      </c>
      <c r="U15" s="186">
        <f>IF(데이터입력!AV15="",0,데이터입력!AV15)</f>
        <v>0</v>
      </c>
      <c r="V15" s="177">
        <f>IF(데이터입력!AW15="",0,데이터입력!AW15)</f>
        <v>0</v>
      </c>
      <c r="W15" s="597">
        <f>IF(데이터입력!AX15="",0,데이터입력!AX15)</f>
        <v>0</v>
      </c>
      <c r="X15" s="598">
        <f>IF(데이터입력!AY15="",0,데이터입력!AY15)</f>
        <v>0</v>
      </c>
      <c r="Y15" s="931">
        <f>IF(데이터입력!AZ15="",0,데이터입력!AZ15)</f>
        <v>0</v>
      </c>
      <c r="Z15" s="599">
        <f>IF(데이터입력!BA15="",0,데이터입력!BA15)</f>
        <v>0</v>
      </c>
      <c r="AA15" s="935">
        <f>IF(데이터입력!BB15="",0,데이터입력!BB15)</f>
        <v>0</v>
      </c>
    </row>
    <row r="16" spans="1:33">
      <c r="A16" s="171">
        <f>IF(W16="","",SUBTOTAL(2,$W$11:W16))</f>
        <v>6</v>
      </c>
      <c r="B16" s="179" t="str">
        <f t="shared" si="1"/>
        <v>00</v>
      </c>
      <c r="C16" s="180" t="str">
        <f t="shared" si="2"/>
        <v/>
      </c>
      <c r="D16" s="180" t="str">
        <f t="shared" si="3"/>
        <v/>
      </c>
      <c r="E16" s="180" t="str">
        <f t="shared" si="3"/>
        <v/>
      </c>
      <c r="F16" s="181" t="str">
        <f t="shared" si="4"/>
        <v/>
      </c>
      <c r="G16" s="179" t="s">
        <v>483</v>
      </c>
      <c r="H16" s="179" t="s">
        <v>484</v>
      </c>
      <c r="I16" s="182">
        <f>IF(X16="","",X16*데이터입력!$Y$8)</f>
        <v>0</v>
      </c>
      <c r="J16" s="183">
        <f>R16*데이터입력!$Y$8</f>
        <v>0</v>
      </c>
      <c r="K16" s="183">
        <f>T16*데이터입력!$Y$8</f>
        <v>0</v>
      </c>
      <c r="L16" s="183">
        <f>IFERROR(U16*데이터입력!$Y$8,0)</f>
        <v>0</v>
      </c>
      <c r="M16" s="183">
        <f>IFERROR(V16*데이터입력!$Y$8,0)</f>
        <v>0</v>
      </c>
      <c r="N16" s="594"/>
      <c r="O16" s="184" t="str">
        <f>IF(데이터입력!AP16="","",데이터입력!AP16)</f>
        <v/>
      </c>
      <c r="P16" s="185" t="str">
        <f>IF(데이터입력!AQ16="","",데이터입력!AQ16)</f>
        <v/>
      </c>
      <c r="Q16" s="186">
        <f>IF(데이터입력!AR16="",0,데이터입력!AR16)</f>
        <v>0</v>
      </c>
      <c r="R16" s="187">
        <f>IF(데이터입력!AS16="",0,데이터입력!AS16)</f>
        <v>0</v>
      </c>
      <c r="S16" s="178">
        <f>IF(데이터입력!AT16="",0,데이터입력!AT16)</f>
        <v>0</v>
      </c>
      <c r="T16" s="187">
        <f>IF(데이터입력!AU16="",0,데이터입력!AU16)</f>
        <v>0</v>
      </c>
      <c r="U16" s="186">
        <f>IF(데이터입력!AV16="",0,데이터입력!AV16)</f>
        <v>0</v>
      </c>
      <c r="V16" s="177">
        <f>IF(데이터입력!AW16="",0,데이터입력!AW16)</f>
        <v>0</v>
      </c>
      <c r="W16" s="597">
        <f>IF(데이터입력!AX16="",0,데이터입력!AX16)</f>
        <v>0</v>
      </c>
      <c r="X16" s="598">
        <f>IF(데이터입력!AY16="",0,데이터입력!AY16)</f>
        <v>0</v>
      </c>
      <c r="Y16" s="931">
        <f>IF(데이터입력!AZ16="",0,데이터입력!AZ16)</f>
        <v>0</v>
      </c>
      <c r="Z16" s="599">
        <f>IF(데이터입력!BA16="",0,데이터입력!BA16)</f>
        <v>0</v>
      </c>
      <c r="AA16" s="935">
        <f>IF(데이터입력!BB16="",0,데이터입력!BB16)</f>
        <v>0</v>
      </c>
    </row>
    <row r="17" spans="1:27">
      <c r="A17" s="171">
        <f>IF(W17="","",SUBTOTAL(2,$W$11:W17))</f>
        <v>7</v>
      </c>
      <c r="B17" s="172" t="str">
        <f t="shared" si="1"/>
        <v>00</v>
      </c>
      <c r="C17" s="173" t="str">
        <f t="shared" si="2"/>
        <v/>
      </c>
      <c r="D17" s="173" t="str">
        <f t="shared" si="3"/>
        <v/>
      </c>
      <c r="E17" s="173" t="str">
        <f t="shared" si="3"/>
        <v/>
      </c>
      <c r="F17" s="174" t="str">
        <f t="shared" si="4"/>
        <v/>
      </c>
      <c r="G17" s="172" t="s">
        <v>483</v>
      </c>
      <c r="H17" s="172" t="s">
        <v>484</v>
      </c>
      <c r="I17" s="175">
        <f>IF(X17="","",X17*데이터입력!$Y$8)</f>
        <v>0</v>
      </c>
      <c r="J17" s="176">
        <f>R17*데이터입력!$Y$8</f>
        <v>0</v>
      </c>
      <c r="K17" s="176">
        <f>T17*데이터입력!$Y$8</f>
        <v>0</v>
      </c>
      <c r="L17" s="176">
        <f>IFERROR(U17*데이터입력!$Y$8,0)</f>
        <v>0</v>
      </c>
      <c r="M17" s="176">
        <f>IFERROR(V17*데이터입력!$Y$8,0)</f>
        <v>0</v>
      </c>
      <c r="N17" s="594"/>
      <c r="O17" s="184" t="str">
        <f>IF(데이터입력!AP17="","",데이터입력!AP17)</f>
        <v/>
      </c>
      <c r="P17" s="185" t="str">
        <f>IF(데이터입력!AQ17="","",데이터입력!AQ17)</f>
        <v/>
      </c>
      <c r="Q17" s="186">
        <f>IF(데이터입력!AR17="",0,데이터입력!AR17)</f>
        <v>0</v>
      </c>
      <c r="R17" s="187">
        <f>IF(데이터입력!AS17="",0,데이터입력!AS17)</f>
        <v>0</v>
      </c>
      <c r="S17" s="178">
        <f>IF(데이터입력!AT17="",0,데이터입력!AT17)</f>
        <v>0</v>
      </c>
      <c r="T17" s="187">
        <f>IF(데이터입력!AU17="",0,데이터입력!AU17)</f>
        <v>0</v>
      </c>
      <c r="U17" s="186">
        <f>IF(데이터입력!AV17="",0,데이터입력!AV17)</f>
        <v>0</v>
      </c>
      <c r="V17" s="177">
        <f>IF(데이터입력!AW17="",0,데이터입력!AW17)</f>
        <v>0</v>
      </c>
      <c r="W17" s="597">
        <f>IF(데이터입력!AX17="",0,데이터입력!AX17)</f>
        <v>0</v>
      </c>
      <c r="X17" s="598">
        <f>IF(데이터입력!AY17="",0,데이터입력!AY17)</f>
        <v>0</v>
      </c>
      <c r="Y17" s="931">
        <f>IF(데이터입력!AZ17="",0,데이터입력!AZ17)</f>
        <v>0</v>
      </c>
      <c r="Z17" s="599">
        <f>IF(데이터입력!BA17="",0,데이터입력!BA17)</f>
        <v>0</v>
      </c>
      <c r="AA17" s="935">
        <f>IF(데이터입력!BB17="",0,데이터입력!BB17)</f>
        <v>0</v>
      </c>
    </row>
    <row r="18" spans="1:27">
      <c r="A18" s="171">
        <f>IF(W18="","",SUBTOTAL(2,$W$11:W18))</f>
        <v>8</v>
      </c>
      <c r="B18" s="179" t="str">
        <f t="shared" si="1"/>
        <v>00</v>
      </c>
      <c r="C18" s="180" t="str">
        <f t="shared" si="2"/>
        <v/>
      </c>
      <c r="D18" s="180" t="str">
        <f t="shared" si="3"/>
        <v/>
      </c>
      <c r="E18" s="180" t="str">
        <f t="shared" si="3"/>
        <v/>
      </c>
      <c r="F18" s="181" t="str">
        <f t="shared" si="4"/>
        <v/>
      </c>
      <c r="G18" s="179" t="s">
        <v>483</v>
      </c>
      <c r="H18" s="179" t="s">
        <v>484</v>
      </c>
      <c r="I18" s="182">
        <f>IF(X18="","",X18*데이터입력!$Y$8)</f>
        <v>0</v>
      </c>
      <c r="J18" s="183">
        <f>R18*데이터입력!$Y$8</f>
        <v>0</v>
      </c>
      <c r="K18" s="183">
        <f>T18*데이터입력!$Y$8</f>
        <v>0</v>
      </c>
      <c r="L18" s="183">
        <f>IFERROR(U18*데이터입력!$Y$8,0)</f>
        <v>0</v>
      </c>
      <c r="M18" s="183">
        <f>IFERROR(V18*데이터입력!$Y$8,0)</f>
        <v>0</v>
      </c>
      <c r="N18" s="594"/>
      <c r="O18" s="184" t="str">
        <f>IF(데이터입력!AP18="","",데이터입력!AP18)</f>
        <v/>
      </c>
      <c r="P18" s="185" t="str">
        <f>IF(데이터입력!AQ18="","",데이터입력!AQ18)</f>
        <v/>
      </c>
      <c r="Q18" s="186">
        <f>IF(데이터입력!AR18="",0,데이터입력!AR18)</f>
        <v>0</v>
      </c>
      <c r="R18" s="187">
        <f>IF(데이터입력!AS18="",0,데이터입력!AS18)</f>
        <v>0</v>
      </c>
      <c r="S18" s="178">
        <f>IF(데이터입력!AT18="",0,데이터입력!AT18)</f>
        <v>0</v>
      </c>
      <c r="T18" s="187">
        <f>IF(데이터입력!AU18="",0,데이터입력!AU18)</f>
        <v>0</v>
      </c>
      <c r="U18" s="186">
        <f>IF(데이터입력!AV18="",0,데이터입력!AV18)</f>
        <v>0</v>
      </c>
      <c r="V18" s="177">
        <f>IF(데이터입력!AW18="",0,데이터입력!AW18)</f>
        <v>0</v>
      </c>
      <c r="W18" s="597">
        <f>IF(데이터입력!AX18="",0,데이터입력!AX18)</f>
        <v>0</v>
      </c>
      <c r="X18" s="598">
        <f>IF(데이터입력!AY18="",0,데이터입력!AY18)</f>
        <v>0</v>
      </c>
      <c r="Y18" s="931">
        <f>IF(데이터입력!AZ18="",0,데이터입력!AZ18)</f>
        <v>0</v>
      </c>
      <c r="Z18" s="599">
        <f>IF(데이터입력!BA18="",0,데이터입력!BA18)</f>
        <v>0</v>
      </c>
      <c r="AA18" s="935">
        <f>IF(데이터입력!BB18="",0,데이터입력!BB18)</f>
        <v>0</v>
      </c>
    </row>
    <row r="19" spans="1:27">
      <c r="A19" s="171">
        <f>IF(W19="","",SUBTOTAL(2,$W$11:W19))</f>
        <v>9</v>
      </c>
      <c r="B19" s="172" t="str">
        <f t="shared" si="1"/>
        <v>00</v>
      </c>
      <c r="C19" s="173" t="str">
        <f t="shared" si="2"/>
        <v/>
      </c>
      <c r="D19" s="173" t="str">
        <f t="shared" si="3"/>
        <v/>
      </c>
      <c r="E19" s="173" t="str">
        <f t="shared" si="3"/>
        <v/>
      </c>
      <c r="F19" s="174" t="str">
        <f t="shared" si="4"/>
        <v/>
      </c>
      <c r="G19" s="172" t="s">
        <v>483</v>
      </c>
      <c r="H19" s="172" t="s">
        <v>484</v>
      </c>
      <c r="I19" s="175">
        <f>IF(X19="","",X19*데이터입력!$Y$8)</f>
        <v>0</v>
      </c>
      <c r="J19" s="176">
        <f>R19*데이터입력!$Y$8</f>
        <v>0</v>
      </c>
      <c r="K19" s="176">
        <f>T19*데이터입력!$Y$8</f>
        <v>0</v>
      </c>
      <c r="L19" s="176">
        <f>IFERROR(U19*데이터입력!$Y$8,0)</f>
        <v>0</v>
      </c>
      <c r="M19" s="176">
        <f>IFERROR(V19*데이터입력!$Y$8,0)</f>
        <v>0</v>
      </c>
      <c r="N19" s="594"/>
      <c r="O19" s="184" t="str">
        <f>IF(데이터입력!AP19="","",데이터입력!AP19)</f>
        <v/>
      </c>
      <c r="P19" s="185" t="str">
        <f>IF(데이터입력!AQ19="","",데이터입력!AQ19)</f>
        <v/>
      </c>
      <c r="Q19" s="186">
        <f>IF(데이터입력!AR19="",0,데이터입력!AR19)</f>
        <v>0</v>
      </c>
      <c r="R19" s="187">
        <f>IF(데이터입력!AS19="",0,데이터입력!AS19)</f>
        <v>0</v>
      </c>
      <c r="S19" s="178">
        <f>IF(데이터입력!AT19="",0,데이터입력!AT19)</f>
        <v>0</v>
      </c>
      <c r="T19" s="187">
        <f>IF(데이터입력!AU19="",0,데이터입력!AU19)</f>
        <v>0</v>
      </c>
      <c r="U19" s="186">
        <f>IF(데이터입력!AV19="",0,데이터입력!AV19)</f>
        <v>0</v>
      </c>
      <c r="V19" s="177">
        <f>IF(데이터입력!AW19="",0,데이터입력!AW19)</f>
        <v>0</v>
      </c>
      <c r="W19" s="597">
        <f>IF(데이터입력!AX19="",0,데이터입력!AX19)</f>
        <v>0</v>
      </c>
      <c r="X19" s="598">
        <f>IF(데이터입력!AY19="",0,데이터입력!AY19)</f>
        <v>0</v>
      </c>
      <c r="Y19" s="931">
        <f>IF(데이터입력!AZ19="",0,데이터입력!AZ19)</f>
        <v>0</v>
      </c>
      <c r="Z19" s="599">
        <f>IF(데이터입력!BA19="",0,데이터입력!BA19)</f>
        <v>0</v>
      </c>
      <c r="AA19" s="935">
        <f>IF(데이터입력!BB19="",0,데이터입력!BB19)</f>
        <v>0</v>
      </c>
    </row>
    <row r="20" spans="1:27">
      <c r="A20" s="171">
        <f>IF(W20="","",SUBTOTAL(2,$W$11:W20))</f>
        <v>10</v>
      </c>
      <c r="B20" s="179" t="str">
        <f t="shared" si="1"/>
        <v>00</v>
      </c>
      <c r="C20" s="180" t="str">
        <f t="shared" si="2"/>
        <v/>
      </c>
      <c r="D20" s="180" t="str">
        <f t="shared" si="3"/>
        <v/>
      </c>
      <c r="E20" s="180" t="str">
        <f t="shared" si="3"/>
        <v/>
      </c>
      <c r="F20" s="181" t="str">
        <f t="shared" si="4"/>
        <v/>
      </c>
      <c r="G20" s="179" t="s">
        <v>483</v>
      </c>
      <c r="H20" s="179" t="s">
        <v>484</v>
      </c>
      <c r="I20" s="182">
        <f>IF(X20="","",X20*데이터입력!$Y$8)</f>
        <v>0</v>
      </c>
      <c r="J20" s="183">
        <f>R20*데이터입력!$Y$8</f>
        <v>0</v>
      </c>
      <c r="K20" s="183">
        <f>T20*데이터입력!$Y$8</f>
        <v>0</v>
      </c>
      <c r="L20" s="183">
        <f>IFERROR(U20*데이터입력!$Y$8,0)</f>
        <v>0</v>
      </c>
      <c r="M20" s="183">
        <f>IFERROR(V20*데이터입력!$Y$8,0)</f>
        <v>0</v>
      </c>
      <c r="N20" s="594"/>
      <c r="O20" s="184" t="str">
        <f>IF(데이터입력!AP20="","",데이터입력!AP20)</f>
        <v/>
      </c>
      <c r="P20" s="185" t="str">
        <f>IF(데이터입력!AQ20="","",데이터입력!AQ20)</f>
        <v/>
      </c>
      <c r="Q20" s="186">
        <f>IF(데이터입력!AR20="",0,데이터입력!AR20)</f>
        <v>0</v>
      </c>
      <c r="R20" s="187">
        <f>IF(데이터입력!AS20="",0,데이터입력!AS20)</f>
        <v>0</v>
      </c>
      <c r="S20" s="178">
        <f>IF(데이터입력!AT20="",0,데이터입력!AT20)</f>
        <v>0</v>
      </c>
      <c r="T20" s="187">
        <f>IF(데이터입력!AU20="",0,데이터입력!AU20)</f>
        <v>0</v>
      </c>
      <c r="U20" s="186">
        <f>IF(데이터입력!AV20="",0,데이터입력!AV20)</f>
        <v>0</v>
      </c>
      <c r="V20" s="177">
        <f>IF(데이터입력!AW20="",0,데이터입력!AW20)</f>
        <v>0</v>
      </c>
      <c r="W20" s="597">
        <f>IF(데이터입력!AX20="",0,데이터입력!AX20)</f>
        <v>0</v>
      </c>
      <c r="X20" s="598">
        <f>IF(데이터입력!AY20="",0,데이터입력!AY20)</f>
        <v>0</v>
      </c>
      <c r="Y20" s="931">
        <f>IF(데이터입력!AZ20="",0,데이터입력!AZ20)</f>
        <v>0</v>
      </c>
      <c r="Z20" s="599">
        <f>IF(데이터입력!BA20="",0,데이터입력!BA20)</f>
        <v>0</v>
      </c>
      <c r="AA20" s="935">
        <f>IF(데이터입력!BB20="",0,데이터입력!BB20)</f>
        <v>0</v>
      </c>
    </row>
    <row r="21" spans="1:27">
      <c r="A21" s="171">
        <f>IF(W21="","",SUBTOTAL(2,$W$11:W21))</f>
        <v>11</v>
      </c>
      <c r="B21" s="172" t="str">
        <f t="shared" si="1"/>
        <v>00</v>
      </c>
      <c r="C21" s="173" t="str">
        <f t="shared" si="2"/>
        <v/>
      </c>
      <c r="D21" s="173" t="str">
        <f t="shared" si="3"/>
        <v/>
      </c>
      <c r="E21" s="173" t="str">
        <f t="shared" si="3"/>
        <v/>
      </c>
      <c r="F21" s="174" t="str">
        <f t="shared" si="4"/>
        <v/>
      </c>
      <c r="G21" s="172" t="s">
        <v>483</v>
      </c>
      <c r="H21" s="172" t="s">
        <v>484</v>
      </c>
      <c r="I21" s="175">
        <f>IF(X21="","",X21*데이터입력!$Y$8)</f>
        <v>0</v>
      </c>
      <c r="J21" s="176">
        <f>R21*데이터입력!$Y$8</f>
        <v>0</v>
      </c>
      <c r="K21" s="176">
        <f>T21*데이터입력!$Y$8</f>
        <v>0</v>
      </c>
      <c r="L21" s="176">
        <f>IFERROR(U21*데이터입력!$Y$8,0)</f>
        <v>0</v>
      </c>
      <c r="M21" s="176">
        <f>IFERROR(V21*데이터입력!$Y$8,0)</f>
        <v>0</v>
      </c>
      <c r="N21" s="594"/>
      <c r="O21" s="184" t="str">
        <f>IF(데이터입력!AP21="","",데이터입력!AP21)</f>
        <v/>
      </c>
      <c r="P21" s="185" t="str">
        <f>IF(데이터입력!AQ21="","",데이터입력!AQ21)</f>
        <v/>
      </c>
      <c r="Q21" s="186">
        <f>IF(데이터입력!AR21="",0,데이터입력!AR21)</f>
        <v>0</v>
      </c>
      <c r="R21" s="187">
        <f>IF(데이터입력!AS21="",0,데이터입력!AS21)</f>
        <v>0</v>
      </c>
      <c r="S21" s="178">
        <f>IF(데이터입력!AT21="",0,데이터입력!AT21)</f>
        <v>0</v>
      </c>
      <c r="T21" s="187">
        <f>IF(데이터입력!AU21="",0,데이터입력!AU21)</f>
        <v>0</v>
      </c>
      <c r="U21" s="186">
        <f>IF(데이터입력!AV21="",0,데이터입력!AV21)</f>
        <v>0</v>
      </c>
      <c r="V21" s="177">
        <f>IF(데이터입력!AW21="",0,데이터입력!AW21)</f>
        <v>0</v>
      </c>
      <c r="W21" s="597">
        <f>IF(데이터입력!AX21="",0,데이터입력!AX21)</f>
        <v>0</v>
      </c>
      <c r="X21" s="598">
        <f>IF(데이터입력!AY21="",0,데이터입력!AY21)</f>
        <v>0</v>
      </c>
      <c r="Y21" s="931">
        <f>IF(데이터입력!AZ21="",0,데이터입력!AZ21)</f>
        <v>0</v>
      </c>
      <c r="Z21" s="599">
        <f>IF(데이터입력!BA21="",0,데이터입력!BA21)</f>
        <v>0</v>
      </c>
      <c r="AA21" s="935">
        <f>IF(데이터입력!BB21="",0,데이터입력!BB21)</f>
        <v>0</v>
      </c>
    </row>
    <row r="22" spans="1:27">
      <c r="A22" s="171">
        <f>IF(W22="","",SUBTOTAL(2,$W$11:W22))</f>
        <v>12</v>
      </c>
      <c r="B22" s="179" t="str">
        <f t="shared" si="1"/>
        <v>00</v>
      </c>
      <c r="C22" s="180" t="str">
        <f t="shared" si="2"/>
        <v/>
      </c>
      <c r="D22" s="180" t="str">
        <f t="shared" si="3"/>
        <v/>
      </c>
      <c r="E22" s="180" t="str">
        <f t="shared" si="3"/>
        <v/>
      </c>
      <c r="F22" s="181" t="str">
        <f t="shared" si="4"/>
        <v/>
      </c>
      <c r="G22" s="179" t="s">
        <v>483</v>
      </c>
      <c r="H22" s="179" t="s">
        <v>484</v>
      </c>
      <c r="I22" s="182">
        <f>IF(X22="","",X22*데이터입력!$Y$8)</f>
        <v>0</v>
      </c>
      <c r="J22" s="183">
        <f>R22*데이터입력!$Y$8</f>
        <v>0</v>
      </c>
      <c r="K22" s="183">
        <f>T22*데이터입력!$Y$8</f>
        <v>0</v>
      </c>
      <c r="L22" s="183">
        <f>IFERROR(U22*데이터입력!$Y$8,0)</f>
        <v>0</v>
      </c>
      <c r="M22" s="183">
        <f>IFERROR(V22*데이터입력!$Y$8,0)</f>
        <v>0</v>
      </c>
      <c r="N22" s="594"/>
      <c r="O22" s="184" t="str">
        <f>IF(데이터입력!AP22="","",데이터입력!AP22)</f>
        <v/>
      </c>
      <c r="P22" s="185" t="str">
        <f>IF(데이터입력!AQ22="","",데이터입력!AQ22)</f>
        <v/>
      </c>
      <c r="Q22" s="186">
        <f>IF(데이터입력!AR22="",0,데이터입력!AR22)</f>
        <v>0</v>
      </c>
      <c r="R22" s="187">
        <f>IF(데이터입력!AS22="",0,데이터입력!AS22)</f>
        <v>0</v>
      </c>
      <c r="S22" s="178">
        <f>IF(데이터입력!AT22="",0,데이터입력!AT22)</f>
        <v>0</v>
      </c>
      <c r="T22" s="187">
        <f>IF(데이터입력!AU22="",0,데이터입력!AU22)</f>
        <v>0</v>
      </c>
      <c r="U22" s="186">
        <f>IF(데이터입력!AV22="",0,데이터입력!AV22)</f>
        <v>0</v>
      </c>
      <c r="V22" s="177">
        <f>IF(데이터입력!AW22="",0,데이터입력!AW22)</f>
        <v>0</v>
      </c>
      <c r="W22" s="597">
        <f>IF(데이터입력!AX22="",0,데이터입력!AX22)</f>
        <v>0</v>
      </c>
      <c r="X22" s="598">
        <f>IF(데이터입력!AY22="",0,데이터입력!AY22)</f>
        <v>0</v>
      </c>
      <c r="Y22" s="931">
        <f>IF(데이터입력!AZ22="",0,데이터입력!AZ22)</f>
        <v>0</v>
      </c>
      <c r="Z22" s="599">
        <f>IF(데이터입력!BA22="",0,데이터입력!BA22)</f>
        <v>0</v>
      </c>
      <c r="AA22" s="935">
        <f>IF(데이터입력!BB22="",0,데이터입력!BB22)</f>
        <v>0</v>
      </c>
    </row>
    <row r="23" spans="1:27">
      <c r="A23" s="171">
        <f>IF(W23="","",SUBTOTAL(2,$W$11:W23))</f>
        <v>13</v>
      </c>
      <c r="B23" s="172" t="str">
        <f t="shared" si="1"/>
        <v>00</v>
      </c>
      <c r="C23" s="173" t="str">
        <f t="shared" si="2"/>
        <v/>
      </c>
      <c r="D23" s="173" t="str">
        <f t="shared" si="3"/>
        <v/>
      </c>
      <c r="E23" s="173" t="str">
        <f t="shared" si="3"/>
        <v/>
      </c>
      <c r="F23" s="174" t="str">
        <f t="shared" si="4"/>
        <v/>
      </c>
      <c r="G23" s="172" t="s">
        <v>483</v>
      </c>
      <c r="H23" s="172" t="s">
        <v>484</v>
      </c>
      <c r="I23" s="175">
        <f>IF(X23="","",X23*데이터입력!$Y$8)</f>
        <v>0</v>
      </c>
      <c r="J23" s="176">
        <f>R23*데이터입력!$Y$8</f>
        <v>0</v>
      </c>
      <c r="K23" s="176">
        <f>T23*데이터입력!$Y$8</f>
        <v>0</v>
      </c>
      <c r="L23" s="176">
        <f>IFERROR(U23*데이터입력!$Y$8,0)</f>
        <v>0</v>
      </c>
      <c r="M23" s="176">
        <f>IFERROR(V23*데이터입력!$Y$8,0)</f>
        <v>0</v>
      </c>
      <c r="N23" s="594"/>
      <c r="O23" s="184" t="str">
        <f>IF(데이터입력!AP23="","",데이터입력!AP23)</f>
        <v/>
      </c>
      <c r="P23" s="185" t="str">
        <f>IF(데이터입력!AQ23="","",데이터입력!AQ23)</f>
        <v/>
      </c>
      <c r="Q23" s="186">
        <f>IF(데이터입력!AR23="",0,데이터입력!AR23)</f>
        <v>0</v>
      </c>
      <c r="R23" s="187">
        <f>IF(데이터입력!AS23="",0,데이터입력!AS23)</f>
        <v>0</v>
      </c>
      <c r="S23" s="178">
        <f>IF(데이터입력!AT23="",0,데이터입력!AT23)</f>
        <v>0</v>
      </c>
      <c r="T23" s="187">
        <f>IF(데이터입력!AU23="",0,데이터입력!AU23)</f>
        <v>0</v>
      </c>
      <c r="U23" s="186">
        <f>IF(데이터입력!AV23="",0,데이터입력!AV23)</f>
        <v>0</v>
      </c>
      <c r="V23" s="177">
        <f>IF(데이터입력!AW23="",0,데이터입력!AW23)</f>
        <v>0</v>
      </c>
      <c r="W23" s="597">
        <f>IF(데이터입력!AX23="",0,데이터입력!AX23)</f>
        <v>0</v>
      </c>
      <c r="X23" s="598">
        <f>IF(데이터입력!AY23="",0,데이터입력!AY23)</f>
        <v>0</v>
      </c>
      <c r="Y23" s="931">
        <f>IF(데이터입력!AZ23="",0,데이터입력!AZ23)</f>
        <v>0</v>
      </c>
      <c r="Z23" s="599">
        <f>IF(데이터입력!BA23="",0,데이터입력!BA23)</f>
        <v>0</v>
      </c>
      <c r="AA23" s="935">
        <f>IF(데이터입력!BB23="",0,데이터입력!BB23)</f>
        <v>0</v>
      </c>
    </row>
    <row r="24" spans="1:27">
      <c r="A24" s="171">
        <f>IF(W24="","",SUBTOTAL(2,$W$11:W24))</f>
        <v>14</v>
      </c>
      <c r="B24" s="179" t="str">
        <f t="shared" si="1"/>
        <v>00</v>
      </c>
      <c r="C24" s="180" t="str">
        <f t="shared" si="2"/>
        <v/>
      </c>
      <c r="D24" s="180" t="str">
        <f t="shared" si="3"/>
        <v/>
      </c>
      <c r="E24" s="180" t="str">
        <f t="shared" si="3"/>
        <v/>
      </c>
      <c r="F24" s="181" t="str">
        <f t="shared" si="4"/>
        <v/>
      </c>
      <c r="G24" s="179" t="s">
        <v>483</v>
      </c>
      <c r="H24" s="179" t="s">
        <v>484</v>
      </c>
      <c r="I24" s="182">
        <f>IF(X24="","",X24*데이터입력!$Y$8)</f>
        <v>0</v>
      </c>
      <c r="J24" s="183">
        <f>R24*데이터입력!$Y$8</f>
        <v>0</v>
      </c>
      <c r="K24" s="183">
        <f>T24*데이터입력!$Y$8</f>
        <v>0</v>
      </c>
      <c r="L24" s="183">
        <f>IFERROR(U24*데이터입력!$Y$8,0)</f>
        <v>0</v>
      </c>
      <c r="M24" s="183">
        <f>IFERROR(V24*데이터입력!$Y$8,0)</f>
        <v>0</v>
      </c>
      <c r="N24" s="594"/>
      <c r="O24" s="184" t="str">
        <f>IF(데이터입력!AP24="","",데이터입력!AP24)</f>
        <v/>
      </c>
      <c r="P24" s="185" t="str">
        <f>IF(데이터입력!AQ24="","",데이터입력!AQ24)</f>
        <v/>
      </c>
      <c r="Q24" s="186">
        <f>IF(데이터입력!AR24="",0,데이터입력!AR24)</f>
        <v>0</v>
      </c>
      <c r="R24" s="187">
        <f>IF(데이터입력!AS24="",0,데이터입력!AS24)</f>
        <v>0</v>
      </c>
      <c r="S24" s="178">
        <f>IF(데이터입력!AT24="",0,데이터입력!AT24)</f>
        <v>0</v>
      </c>
      <c r="T24" s="187">
        <f>IF(데이터입력!AU24="",0,데이터입력!AU24)</f>
        <v>0</v>
      </c>
      <c r="U24" s="186">
        <f>IF(데이터입력!AV24="",0,데이터입력!AV24)</f>
        <v>0</v>
      </c>
      <c r="V24" s="177">
        <f>IF(데이터입력!AW24="",0,데이터입력!AW24)</f>
        <v>0</v>
      </c>
      <c r="W24" s="597">
        <f>IF(데이터입력!AX24="",0,데이터입력!AX24)</f>
        <v>0</v>
      </c>
      <c r="X24" s="598">
        <f>IF(데이터입력!AY24="",0,데이터입력!AY24)</f>
        <v>0</v>
      </c>
      <c r="Y24" s="931">
        <f>IF(데이터입력!AZ24="",0,데이터입력!AZ24)</f>
        <v>0</v>
      </c>
      <c r="Z24" s="599">
        <f>IF(데이터입력!BA24="",0,데이터입력!BA24)</f>
        <v>0</v>
      </c>
      <c r="AA24" s="935">
        <f>IF(데이터입력!BB24="",0,데이터입력!BB24)</f>
        <v>0</v>
      </c>
    </row>
    <row r="25" spans="1:27">
      <c r="A25" s="171">
        <f>IF(W25="","",SUBTOTAL(2,$W$11:W25))</f>
        <v>15</v>
      </c>
      <c r="B25" s="172" t="str">
        <f t="shared" si="1"/>
        <v>00</v>
      </c>
      <c r="C25" s="173" t="str">
        <f t="shared" si="2"/>
        <v/>
      </c>
      <c r="D25" s="173" t="str">
        <f t="shared" si="3"/>
        <v/>
      </c>
      <c r="E25" s="173" t="str">
        <f t="shared" si="3"/>
        <v/>
      </c>
      <c r="F25" s="174" t="str">
        <f t="shared" si="4"/>
        <v/>
      </c>
      <c r="G25" s="172" t="s">
        <v>483</v>
      </c>
      <c r="H25" s="172" t="s">
        <v>484</v>
      </c>
      <c r="I25" s="175">
        <f>IF(X25="","",X25*데이터입력!$Y$8)</f>
        <v>0</v>
      </c>
      <c r="J25" s="176">
        <f>R25*데이터입력!$Y$8</f>
        <v>0</v>
      </c>
      <c r="K25" s="176">
        <f>T25*데이터입력!$Y$8</f>
        <v>0</v>
      </c>
      <c r="L25" s="176">
        <f>IFERROR(U25*데이터입력!$Y$8,0)</f>
        <v>0</v>
      </c>
      <c r="M25" s="176">
        <f>IFERROR(V25*데이터입력!$Y$8,0)</f>
        <v>0</v>
      </c>
      <c r="N25" s="594"/>
      <c r="O25" s="184" t="str">
        <f>IF(데이터입력!AP25="","",데이터입력!AP25)</f>
        <v/>
      </c>
      <c r="P25" s="185" t="str">
        <f>IF(데이터입력!AQ25="","",데이터입력!AQ25)</f>
        <v/>
      </c>
      <c r="Q25" s="186">
        <f>IF(데이터입력!AR25="",0,데이터입력!AR25)</f>
        <v>0</v>
      </c>
      <c r="R25" s="187">
        <f>IF(데이터입력!AS25="",0,데이터입력!AS25)</f>
        <v>0</v>
      </c>
      <c r="S25" s="178">
        <f>IF(데이터입력!AT25="",0,데이터입력!AT25)</f>
        <v>0</v>
      </c>
      <c r="T25" s="187">
        <f>IF(데이터입력!AU25="",0,데이터입력!AU25)</f>
        <v>0</v>
      </c>
      <c r="U25" s="186">
        <f>IF(데이터입력!AV25="",0,데이터입력!AV25)</f>
        <v>0</v>
      </c>
      <c r="V25" s="177">
        <f>IF(데이터입력!AW25="",0,데이터입력!AW25)</f>
        <v>0</v>
      </c>
      <c r="W25" s="597">
        <f>IF(데이터입력!AX25="",0,데이터입력!AX25)</f>
        <v>0</v>
      </c>
      <c r="X25" s="598">
        <f>IF(데이터입력!AY25="",0,데이터입력!AY25)</f>
        <v>0</v>
      </c>
      <c r="Y25" s="931">
        <f>IF(데이터입력!AZ25="",0,데이터입력!AZ25)</f>
        <v>0</v>
      </c>
      <c r="Z25" s="599">
        <f>IF(데이터입력!BA25="",0,데이터입력!BA25)</f>
        <v>0</v>
      </c>
      <c r="AA25" s="935">
        <f>IF(데이터입력!BB25="",0,데이터입력!BB25)</f>
        <v>0</v>
      </c>
    </row>
    <row r="26" spans="1:27">
      <c r="A26" s="171">
        <f>IF(W26="","",SUBTOTAL(2,$W$11:W26))</f>
        <v>16</v>
      </c>
      <c r="B26" s="179" t="str">
        <f t="shared" si="1"/>
        <v>00</v>
      </c>
      <c r="C26" s="180" t="str">
        <f t="shared" si="2"/>
        <v/>
      </c>
      <c r="D26" s="180" t="str">
        <f t="shared" si="3"/>
        <v/>
      </c>
      <c r="E26" s="180" t="str">
        <f t="shared" si="3"/>
        <v/>
      </c>
      <c r="F26" s="181" t="str">
        <f t="shared" si="4"/>
        <v/>
      </c>
      <c r="G26" s="179" t="s">
        <v>483</v>
      </c>
      <c r="H26" s="179" t="s">
        <v>484</v>
      </c>
      <c r="I26" s="182">
        <f>IF(X26="","",X26*데이터입력!$Y$8)</f>
        <v>0</v>
      </c>
      <c r="J26" s="183">
        <f>R26*데이터입력!$Y$8</f>
        <v>0</v>
      </c>
      <c r="K26" s="183">
        <f>T26*데이터입력!$Y$8</f>
        <v>0</v>
      </c>
      <c r="L26" s="183">
        <f>IFERROR(U26*데이터입력!$Y$8,0)</f>
        <v>0</v>
      </c>
      <c r="M26" s="183">
        <f>IFERROR(V26*데이터입력!$Y$8,0)</f>
        <v>0</v>
      </c>
      <c r="N26" s="594"/>
      <c r="O26" s="184" t="str">
        <f>IF(데이터입력!AP26="","",데이터입력!AP26)</f>
        <v/>
      </c>
      <c r="P26" s="185" t="str">
        <f>IF(데이터입력!AQ26="","",데이터입력!AQ26)</f>
        <v/>
      </c>
      <c r="Q26" s="186">
        <f>IF(데이터입력!AR26="",0,데이터입력!AR26)</f>
        <v>0</v>
      </c>
      <c r="R26" s="187">
        <f>IF(데이터입력!AS26="",0,데이터입력!AS26)</f>
        <v>0</v>
      </c>
      <c r="S26" s="178">
        <f>IF(데이터입력!AT26="",0,데이터입력!AT26)</f>
        <v>0</v>
      </c>
      <c r="T26" s="187">
        <f>IF(데이터입력!AU26="",0,데이터입력!AU26)</f>
        <v>0</v>
      </c>
      <c r="U26" s="186">
        <f>IF(데이터입력!AV26="",0,데이터입력!AV26)</f>
        <v>0</v>
      </c>
      <c r="V26" s="177">
        <f>IF(데이터입력!AW26="",0,데이터입력!AW26)</f>
        <v>0</v>
      </c>
      <c r="W26" s="597">
        <f>IF(데이터입력!AX26="",0,데이터입력!AX26)</f>
        <v>0</v>
      </c>
      <c r="X26" s="598">
        <f>IF(데이터입력!AY26="",0,데이터입력!AY26)</f>
        <v>0</v>
      </c>
      <c r="Y26" s="931">
        <f>IF(데이터입력!AZ26="",0,데이터입력!AZ26)</f>
        <v>0</v>
      </c>
      <c r="Z26" s="599">
        <f>IF(데이터입력!BA26="",0,데이터입력!BA26)</f>
        <v>0</v>
      </c>
      <c r="AA26" s="935">
        <f>IF(데이터입력!BB26="",0,데이터입력!BB26)</f>
        <v>0</v>
      </c>
    </row>
    <row r="27" spans="1:27">
      <c r="A27" s="171">
        <f>IF(W27="","",SUBTOTAL(2,$W$11:W27))</f>
        <v>17</v>
      </c>
      <c r="B27" s="172" t="str">
        <f t="shared" si="1"/>
        <v>00</v>
      </c>
      <c r="C27" s="173" t="str">
        <f t="shared" si="2"/>
        <v/>
      </c>
      <c r="D27" s="173" t="str">
        <f t="shared" si="3"/>
        <v/>
      </c>
      <c r="E27" s="173" t="str">
        <f t="shared" si="3"/>
        <v/>
      </c>
      <c r="F27" s="174" t="str">
        <f t="shared" si="4"/>
        <v/>
      </c>
      <c r="G27" s="172" t="s">
        <v>483</v>
      </c>
      <c r="H27" s="172" t="s">
        <v>484</v>
      </c>
      <c r="I27" s="175">
        <f>IF(X27="","",X27*데이터입력!$Y$8)</f>
        <v>0</v>
      </c>
      <c r="J27" s="176">
        <f>R27*데이터입력!$Y$8</f>
        <v>0</v>
      </c>
      <c r="K27" s="176">
        <f>T27*데이터입력!$Y$8</f>
        <v>0</v>
      </c>
      <c r="L27" s="176">
        <f>IFERROR(U27*데이터입력!$Y$8,0)</f>
        <v>0</v>
      </c>
      <c r="M27" s="176">
        <f>IFERROR(V27*데이터입력!$Y$8,0)</f>
        <v>0</v>
      </c>
      <c r="N27" s="594"/>
      <c r="O27" s="184" t="str">
        <f>IF(데이터입력!AP27="","",데이터입력!AP27)</f>
        <v/>
      </c>
      <c r="P27" s="185" t="str">
        <f>IF(데이터입력!AQ27="","",데이터입력!AQ27)</f>
        <v/>
      </c>
      <c r="Q27" s="186">
        <f>IF(데이터입력!AR27="",0,데이터입력!AR27)</f>
        <v>0</v>
      </c>
      <c r="R27" s="187">
        <f>IF(데이터입력!AS27="",0,데이터입력!AS27)</f>
        <v>0</v>
      </c>
      <c r="S27" s="178">
        <f>IF(데이터입력!AT27="",0,데이터입력!AT27)</f>
        <v>0</v>
      </c>
      <c r="T27" s="187">
        <f>IF(데이터입력!AU27="",0,데이터입력!AU27)</f>
        <v>0</v>
      </c>
      <c r="U27" s="186">
        <f>IF(데이터입력!AV27="",0,데이터입력!AV27)</f>
        <v>0</v>
      </c>
      <c r="V27" s="177">
        <f>IF(데이터입력!AW27="",0,데이터입력!AW27)</f>
        <v>0</v>
      </c>
      <c r="W27" s="597">
        <f>IF(데이터입력!AX27="",0,데이터입력!AX27)</f>
        <v>0</v>
      </c>
      <c r="X27" s="598">
        <f>IF(데이터입력!AY27="",0,데이터입력!AY27)</f>
        <v>0</v>
      </c>
      <c r="Y27" s="931">
        <f>IF(데이터입력!AZ27="",0,데이터입력!AZ27)</f>
        <v>0</v>
      </c>
      <c r="Z27" s="599">
        <f>IF(데이터입력!BA27="",0,데이터입력!BA27)</f>
        <v>0</v>
      </c>
      <c r="AA27" s="935">
        <f>IF(데이터입력!BB27="",0,데이터입력!BB27)</f>
        <v>0</v>
      </c>
    </row>
    <row r="28" spans="1:27" ht="17.25" thickBot="1">
      <c r="A28" s="171">
        <f>IF(W28="","",SUBTOTAL(2,$W$11:W28))</f>
        <v>18</v>
      </c>
      <c r="B28" s="179" t="str">
        <f t="shared" si="1"/>
        <v>00</v>
      </c>
      <c r="C28" s="180" t="str">
        <f t="shared" si="2"/>
        <v/>
      </c>
      <c r="D28" s="180" t="str">
        <f t="shared" si="3"/>
        <v/>
      </c>
      <c r="E28" s="180" t="str">
        <f t="shared" si="3"/>
        <v/>
      </c>
      <c r="F28" s="181" t="str">
        <f t="shared" si="4"/>
        <v/>
      </c>
      <c r="G28" s="179" t="s">
        <v>483</v>
      </c>
      <c r="H28" s="179" t="s">
        <v>484</v>
      </c>
      <c r="I28" s="182">
        <f>IF(X28="","",X28*데이터입력!$Y$8)</f>
        <v>0</v>
      </c>
      <c r="J28" s="183">
        <f>R28*데이터입력!$Y$8</f>
        <v>0</v>
      </c>
      <c r="K28" s="183">
        <f>T28*데이터입력!$Y$8</f>
        <v>0</v>
      </c>
      <c r="L28" s="183">
        <f>IFERROR(U28*데이터입력!$Y$8,0)</f>
        <v>0</v>
      </c>
      <c r="M28" s="183">
        <f>IFERROR(V28*데이터입력!$Y$8,0)</f>
        <v>0</v>
      </c>
      <c r="N28" s="594"/>
      <c r="O28" s="1205" t="str">
        <f>IF(데이터입력!AP28="","",데이터입력!AP28)</f>
        <v/>
      </c>
      <c r="P28" s="1206" t="str">
        <f>IF(데이터입력!AQ28="","",데이터입력!AQ28)</f>
        <v/>
      </c>
      <c r="Q28" s="600">
        <f>IF(데이터입력!AR28="",0,데이터입력!AR28)</f>
        <v>0</v>
      </c>
      <c r="R28" s="1207">
        <f>IF(데이터입력!AS28="",0,데이터입력!AS28)</f>
        <v>0</v>
      </c>
      <c r="S28" s="1208">
        <f>IF(데이터입력!AT28="",0,데이터입력!AT28)</f>
        <v>0</v>
      </c>
      <c r="T28" s="1207">
        <f>IF(데이터입력!AU28="",0,데이터입력!AU28)</f>
        <v>0</v>
      </c>
      <c r="U28" s="600">
        <f>IF(데이터입력!AV28="",0,데이터입력!AV28)</f>
        <v>0</v>
      </c>
      <c r="V28" s="1207">
        <f>IF(데이터입력!AW28="",0,데이터입력!AW28)</f>
        <v>0</v>
      </c>
      <c r="W28" s="1209">
        <f>IF(데이터입력!AX28="",0,데이터입력!AX28)</f>
        <v>0</v>
      </c>
      <c r="X28" s="1210">
        <f>IF(데이터입력!AY28="",0,데이터입력!AY28)</f>
        <v>0</v>
      </c>
      <c r="Y28" s="1210">
        <f>IF(데이터입력!AZ28="",0,데이터입력!AZ28)</f>
        <v>0</v>
      </c>
      <c r="Z28" s="631">
        <f>IF(데이터입력!BA28="",0,데이터입력!BA28)</f>
        <v>0</v>
      </c>
      <c r="AA28" s="938">
        <f>IF(데이터입력!BB28="",0,데이터입력!BB28)</f>
        <v>0</v>
      </c>
    </row>
    <row r="29" spans="1:27" ht="17.25" hidden="1" customHeight="1" thickBot="1">
      <c r="A29" s="171">
        <f>IF(W29="","",SUBTOTAL(2,$W$11:W29))</f>
        <v>19</v>
      </c>
      <c r="B29" s="172" t="str">
        <f t="shared" si="1"/>
        <v>00</v>
      </c>
      <c r="C29" s="173" t="str">
        <f t="shared" si="2"/>
        <v/>
      </c>
      <c r="D29" s="173" t="str">
        <f t="shared" si="3"/>
        <v/>
      </c>
      <c r="E29" s="173" t="str">
        <f t="shared" si="3"/>
        <v/>
      </c>
      <c r="F29" s="174" t="str">
        <f t="shared" si="4"/>
        <v/>
      </c>
      <c r="G29" s="172" t="s">
        <v>483</v>
      </c>
      <c r="H29" s="172" t="s">
        <v>484</v>
      </c>
      <c r="I29" s="176">
        <f>IF(X29="","",X29*데이터입력!$Y$8)</f>
        <v>0</v>
      </c>
      <c r="J29" s="176">
        <f>R29*데이터입력!$Y$8</f>
        <v>0</v>
      </c>
      <c r="K29" s="176">
        <f>T29*데이터입력!$Y$8</f>
        <v>0</v>
      </c>
      <c r="L29" s="176">
        <f>IFERROR(U29*데이터입력!$Y$8,0)</f>
        <v>0</v>
      </c>
      <c r="M29" s="176">
        <f>IFERROR(V29*데이터입력!$Y$8,0)</f>
        <v>0</v>
      </c>
      <c r="N29" s="594"/>
      <c r="O29" s="1211" t="str">
        <f>IF(데이터입력!AP29="","",데이터입력!AP29)</f>
        <v/>
      </c>
      <c r="P29" s="1212" t="str">
        <f>IF(데이터입력!AQ29="","",데이터입력!AQ29)</f>
        <v/>
      </c>
      <c r="Q29" s="1213">
        <f>IF(데이터입력!AR29="",0,데이터입력!AR29)</f>
        <v>0</v>
      </c>
      <c r="R29" s="1214">
        <f>IF(데이터입력!AS29="",0,데이터입력!AS29)</f>
        <v>0</v>
      </c>
      <c r="S29" s="1215">
        <f>IF(데이터입력!AT29="",0,데이터입력!AT29)</f>
        <v>0</v>
      </c>
      <c r="T29" s="1214">
        <f>IF(데이터입력!AU29="",0,데이터입력!AU29)</f>
        <v>0</v>
      </c>
      <c r="U29" s="1213">
        <f>IF(데이터입력!AV29="",0,데이터입력!AV29)</f>
        <v>0</v>
      </c>
      <c r="V29" s="1214">
        <f>IF(데이터입력!AW29="",0,데이터입력!AW29)</f>
        <v>0</v>
      </c>
      <c r="W29" s="1216">
        <f>IF(데이터입력!AX29="",0,데이터입력!AX29)</f>
        <v>0</v>
      </c>
      <c r="X29" s="1217">
        <f>IF(데이터입력!AY29="",0,데이터입력!AY29)</f>
        <v>0</v>
      </c>
      <c r="Y29" s="1217">
        <f>IF(데이터입력!AZ29="",0,데이터입력!AZ29)</f>
        <v>0</v>
      </c>
      <c r="Z29" s="1218">
        <f>IF(데이터입력!BA29="",0,데이터입력!BA29)</f>
        <v>0</v>
      </c>
      <c r="AA29" s="1219">
        <f>IF(데이터입력!BB29="",0,데이터입력!BB29)</f>
        <v>0</v>
      </c>
    </row>
    <row r="30" spans="1:27" ht="17.25" hidden="1" customHeight="1" thickBot="1">
      <c r="A30" s="171">
        <f>IF(W30="","",SUBTOTAL(2,$W$11:W30))</f>
        <v>20</v>
      </c>
      <c r="B30" s="179" t="str">
        <f t="shared" si="1"/>
        <v>00</v>
      </c>
      <c r="C30" s="180" t="str">
        <f t="shared" si="2"/>
        <v/>
      </c>
      <c r="D30" s="180" t="str">
        <f t="shared" si="3"/>
        <v/>
      </c>
      <c r="E30" s="180" t="str">
        <f t="shared" si="3"/>
        <v/>
      </c>
      <c r="F30" s="181" t="str">
        <f t="shared" si="4"/>
        <v/>
      </c>
      <c r="G30" s="179" t="s">
        <v>483</v>
      </c>
      <c r="H30" s="179" t="s">
        <v>484</v>
      </c>
      <c r="I30" s="183">
        <f>IF(X30="","",X30*데이터입력!$Y$8)</f>
        <v>0</v>
      </c>
      <c r="J30" s="183">
        <f>R30*데이터입력!$Y$8</f>
        <v>0</v>
      </c>
      <c r="K30" s="183">
        <f>T30*데이터입력!$Y$8</f>
        <v>0</v>
      </c>
      <c r="L30" s="183">
        <f>IFERROR(U30*데이터입력!$Y$8,0)</f>
        <v>0</v>
      </c>
      <c r="M30" s="183">
        <f>IFERROR(V30*데이터입력!$Y$8,0)</f>
        <v>0</v>
      </c>
      <c r="N30" s="594"/>
      <c r="O30" s="1211" t="str">
        <f>IF(데이터입력!AP30="","",데이터입력!AP30)</f>
        <v/>
      </c>
      <c r="P30" s="1212" t="str">
        <f>IF(데이터입력!AQ30="","",데이터입력!AQ30)</f>
        <v/>
      </c>
      <c r="Q30" s="1213">
        <f>IF(데이터입력!AR30="",0,데이터입력!AR30)</f>
        <v>0</v>
      </c>
      <c r="R30" s="1214">
        <f>IF(데이터입력!AS30="",0,데이터입력!AS30)</f>
        <v>0</v>
      </c>
      <c r="S30" s="1215">
        <f>IF(데이터입력!AT30="",0,데이터입력!AT30)</f>
        <v>0</v>
      </c>
      <c r="T30" s="1214">
        <f>IF(데이터입력!AU30="",0,데이터입력!AU30)</f>
        <v>0</v>
      </c>
      <c r="U30" s="1213">
        <f>IF(데이터입력!AV30="",0,데이터입력!AV30)</f>
        <v>0</v>
      </c>
      <c r="V30" s="1214">
        <f>IF(데이터입력!AW30="",0,데이터입력!AW30)</f>
        <v>0</v>
      </c>
      <c r="W30" s="1216">
        <f>IF(데이터입력!AX30="",0,데이터입력!AX30)</f>
        <v>0</v>
      </c>
      <c r="X30" s="1217">
        <f>IF(데이터입력!AY30="",0,데이터입력!AY30)</f>
        <v>0</v>
      </c>
      <c r="Y30" s="1217">
        <f>IF(데이터입력!AZ30="",0,데이터입력!AZ30)</f>
        <v>0</v>
      </c>
      <c r="Z30" s="1218">
        <f>IF(데이터입력!BA30="",0,데이터입력!BA30)</f>
        <v>0</v>
      </c>
      <c r="AA30" s="1219">
        <f>IF(데이터입력!BB30="",0,데이터입력!BB30)</f>
        <v>0</v>
      </c>
    </row>
    <row r="31" spans="1:27" ht="17.25" hidden="1" customHeight="1" thickBot="1">
      <c r="A31" s="171">
        <f>IF(W31="","",SUBTOTAL(2,$W$11:W31))</f>
        <v>21</v>
      </c>
      <c r="B31" s="172" t="str">
        <f t="shared" si="1"/>
        <v>00</v>
      </c>
      <c r="C31" s="173" t="str">
        <f t="shared" si="2"/>
        <v/>
      </c>
      <c r="D31" s="173" t="str">
        <f t="shared" si="3"/>
        <v/>
      </c>
      <c r="E31" s="173" t="str">
        <f t="shared" si="3"/>
        <v/>
      </c>
      <c r="F31" s="174" t="str">
        <f t="shared" si="4"/>
        <v/>
      </c>
      <c r="G31" s="172" t="s">
        <v>483</v>
      </c>
      <c r="H31" s="172" t="s">
        <v>484</v>
      </c>
      <c r="I31" s="176">
        <f>IF(X31="","",X31*데이터입력!$Y$8)</f>
        <v>0</v>
      </c>
      <c r="J31" s="176">
        <f>R31*데이터입력!$Y$8</f>
        <v>0</v>
      </c>
      <c r="K31" s="176">
        <f>T31*데이터입력!$Y$8</f>
        <v>0</v>
      </c>
      <c r="L31" s="176">
        <f>IFERROR(U31*데이터입력!$Y$8,0)</f>
        <v>0</v>
      </c>
      <c r="M31" s="176">
        <f>IFERROR(V31*데이터입력!$Y$8,0)</f>
        <v>0</v>
      </c>
      <c r="N31" s="594"/>
      <c r="O31" s="1211" t="str">
        <f>IF(데이터입력!AP31="","",데이터입력!AP31)</f>
        <v/>
      </c>
      <c r="P31" s="1212" t="str">
        <f>IF(데이터입력!AQ31="","",데이터입력!AQ31)</f>
        <v/>
      </c>
      <c r="Q31" s="1213">
        <f>IF(데이터입력!AR31="",0,데이터입력!AR31)</f>
        <v>0</v>
      </c>
      <c r="R31" s="1214">
        <f>IF(데이터입력!AS31="",0,데이터입력!AS31)</f>
        <v>0</v>
      </c>
      <c r="S31" s="1215">
        <f>IF(데이터입력!AT31="",0,데이터입력!AT31)</f>
        <v>0</v>
      </c>
      <c r="T31" s="1214">
        <f>IF(데이터입력!AU31="",0,데이터입력!AU31)</f>
        <v>0</v>
      </c>
      <c r="U31" s="1213">
        <f>IF(데이터입력!AV31="",0,데이터입력!AV31)</f>
        <v>0</v>
      </c>
      <c r="V31" s="1214">
        <f>IF(데이터입력!AW31="",0,데이터입력!AW31)</f>
        <v>0</v>
      </c>
      <c r="W31" s="1216">
        <f>IF(데이터입력!AX31="",0,데이터입력!AX31)</f>
        <v>0</v>
      </c>
      <c r="X31" s="1217">
        <f>IF(데이터입력!AY31="",0,데이터입력!AY31)</f>
        <v>0</v>
      </c>
      <c r="Y31" s="1217">
        <f>IF(데이터입력!AZ31="",0,데이터입력!AZ31)</f>
        <v>0</v>
      </c>
      <c r="Z31" s="1218">
        <f>IF(데이터입력!BA31="",0,데이터입력!BA31)</f>
        <v>0</v>
      </c>
      <c r="AA31" s="1219">
        <f>IF(데이터입력!BB31="",0,데이터입력!BB31)</f>
        <v>0</v>
      </c>
    </row>
    <row r="32" spans="1:27" ht="17.25" hidden="1" customHeight="1" thickBot="1">
      <c r="A32" s="171">
        <f>IF(W32="","",SUBTOTAL(2,$W$11:W32))</f>
        <v>22</v>
      </c>
      <c r="B32" s="179" t="str">
        <f t="shared" si="1"/>
        <v>00</v>
      </c>
      <c r="C32" s="180" t="str">
        <f t="shared" si="2"/>
        <v/>
      </c>
      <c r="D32" s="180" t="str">
        <f t="shared" si="3"/>
        <v/>
      </c>
      <c r="E32" s="180" t="str">
        <f t="shared" si="3"/>
        <v/>
      </c>
      <c r="F32" s="181" t="str">
        <f t="shared" si="4"/>
        <v/>
      </c>
      <c r="G32" s="179" t="s">
        <v>483</v>
      </c>
      <c r="H32" s="179" t="s">
        <v>484</v>
      </c>
      <c r="I32" s="183">
        <f>IF(X32="","",X32*데이터입력!$Y$8)</f>
        <v>0</v>
      </c>
      <c r="J32" s="183">
        <f>R32*데이터입력!$Y$8</f>
        <v>0</v>
      </c>
      <c r="K32" s="183">
        <f>T32*데이터입력!$Y$8</f>
        <v>0</v>
      </c>
      <c r="L32" s="183">
        <f>IFERROR(U32*데이터입력!$Y$8,0)</f>
        <v>0</v>
      </c>
      <c r="M32" s="183">
        <f>IFERROR(V32*데이터입력!$Y$8,0)</f>
        <v>0</v>
      </c>
      <c r="N32" s="594"/>
      <c r="O32" s="1211" t="str">
        <f>IF(데이터입력!AP32="","",데이터입력!AP32)</f>
        <v/>
      </c>
      <c r="P32" s="1212" t="str">
        <f>IF(데이터입력!AQ32="","",데이터입력!AQ32)</f>
        <v/>
      </c>
      <c r="Q32" s="1213">
        <f>IF(데이터입력!AR32="",0,데이터입력!AR32)</f>
        <v>0</v>
      </c>
      <c r="R32" s="1214">
        <f>IF(데이터입력!AS32="",0,데이터입력!AS32)</f>
        <v>0</v>
      </c>
      <c r="S32" s="1215">
        <f>IF(데이터입력!AT32="",0,데이터입력!AT32)</f>
        <v>0</v>
      </c>
      <c r="T32" s="1214">
        <f>IF(데이터입력!AU32="",0,데이터입력!AU32)</f>
        <v>0</v>
      </c>
      <c r="U32" s="1213">
        <f>IF(데이터입력!AV32="",0,데이터입력!AV32)</f>
        <v>0</v>
      </c>
      <c r="V32" s="1214">
        <f>IF(데이터입력!AW32="",0,데이터입력!AW32)</f>
        <v>0</v>
      </c>
      <c r="W32" s="1216">
        <f>IF(데이터입력!AX32="",0,데이터입력!AX32)</f>
        <v>0</v>
      </c>
      <c r="X32" s="1217">
        <f>IF(데이터입력!AY32="",0,데이터입력!AY32)</f>
        <v>0</v>
      </c>
      <c r="Y32" s="1217">
        <f>IF(데이터입력!AZ32="",0,데이터입력!AZ32)</f>
        <v>0</v>
      </c>
      <c r="Z32" s="1218">
        <f>IF(데이터입력!BA32="",0,데이터입력!BA32)</f>
        <v>0</v>
      </c>
      <c r="AA32" s="1219">
        <f>IF(데이터입력!BB32="",0,데이터입력!BB32)</f>
        <v>0</v>
      </c>
    </row>
    <row r="33" spans="1:27" ht="17.25" hidden="1" customHeight="1" thickBot="1">
      <c r="A33" s="171">
        <f>IF(W33="","",SUBTOTAL(2,$W$11:W33))</f>
        <v>23</v>
      </c>
      <c r="B33" s="172" t="str">
        <f t="shared" si="1"/>
        <v>00</v>
      </c>
      <c r="C33" s="173" t="str">
        <f t="shared" si="2"/>
        <v/>
      </c>
      <c r="D33" s="173" t="str">
        <f t="shared" si="3"/>
        <v/>
      </c>
      <c r="E33" s="173" t="str">
        <f t="shared" si="3"/>
        <v/>
      </c>
      <c r="F33" s="174" t="str">
        <f t="shared" si="4"/>
        <v/>
      </c>
      <c r="G33" s="172" t="s">
        <v>483</v>
      </c>
      <c r="H33" s="172" t="s">
        <v>484</v>
      </c>
      <c r="I33" s="176">
        <f>IF(X33="","",X33*데이터입력!$Y$8)</f>
        <v>0</v>
      </c>
      <c r="J33" s="176">
        <f>R33*데이터입력!$Y$8</f>
        <v>0</v>
      </c>
      <c r="K33" s="176">
        <f>T33*데이터입력!$Y$8</f>
        <v>0</v>
      </c>
      <c r="L33" s="176">
        <f>IFERROR(U33*데이터입력!$Y$8,0)</f>
        <v>0</v>
      </c>
      <c r="M33" s="176">
        <f>IFERROR(V33*데이터입력!$Y$8,0)</f>
        <v>0</v>
      </c>
      <c r="N33" s="594"/>
      <c r="O33" s="1211" t="str">
        <f>IF(데이터입력!AP33="","",데이터입력!AP33)</f>
        <v/>
      </c>
      <c r="P33" s="1212" t="str">
        <f>IF(데이터입력!AQ33="","",데이터입력!AQ33)</f>
        <v/>
      </c>
      <c r="Q33" s="1213">
        <f>IF(데이터입력!AR33="",0,데이터입력!AR33)</f>
        <v>0</v>
      </c>
      <c r="R33" s="1214">
        <f>IF(데이터입력!AS33="",0,데이터입력!AS33)</f>
        <v>0</v>
      </c>
      <c r="S33" s="1215">
        <f>IF(데이터입력!AT33="",0,데이터입력!AT33)</f>
        <v>0</v>
      </c>
      <c r="T33" s="1214">
        <f>IF(데이터입력!AU33="",0,데이터입력!AU33)</f>
        <v>0</v>
      </c>
      <c r="U33" s="1213">
        <f>IF(데이터입력!AV33="",0,데이터입력!AV33)</f>
        <v>0</v>
      </c>
      <c r="V33" s="1214">
        <f>IF(데이터입력!AW33="",0,데이터입력!AW33)</f>
        <v>0</v>
      </c>
      <c r="W33" s="1216">
        <f>IF(데이터입력!AX33="",0,데이터입력!AX33)</f>
        <v>0</v>
      </c>
      <c r="X33" s="1217">
        <f>IF(데이터입력!AY33="",0,데이터입력!AY33)</f>
        <v>0</v>
      </c>
      <c r="Y33" s="1217">
        <f>IF(데이터입력!AZ33="",0,데이터입력!AZ33)</f>
        <v>0</v>
      </c>
      <c r="Z33" s="1218">
        <f>IF(데이터입력!BA33="",0,데이터입력!BA33)</f>
        <v>0</v>
      </c>
      <c r="AA33" s="1219">
        <f>IF(데이터입력!BB33="",0,데이터입력!BB33)</f>
        <v>0</v>
      </c>
    </row>
    <row r="34" spans="1:27" ht="17.25" hidden="1" customHeight="1" thickBot="1">
      <c r="A34" s="171">
        <f>IF(W34="","",SUBTOTAL(2,$W$11:W34))</f>
        <v>24</v>
      </c>
      <c r="B34" s="179" t="str">
        <f t="shared" si="1"/>
        <v>00</v>
      </c>
      <c r="C34" s="180" t="str">
        <f t="shared" si="2"/>
        <v/>
      </c>
      <c r="D34" s="180" t="str">
        <f t="shared" si="3"/>
        <v/>
      </c>
      <c r="E34" s="180" t="str">
        <f t="shared" si="3"/>
        <v/>
      </c>
      <c r="F34" s="181" t="str">
        <f t="shared" si="4"/>
        <v/>
      </c>
      <c r="G34" s="179" t="s">
        <v>483</v>
      </c>
      <c r="H34" s="179" t="s">
        <v>484</v>
      </c>
      <c r="I34" s="183">
        <f>IF(X34="","",X34*데이터입력!$Y$8)</f>
        <v>0</v>
      </c>
      <c r="J34" s="183">
        <f>R34*데이터입력!$Y$8</f>
        <v>0</v>
      </c>
      <c r="K34" s="183">
        <f>T34*데이터입력!$Y$8</f>
        <v>0</v>
      </c>
      <c r="L34" s="183">
        <f>IFERROR(U34*데이터입력!$Y$8,0)</f>
        <v>0</v>
      </c>
      <c r="M34" s="183">
        <f>IFERROR(V34*데이터입력!$Y$8,0)</f>
        <v>0</v>
      </c>
      <c r="N34" s="594"/>
      <c r="O34" s="1211" t="str">
        <f>IF(데이터입력!AP34="","",데이터입력!AP34)</f>
        <v/>
      </c>
      <c r="P34" s="1212" t="str">
        <f>IF(데이터입력!AQ34="","",데이터입력!AQ34)</f>
        <v/>
      </c>
      <c r="Q34" s="1213">
        <f>IF(데이터입력!AR34="",0,데이터입력!AR34)</f>
        <v>0</v>
      </c>
      <c r="R34" s="1214">
        <f>IF(데이터입력!AS34="",0,데이터입력!AS34)</f>
        <v>0</v>
      </c>
      <c r="S34" s="1215">
        <f>IF(데이터입력!AT34="",0,데이터입력!AT34)</f>
        <v>0</v>
      </c>
      <c r="T34" s="1214">
        <f>IF(데이터입력!AU34="",0,데이터입력!AU34)</f>
        <v>0</v>
      </c>
      <c r="U34" s="1213">
        <f>IF(데이터입력!AV34="",0,데이터입력!AV34)</f>
        <v>0</v>
      </c>
      <c r="V34" s="1214">
        <f>IF(데이터입력!AW34="",0,데이터입력!AW34)</f>
        <v>0</v>
      </c>
      <c r="W34" s="1216">
        <f>IF(데이터입력!AX34="",0,데이터입력!AX34)</f>
        <v>0</v>
      </c>
      <c r="X34" s="1217">
        <f>IF(데이터입력!AY34="",0,데이터입력!AY34)</f>
        <v>0</v>
      </c>
      <c r="Y34" s="1217">
        <f>IF(데이터입력!AZ34="",0,데이터입력!AZ34)</f>
        <v>0</v>
      </c>
      <c r="Z34" s="1218">
        <f>IF(데이터입력!BA34="",0,데이터입력!BA34)</f>
        <v>0</v>
      </c>
      <c r="AA34" s="1219">
        <f>IF(데이터입력!BB34="",0,데이터입력!BB34)</f>
        <v>0</v>
      </c>
    </row>
    <row r="35" spans="1:27" ht="17.25" hidden="1" customHeight="1" thickBot="1">
      <c r="A35" s="171">
        <f>IF(W35="","",SUBTOTAL(2,$W$11:W35))</f>
        <v>25</v>
      </c>
      <c r="B35" s="172" t="str">
        <f t="shared" si="1"/>
        <v>00</v>
      </c>
      <c r="C35" s="173" t="str">
        <f t="shared" si="2"/>
        <v/>
      </c>
      <c r="D35" s="173" t="str">
        <f t="shared" si="3"/>
        <v/>
      </c>
      <c r="E35" s="173" t="str">
        <f t="shared" si="3"/>
        <v/>
      </c>
      <c r="F35" s="174" t="str">
        <f t="shared" si="4"/>
        <v/>
      </c>
      <c r="G35" s="172" t="s">
        <v>483</v>
      </c>
      <c r="H35" s="172" t="s">
        <v>484</v>
      </c>
      <c r="I35" s="176">
        <f>IF(X35="","",X35*데이터입력!$Y$8)</f>
        <v>0</v>
      </c>
      <c r="J35" s="176">
        <f>R35*데이터입력!$Y$8</f>
        <v>0</v>
      </c>
      <c r="K35" s="176">
        <f>T35*데이터입력!$Y$8</f>
        <v>0</v>
      </c>
      <c r="L35" s="176">
        <f>IFERROR(U35*데이터입력!$Y$8,0)</f>
        <v>0</v>
      </c>
      <c r="M35" s="176">
        <f>IFERROR(V35*데이터입력!$Y$8,0)</f>
        <v>0</v>
      </c>
      <c r="N35" s="594"/>
      <c r="O35" s="1211" t="str">
        <f>IF(데이터입력!AP35="","",데이터입력!AP35)</f>
        <v/>
      </c>
      <c r="P35" s="1212" t="str">
        <f>IF(데이터입력!AQ35="","",데이터입력!AQ35)</f>
        <v/>
      </c>
      <c r="Q35" s="1213">
        <f>IF(데이터입력!AR35="",0,데이터입력!AR35)</f>
        <v>0</v>
      </c>
      <c r="R35" s="1214">
        <f>IF(데이터입력!AS35="",0,데이터입력!AS35)</f>
        <v>0</v>
      </c>
      <c r="S35" s="1215">
        <f>IF(데이터입력!AT35="",0,데이터입력!AT35)</f>
        <v>0</v>
      </c>
      <c r="T35" s="1214">
        <f>IF(데이터입력!AU35="",0,데이터입력!AU35)</f>
        <v>0</v>
      </c>
      <c r="U35" s="1213">
        <f>IF(데이터입력!AV35="",0,데이터입력!AV35)</f>
        <v>0</v>
      </c>
      <c r="V35" s="1214">
        <f>IF(데이터입력!AW35="",0,데이터입력!AW35)</f>
        <v>0</v>
      </c>
      <c r="W35" s="1216">
        <f>IF(데이터입력!AX35="",0,데이터입력!AX35)</f>
        <v>0</v>
      </c>
      <c r="X35" s="1217">
        <f>IF(데이터입력!AY35="",0,데이터입력!AY35)</f>
        <v>0</v>
      </c>
      <c r="Y35" s="1217">
        <f>IF(데이터입력!AZ35="",0,데이터입력!AZ35)</f>
        <v>0</v>
      </c>
      <c r="Z35" s="1218">
        <f>IF(데이터입력!BA35="",0,데이터입력!BA35)</f>
        <v>0</v>
      </c>
      <c r="AA35" s="1219">
        <f>IF(데이터입력!BB35="",0,데이터입력!BB35)</f>
        <v>0</v>
      </c>
    </row>
    <row r="36" spans="1:27" ht="17.25" hidden="1" customHeight="1" thickBot="1">
      <c r="A36" s="171">
        <f>IF(W36="","",SUBTOTAL(2,$W$11:W36))</f>
        <v>26</v>
      </c>
      <c r="B36" s="179" t="str">
        <f t="shared" si="1"/>
        <v>00</v>
      </c>
      <c r="C36" s="180" t="str">
        <f t="shared" si="2"/>
        <v/>
      </c>
      <c r="D36" s="180" t="str">
        <f t="shared" si="3"/>
        <v/>
      </c>
      <c r="E36" s="180" t="str">
        <f t="shared" si="3"/>
        <v/>
      </c>
      <c r="F36" s="181" t="str">
        <f t="shared" si="4"/>
        <v/>
      </c>
      <c r="G36" s="179" t="s">
        <v>483</v>
      </c>
      <c r="H36" s="179" t="s">
        <v>484</v>
      </c>
      <c r="I36" s="183">
        <f>IF(X36="","",X36*데이터입력!$Y$8)</f>
        <v>0</v>
      </c>
      <c r="J36" s="183">
        <f>R36*데이터입력!$Y$8</f>
        <v>0</v>
      </c>
      <c r="K36" s="183">
        <f>T36*데이터입력!$Y$8</f>
        <v>0</v>
      </c>
      <c r="L36" s="183">
        <f>IFERROR(U36*데이터입력!$Y$8,0)</f>
        <v>0</v>
      </c>
      <c r="M36" s="183">
        <f>IFERROR(V36*데이터입력!$Y$8,0)</f>
        <v>0</v>
      </c>
      <c r="N36" s="594"/>
      <c r="O36" s="1211" t="str">
        <f>IF(데이터입력!AP36="","",데이터입력!AP36)</f>
        <v/>
      </c>
      <c r="P36" s="1212" t="str">
        <f>IF(데이터입력!AQ36="","",데이터입력!AQ36)</f>
        <v/>
      </c>
      <c r="Q36" s="1213">
        <f>IF(데이터입력!AR36="",0,데이터입력!AR36)</f>
        <v>0</v>
      </c>
      <c r="R36" s="1214">
        <f>IF(데이터입력!AS36="",0,데이터입력!AS36)</f>
        <v>0</v>
      </c>
      <c r="S36" s="1215">
        <f>IF(데이터입력!AT36="",0,데이터입력!AT36)</f>
        <v>0</v>
      </c>
      <c r="T36" s="1214">
        <f>IF(데이터입력!AU36="",0,데이터입력!AU36)</f>
        <v>0</v>
      </c>
      <c r="U36" s="1213">
        <f>IF(데이터입력!AV36="",0,데이터입력!AV36)</f>
        <v>0</v>
      </c>
      <c r="V36" s="1214">
        <f>IF(데이터입력!AW36="",0,데이터입력!AW36)</f>
        <v>0</v>
      </c>
      <c r="W36" s="1216">
        <f>IF(데이터입력!AX36="",0,데이터입력!AX36)</f>
        <v>0</v>
      </c>
      <c r="X36" s="1217">
        <f>IF(데이터입력!AY36="",0,데이터입력!AY36)</f>
        <v>0</v>
      </c>
      <c r="Y36" s="1217">
        <f>IF(데이터입력!AZ36="",0,데이터입력!AZ36)</f>
        <v>0</v>
      </c>
      <c r="Z36" s="1218">
        <f>IF(데이터입력!BA36="",0,데이터입력!BA36)</f>
        <v>0</v>
      </c>
      <c r="AA36" s="1219">
        <f>IF(데이터입력!BB36="",0,데이터입력!BB36)</f>
        <v>0</v>
      </c>
    </row>
    <row r="37" spans="1:27" ht="17.25" hidden="1" customHeight="1" thickBot="1">
      <c r="A37" s="171">
        <f>IF(W37="","",SUBTOTAL(2,$W$11:W37))</f>
        <v>27</v>
      </c>
      <c r="B37" s="172" t="str">
        <f t="shared" si="1"/>
        <v>00</v>
      </c>
      <c r="C37" s="173" t="str">
        <f t="shared" si="2"/>
        <v/>
      </c>
      <c r="D37" s="173" t="str">
        <f t="shared" si="3"/>
        <v/>
      </c>
      <c r="E37" s="173" t="str">
        <f t="shared" si="3"/>
        <v/>
      </c>
      <c r="F37" s="174" t="str">
        <f t="shared" si="4"/>
        <v/>
      </c>
      <c r="G37" s="172" t="s">
        <v>483</v>
      </c>
      <c r="H37" s="172" t="s">
        <v>484</v>
      </c>
      <c r="I37" s="176">
        <f>IF(X37="","",X37*데이터입력!$Y$8)</f>
        <v>0</v>
      </c>
      <c r="J37" s="176">
        <f>R37*데이터입력!$Y$8</f>
        <v>0</v>
      </c>
      <c r="K37" s="176">
        <f>T37*데이터입력!$Y$8</f>
        <v>0</v>
      </c>
      <c r="L37" s="176">
        <f>IFERROR(U37*데이터입력!$Y$8,0)</f>
        <v>0</v>
      </c>
      <c r="M37" s="176">
        <f>IFERROR(V37*데이터입력!$Y$8,0)</f>
        <v>0</v>
      </c>
      <c r="N37" s="594"/>
      <c r="O37" s="1211" t="str">
        <f>IF(데이터입력!AP37="","",데이터입력!AP37)</f>
        <v/>
      </c>
      <c r="P37" s="1212" t="str">
        <f>IF(데이터입력!AQ37="","",데이터입력!AQ37)</f>
        <v/>
      </c>
      <c r="Q37" s="1213">
        <f>IF(데이터입력!AR37="",0,데이터입력!AR37)</f>
        <v>0</v>
      </c>
      <c r="R37" s="1214">
        <f>IF(데이터입력!AS37="",0,데이터입력!AS37)</f>
        <v>0</v>
      </c>
      <c r="S37" s="1215">
        <f>IF(데이터입력!AT37="",0,데이터입력!AT37)</f>
        <v>0</v>
      </c>
      <c r="T37" s="1214">
        <f>IF(데이터입력!AU37="",0,데이터입력!AU37)</f>
        <v>0</v>
      </c>
      <c r="U37" s="1213">
        <f>IF(데이터입력!AV37="",0,데이터입력!AV37)</f>
        <v>0</v>
      </c>
      <c r="V37" s="1214">
        <f>IF(데이터입력!AW37="",0,데이터입력!AW37)</f>
        <v>0</v>
      </c>
      <c r="W37" s="1216">
        <f>IF(데이터입력!AX37="",0,데이터입력!AX37)</f>
        <v>0</v>
      </c>
      <c r="X37" s="1217">
        <f>IF(데이터입력!AY37="",0,데이터입력!AY37)</f>
        <v>0</v>
      </c>
      <c r="Y37" s="1217">
        <f>IF(데이터입력!AZ37="",0,데이터입력!AZ37)</f>
        <v>0</v>
      </c>
      <c r="Z37" s="1218">
        <f>IF(데이터입력!BA37="",0,데이터입력!BA37)</f>
        <v>0</v>
      </c>
      <c r="AA37" s="1219">
        <f>IF(데이터입력!BB37="",0,데이터입력!BB37)</f>
        <v>0</v>
      </c>
    </row>
    <row r="38" spans="1:27" ht="17.25" hidden="1" customHeight="1" thickBot="1">
      <c r="A38" s="171">
        <f>IF(W38="","",SUBTOTAL(2,$W$11:W38))</f>
        <v>28</v>
      </c>
      <c r="B38" s="179" t="str">
        <f t="shared" si="1"/>
        <v>00</v>
      </c>
      <c r="C38" s="180" t="str">
        <f t="shared" si="2"/>
        <v/>
      </c>
      <c r="D38" s="180" t="str">
        <f t="shared" si="3"/>
        <v/>
      </c>
      <c r="E38" s="180" t="str">
        <f t="shared" si="3"/>
        <v/>
      </c>
      <c r="F38" s="181" t="str">
        <f t="shared" si="4"/>
        <v/>
      </c>
      <c r="G38" s="179" t="s">
        <v>483</v>
      </c>
      <c r="H38" s="179" t="s">
        <v>484</v>
      </c>
      <c r="I38" s="183">
        <f>IF(X38="","",X38*데이터입력!$Y$8)</f>
        <v>0</v>
      </c>
      <c r="J38" s="183">
        <f>R38*데이터입력!$Y$8</f>
        <v>0</v>
      </c>
      <c r="K38" s="183">
        <f>T38*데이터입력!$Y$8</f>
        <v>0</v>
      </c>
      <c r="L38" s="183">
        <f>IFERROR(U38*데이터입력!$Y$8,0)</f>
        <v>0</v>
      </c>
      <c r="M38" s="183">
        <f>IFERROR(V38*데이터입력!$Y$8,0)</f>
        <v>0</v>
      </c>
      <c r="N38" s="594"/>
      <c r="O38" s="1211" t="str">
        <f>IF(데이터입력!AP38="","",데이터입력!AP38)</f>
        <v/>
      </c>
      <c r="P38" s="1212" t="str">
        <f>IF(데이터입력!AQ38="","",데이터입력!AQ38)</f>
        <v/>
      </c>
      <c r="Q38" s="1213">
        <f>IF(데이터입력!AR38="",0,데이터입력!AR38)</f>
        <v>0</v>
      </c>
      <c r="R38" s="1214">
        <f>IF(데이터입력!AS38="",0,데이터입력!AS38)</f>
        <v>0</v>
      </c>
      <c r="S38" s="1215">
        <f>IF(데이터입력!AT38="",0,데이터입력!AT38)</f>
        <v>0</v>
      </c>
      <c r="T38" s="1214">
        <f>IF(데이터입력!AU38="",0,데이터입력!AU38)</f>
        <v>0</v>
      </c>
      <c r="U38" s="1213">
        <f>IF(데이터입력!AV38="",0,데이터입력!AV38)</f>
        <v>0</v>
      </c>
      <c r="V38" s="1214">
        <f>IF(데이터입력!AW38="",0,데이터입력!AW38)</f>
        <v>0</v>
      </c>
      <c r="W38" s="1216">
        <f>IF(데이터입력!AX38="",0,데이터입력!AX38)</f>
        <v>0</v>
      </c>
      <c r="X38" s="1217">
        <f>IF(데이터입력!AY38="",0,데이터입력!AY38)</f>
        <v>0</v>
      </c>
      <c r="Y38" s="1217">
        <f>IF(데이터입력!AZ38="",0,데이터입력!AZ38)</f>
        <v>0</v>
      </c>
      <c r="Z38" s="1218">
        <f>IF(데이터입력!BA38="",0,데이터입력!BA38)</f>
        <v>0</v>
      </c>
      <c r="AA38" s="1219">
        <f>IF(데이터입력!BB38="",0,데이터입력!BB38)</f>
        <v>0</v>
      </c>
    </row>
    <row r="39" spans="1:27" ht="17.25" hidden="1" customHeight="1" thickBot="1">
      <c r="A39" s="171">
        <f>IF(W39="","",SUBTOTAL(2,$W$11:W39))</f>
        <v>29</v>
      </c>
      <c r="B39" s="172" t="str">
        <f t="shared" si="1"/>
        <v>00</v>
      </c>
      <c r="C39" s="173" t="str">
        <f t="shared" si="2"/>
        <v/>
      </c>
      <c r="D39" s="173" t="str">
        <f t="shared" si="3"/>
        <v/>
      </c>
      <c r="E39" s="173" t="str">
        <f t="shared" si="3"/>
        <v/>
      </c>
      <c r="F39" s="174" t="str">
        <f t="shared" si="4"/>
        <v/>
      </c>
      <c r="G39" s="172" t="s">
        <v>483</v>
      </c>
      <c r="H39" s="172" t="s">
        <v>484</v>
      </c>
      <c r="I39" s="176">
        <f>IF(X39="","",X39*데이터입력!$Y$8)</f>
        <v>0</v>
      </c>
      <c r="J39" s="176">
        <f>R39*데이터입력!$Y$8</f>
        <v>0</v>
      </c>
      <c r="K39" s="176">
        <f>T39*데이터입력!$Y$8</f>
        <v>0</v>
      </c>
      <c r="L39" s="176">
        <f>IFERROR(U39*데이터입력!$Y$8,0)</f>
        <v>0</v>
      </c>
      <c r="M39" s="176">
        <f>IFERROR(V39*데이터입력!$Y$8,0)</f>
        <v>0</v>
      </c>
      <c r="N39" s="594"/>
      <c r="O39" s="1211" t="str">
        <f>IF(데이터입력!AP39="","",데이터입력!AP39)</f>
        <v/>
      </c>
      <c r="P39" s="1212" t="str">
        <f>IF(데이터입력!AQ39="","",데이터입력!AQ39)</f>
        <v/>
      </c>
      <c r="Q39" s="1213">
        <f>IF(데이터입력!AR39="",0,데이터입력!AR39)</f>
        <v>0</v>
      </c>
      <c r="R39" s="1214">
        <f>IF(데이터입력!AS39="",0,데이터입력!AS39)</f>
        <v>0</v>
      </c>
      <c r="S39" s="1215">
        <f>IF(데이터입력!AT39="",0,데이터입력!AT39)</f>
        <v>0</v>
      </c>
      <c r="T39" s="1214">
        <f>IF(데이터입력!AU39="",0,데이터입력!AU39)</f>
        <v>0</v>
      </c>
      <c r="U39" s="1213">
        <f>IF(데이터입력!AV39="",0,데이터입력!AV39)</f>
        <v>0</v>
      </c>
      <c r="V39" s="1214">
        <f>IF(데이터입력!AW39="",0,데이터입력!AW39)</f>
        <v>0</v>
      </c>
      <c r="W39" s="1216">
        <f>IF(데이터입력!AX39="",0,데이터입력!AX39)</f>
        <v>0</v>
      </c>
      <c r="X39" s="1217">
        <f>IF(데이터입력!AY39="",0,데이터입력!AY39)</f>
        <v>0</v>
      </c>
      <c r="Y39" s="1217">
        <f>IF(데이터입력!AZ39="",0,데이터입력!AZ39)</f>
        <v>0</v>
      </c>
      <c r="Z39" s="1218">
        <f>IF(데이터입력!BA39="",0,데이터입력!BA39)</f>
        <v>0</v>
      </c>
      <c r="AA39" s="1219">
        <f>IF(데이터입력!BB39="",0,데이터입력!BB39)</f>
        <v>0</v>
      </c>
    </row>
    <row r="40" spans="1:27" ht="17.25" hidden="1" customHeight="1" thickBot="1">
      <c r="A40" s="171">
        <f>IF(W40="","",SUBTOTAL(2,$W$11:W40))</f>
        <v>30</v>
      </c>
      <c r="B40" s="179" t="str">
        <f t="shared" si="1"/>
        <v>00</v>
      </c>
      <c r="C40" s="180" t="str">
        <f t="shared" si="2"/>
        <v/>
      </c>
      <c r="D40" s="180" t="str">
        <f t="shared" si="3"/>
        <v/>
      </c>
      <c r="E40" s="180" t="str">
        <f t="shared" si="3"/>
        <v/>
      </c>
      <c r="F40" s="181" t="str">
        <f t="shared" si="4"/>
        <v/>
      </c>
      <c r="G40" s="179" t="s">
        <v>483</v>
      </c>
      <c r="H40" s="179" t="s">
        <v>484</v>
      </c>
      <c r="I40" s="183">
        <f>IF(X40="","",X40*데이터입력!$Y$8)</f>
        <v>0</v>
      </c>
      <c r="J40" s="183">
        <f>R40*데이터입력!$Y$8</f>
        <v>0</v>
      </c>
      <c r="K40" s="183">
        <f>T40*데이터입력!$Y$8</f>
        <v>0</v>
      </c>
      <c r="L40" s="183">
        <f>IFERROR(U40*데이터입력!$Y$8,0)</f>
        <v>0</v>
      </c>
      <c r="M40" s="183">
        <f>IFERROR(V40*데이터입력!$Y$8,0)</f>
        <v>0</v>
      </c>
      <c r="N40" s="594"/>
      <c r="O40" s="1211" t="str">
        <f>IF(데이터입력!AP40="","",데이터입력!AP40)</f>
        <v/>
      </c>
      <c r="P40" s="1212" t="str">
        <f>IF(데이터입력!AQ40="","",데이터입력!AQ40)</f>
        <v/>
      </c>
      <c r="Q40" s="1213">
        <f>IF(데이터입력!AR40="",0,데이터입력!AR40)</f>
        <v>0</v>
      </c>
      <c r="R40" s="1214">
        <f>IF(데이터입력!AS40="",0,데이터입력!AS40)</f>
        <v>0</v>
      </c>
      <c r="S40" s="1215">
        <f>IF(데이터입력!AT40="",0,데이터입력!AT40)</f>
        <v>0</v>
      </c>
      <c r="T40" s="1214">
        <f>IF(데이터입력!AU40="",0,데이터입력!AU40)</f>
        <v>0</v>
      </c>
      <c r="U40" s="1213">
        <f>IF(데이터입력!AV40="",0,데이터입력!AV40)</f>
        <v>0</v>
      </c>
      <c r="V40" s="1214">
        <f>IF(데이터입력!AW40="",0,데이터입력!AW40)</f>
        <v>0</v>
      </c>
      <c r="W40" s="1216">
        <f>IF(데이터입력!AX40="",0,데이터입력!AX40)</f>
        <v>0</v>
      </c>
      <c r="X40" s="1217">
        <f>IF(데이터입력!AY40="",0,데이터입력!AY40)</f>
        <v>0</v>
      </c>
      <c r="Y40" s="1217">
        <f>IF(데이터입력!AZ40="",0,데이터입력!AZ40)</f>
        <v>0</v>
      </c>
      <c r="Z40" s="1218">
        <f>IF(데이터입력!BA40="",0,데이터입력!BA40)</f>
        <v>0</v>
      </c>
      <c r="AA40" s="1219">
        <f>IF(데이터입력!BB40="",0,데이터입력!BB40)</f>
        <v>0</v>
      </c>
    </row>
    <row r="41" spans="1:27" ht="17.25" hidden="1" customHeight="1" thickBot="1">
      <c r="A41" s="171">
        <f>IF(W41="","",SUBTOTAL(2,$W$11:W41))</f>
        <v>31</v>
      </c>
      <c r="B41" s="172" t="str">
        <f t="shared" si="1"/>
        <v>00</v>
      </c>
      <c r="C41" s="173" t="str">
        <f t="shared" si="2"/>
        <v/>
      </c>
      <c r="D41" s="173" t="str">
        <f t="shared" si="3"/>
        <v/>
      </c>
      <c r="E41" s="173" t="str">
        <f t="shared" si="3"/>
        <v/>
      </c>
      <c r="F41" s="174" t="str">
        <f t="shared" si="4"/>
        <v/>
      </c>
      <c r="G41" s="172" t="s">
        <v>483</v>
      </c>
      <c r="H41" s="172" t="s">
        <v>484</v>
      </c>
      <c r="I41" s="176">
        <f>IF(X41="","",X41*데이터입력!$Y$8)</f>
        <v>0</v>
      </c>
      <c r="J41" s="176">
        <f>R41*데이터입력!$Y$8</f>
        <v>0</v>
      </c>
      <c r="K41" s="176">
        <f>T41*데이터입력!$Y$8</f>
        <v>0</v>
      </c>
      <c r="L41" s="176">
        <f>IFERROR(U41*데이터입력!$Y$8,0)</f>
        <v>0</v>
      </c>
      <c r="M41" s="176">
        <f>IFERROR(V41*데이터입력!$Y$8,0)</f>
        <v>0</v>
      </c>
      <c r="N41" s="594"/>
      <c r="O41" s="1211" t="str">
        <f>IF(데이터입력!AP41="","",데이터입력!AP41)</f>
        <v/>
      </c>
      <c r="P41" s="1212" t="str">
        <f>IF(데이터입력!AQ41="","",데이터입력!AQ41)</f>
        <v/>
      </c>
      <c r="Q41" s="1213">
        <f>IF(데이터입력!AR41="",0,데이터입력!AR41)</f>
        <v>0</v>
      </c>
      <c r="R41" s="1214">
        <f>IF(데이터입력!AS41="",0,데이터입력!AS41)</f>
        <v>0</v>
      </c>
      <c r="S41" s="1215">
        <f>IF(데이터입력!AT41="",0,데이터입력!AT41)</f>
        <v>0</v>
      </c>
      <c r="T41" s="1214">
        <f>IF(데이터입력!AU41="",0,데이터입력!AU41)</f>
        <v>0</v>
      </c>
      <c r="U41" s="1213">
        <f>IF(데이터입력!AV41="",0,데이터입력!AV41)</f>
        <v>0</v>
      </c>
      <c r="V41" s="1214">
        <f>IF(데이터입력!AW41="",0,데이터입력!AW41)</f>
        <v>0</v>
      </c>
      <c r="W41" s="1216">
        <f>IF(데이터입력!AX41="",0,데이터입력!AX41)</f>
        <v>0</v>
      </c>
      <c r="X41" s="1217">
        <f>IF(데이터입력!AY41="",0,데이터입력!AY41)</f>
        <v>0</v>
      </c>
      <c r="Y41" s="1217">
        <f>IF(데이터입력!AZ41="",0,데이터입력!AZ41)</f>
        <v>0</v>
      </c>
      <c r="Z41" s="1218">
        <f>IF(데이터입력!BA41="",0,데이터입력!BA41)</f>
        <v>0</v>
      </c>
      <c r="AA41" s="1219">
        <f>IF(데이터입력!BB41="",0,데이터입력!BB41)</f>
        <v>0</v>
      </c>
    </row>
    <row r="42" spans="1:27" ht="17.25" hidden="1" customHeight="1" thickBot="1">
      <c r="A42" s="171">
        <f>IF(W42="","",SUBTOTAL(2,$W$11:W42))</f>
        <v>32</v>
      </c>
      <c r="B42" s="179" t="str">
        <f t="shared" si="1"/>
        <v>00</v>
      </c>
      <c r="C42" s="180" t="str">
        <f t="shared" si="2"/>
        <v/>
      </c>
      <c r="D42" s="180" t="str">
        <f t="shared" si="3"/>
        <v/>
      </c>
      <c r="E42" s="180" t="str">
        <f t="shared" si="3"/>
        <v/>
      </c>
      <c r="F42" s="181" t="str">
        <f t="shared" si="4"/>
        <v/>
      </c>
      <c r="G42" s="179" t="s">
        <v>483</v>
      </c>
      <c r="H42" s="179" t="s">
        <v>484</v>
      </c>
      <c r="I42" s="183">
        <f>IF(X42="","",X42*데이터입력!$Y$8)</f>
        <v>0</v>
      </c>
      <c r="J42" s="183">
        <f>R42*데이터입력!$Y$8</f>
        <v>0</v>
      </c>
      <c r="K42" s="183">
        <f>T42*데이터입력!$Y$8</f>
        <v>0</v>
      </c>
      <c r="L42" s="183">
        <f>IFERROR(U42*데이터입력!$Y$8,0)</f>
        <v>0</v>
      </c>
      <c r="M42" s="183">
        <f>IFERROR(V42*데이터입력!$Y$8,0)</f>
        <v>0</v>
      </c>
      <c r="N42" s="594"/>
      <c r="O42" s="1211" t="str">
        <f>IF(데이터입력!AP42="","",데이터입력!AP42)</f>
        <v/>
      </c>
      <c r="P42" s="1212" t="str">
        <f>IF(데이터입력!AQ42="","",데이터입력!AQ42)</f>
        <v/>
      </c>
      <c r="Q42" s="1213">
        <f>IF(데이터입력!AR42="",0,데이터입력!AR42)</f>
        <v>0</v>
      </c>
      <c r="R42" s="1214">
        <f>IF(데이터입력!AS42="",0,데이터입력!AS42)</f>
        <v>0</v>
      </c>
      <c r="S42" s="1215">
        <f>IF(데이터입력!AT42="",0,데이터입력!AT42)</f>
        <v>0</v>
      </c>
      <c r="T42" s="1214">
        <f>IF(데이터입력!AU42="",0,데이터입력!AU42)</f>
        <v>0</v>
      </c>
      <c r="U42" s="1213">
        <f>IF(데이터입력!AV42="",0,데이터입력!AV42)</f>
        <v>0</v>
      </c>
      <c r="V42" s="1214">
        <f>IF(데이터입력!AW42="",0,데이터입력!AW42)</f>
        <v>0</v>
      </c>
      <c r="W42" s="1216">
        <f>IF(데이터입력!AX42="",0,데이터입력!AX42)</f>
        <v>0</v>
      </c>
      <c r="X42" s="1217">
        <f>IF(데이터입력!AY42="",0,데이터입력!AY42)</f>
        <v>0</v>
      </c>
      <c r="Y42" s="1217">
        <f>IF(데이터입력!AZ42="",0,데이터입력!AZ42)</f>
        <v>0</v>
      </c>
      <c r="Z42" s="1218">
        <f>IF(데이터입력!BA42="",0,데이터입력!BA42)</f>
        <v>0</v>
      </c>
      <c r="AA42" s="1219">
        <f>IF(데이터입력!BB42="",0,데이터입력!BB42)</f>
        <v>0</v>
      </c>
    </row>
    <row r="43" spans="1:27" ht="17.25" hidden="1" customHeight="1" thickBot="1">
      <c r="A43" s="171">
        <f>IF(W43="","",SUBTOTAL(2,$W$11:W43))</f>
        <v>33</v>
      </c>
      <c r="B43" s="172" t="str">
        <f t="shared" si="1"/>
        <v>00</v>
      </c>
      <c r="C43" s="173" t="str">
        <f t="shared" si="2"/>
        <v/>
      </c>
      <c r="D43" s="173" t="str">
        <f t="shared" si="3"/>
        <v/>
      </c>
      <c r="E43" s="173" t="str">
        <f t="shared" si="3"/>
        <v/>
      </c>
      <c r="F43" s="174" t="str">
        <f t="shared" si="4"/>
        <v/>
      </c>
      <c r="G43" s="172" t="s">
        <v>483</v>
      </c>
      <c r="H43" s="172" t="s">
        <v>484</v>
      </c>
      <c r="I43" s="176">
        <f>IF(X43="","",X43*데이터입력!$Y$8)</f>
        <v>0</v>
      </c>
      <c r="J43" s="176">
        <f>R43*데이터입력!$Y$8</f>
        <v>0</v>
      </c>
      <c r="K43" s="176">
        <f>T43*데이터입력!$Y$8</f>
        <v>0</v>
      </c>
      <c r="L43" s="176">
        <f>IFERROR(U43*데이터입력!$Y$8,0)</f>
        <v>0</v>
      </c>
      <c r="M43" s="176">
        <f>IFERROR(V43*데이터입력!$Y$8,0)</f>
        <v>0</v>
      </c>
      <c r="N43" s="594"/>
      <c r="O43" s="1211" t="str">
        <f>IF(데이터입력!AP43="","",데이터입력!AP43)</f>
        <v/>
      </c>
      <c r="P43" s="1212" t="str">
        <f>IF(데이터입력!AQ43="","",데이터입력!AQ43)</f>
        <v/>
      </c>
      <c r="Q43" s="1213">
        <f>IF(데이터입력!AR43="",0,데이터입력!AR43)</f>
        <v>0</v>
      </c>
      <c r="R43" s="1214">
        <f>IF(데이터입력!AS43="",0,데이터입력!AS43)</f>
        <v>0</v>
      </c>
      <c r="S43" s="1215">
        <f>IF(데이터입력!AT43="",0,데이터입력!AT43)</f>
        <v>0</v>
      </c>
      <c r="T43" s="1214">
        <f>IF(데이터입력!AU43="",0,데이터입력!AU43)</f>
        <v>0</v>
      </c>
      <c r="U43" s="1213">
        <f>IF(데이터입력!AV43="",0,데이터입력!AV43)</f>
        <v>0</v>
      </c>
      <c r="V43" s="1214">
        <f>IF(데이터입력!AW43="",0,데이터입력!AW43)</f>
        <v>0</v>
      </c>
      <c r="W43" s="1216">
        <f>IF(데이터입력!AX43="",0,데이터입력!AX43)</f>
        <v>0</v>
      </c>
      <c r="X43" s="1217">
        <f>IF(데이터입력!AY43="",0,데이터입력!AY43)</f>
        <v>0</v>
      </c>
      <c r="Y43" s="1217">
        <f>IF(데이터입력!AZ43="",0,데이터입력!AZ43)</f>
        <v>0</v>
      </c>
      <c r="Z43" s="1218">
        <f>IF(데이터입력!BA43="",0,데이터입력!BA43)</f>
        <v>0</v>
      </c>
      <c r="AA43" s="1219">
        <f>IF(데이터입력!BB43="",0,데이터입력!BB43)</f>
        <v>0</v>
      </c>
    </row>
    <row r="44" spans="1:27" ht="17.25" hidden="1" customHeight="1" thickBot="1">
      <c r="A44" s="171">
        <f>IF(W44="","",SUBTOTAL(2,$W$11:W44))</f>
        <v>34</v>
      </c>
      <c r="B44" s="179" t="str">
        <f t="shared" si="1"/>
        <v>00</v>
      </c>
      <c r="C44" s="180" t="str">
        <f t="shared" si="2"/>
        <v/>
      </c>
      <c r="D44" s="180" t="str">
        <f t="shared" si="3"/>
        <v/>
      </c>
      <c r="E44" s="180" t="str">
        <f t="shared" si="3"/>
        <v/>
      </c>
      <c r="F44" s="181" t="str">
        <f t="shared" si="4"/>
        <v/>
      </c>
      <c r="G44" s="179" t="s">
        <v>483</v>
      </c>
      <c r="H44" s="179" t="s">
        <v>484</v>
      </c>
      <c r="I44" s="183">
        <f>IF(X44="","",X44*데이터입력!$Y$8)</f>
        <v>0</v>
      </c>
      <c r="J44" s="183">
        <f>R44*데이터입력!$Y$8</f>
        <v>0</v>
      </c>
      <c r="K44" s="183">
        <f>T44*데이터입력!$Y$8</f>
        <v>0</v>
      </c>
      <c r="L44" s="183">
        <f>IFERROR(U44*데이터입력!$Y$8,0)</f>
        <v>0</v>
      </c>
      <c r="M44" s="183">
        <f>IFERROR(V44*데이터입력!$Y$8,0)</f>
        <v>0</v>
      </c>
      <c r="N44" s="594"/>
      <c r="O44" s="1211" t="str">
        <f>IF(데이터입력!AP44="","",데이터입력!AP44)</f>
        <v/>
      </c>
      <c r="P44" s="1212" t="str">
        <f>IF(데이터입력!AQ44="","",데이터입력!AQ44)</f>
        <v/>
      </c>
      <c r="Q44" s="1213">
        <f>IF(데이터입력!AR44="",0,데이터입력!AR44)</f>
        <v>0</v>
      </c>
      <c r="R44" s="1214">
        <f>IF(데이터입력!AS44="",0,데이터입력!AS44)</f>
        <v>0</v>
      </c>
      <c r="S44" s="1215">
        <f>IF(데이터입력!AT44="",0,데이터입력!AT44)</f>
        <v>0</v>
      </c>
      <c r="T44" s="1214">
        <f>IF(데이터입력!AU44="",0,데이터입력!AU44)</f>
        <v>0</v>
      </c>
      <c r="U44" s="1213">
        <f>IF(데이터입력!AV44="",0,데이터입력!AV44)</f>
        <v>0</v>
      </c>
      <c r="V44" s="1214">
        <f>IF(데이터입력!AW44="",0,데이터입력!AW44)</f>
        <v>0</v>
      </c>
      <c r="W44" s="1216">
        <f>IF(데이터입력!AX44="",0,데이터입력!AX44)</f>
        <v>0</v>
      </c>
      <c r="X44" s="1217">
        <f>IF(데이터입력!AY44="",0,데이터입력!AY44)</f>
        <v>0</v>
      </c>
      <c r="Y44" s="1217">
        <f>IF(데이터입력!AZ44="",0,데이터입력!AZ44)</f>
        <v>0</v>
      </c>
      <c r="Z44" s="1218">
        <f>IF(데이터입력!BA44="",0,데이터입력!BA44)</f>
        <v>0</v>
      </c>
      <c r="AA44" s="1219">
        <f>IF(데이터입력!BB44="",0,데이터입력!BB44)</f>
        <v>0</v>
      </c>
    </row>
    <row r="45" spans="1:27" ht="17.25" hidden="1" customHeight="1" thickBot="1">
      <c r="A45" s="171">
        <f>IF(W45="","",SUBTOTAL(2,$W$11:W45))</f>
        <v>35</v>
      </c>
      <c r="B45" s="172" t="str">
        <f t="shared" si="1"/>
        <v>00</v>
      </c>
      <c r="C45" s="173" t="str">
        <f t="shared" si="2"/>
        <v/>
      </c>
      <c r="D45" s="173" t="str">
        <f t="shared" si="3"/>
        <v/>
      </c>
      <c r="E45" s="173" t="str">
        <f t="shared" si="3"/>
        <v/>
      </c>
      <c r="F45" s="174" t="str">
        <f t="shared" si="4"/>
        <v/>
      </c>
      <c r="G45" s="172" t="s">
        <v>483</v>
      </c>
      <c r="H45" s="172" t="s">
        <v>484</v>
      </c>
      <c r="I45" s="176">
        <f>IF(X45="","",X45*데이터입력!$Y$8)</f>
        <v>0</v>
      </c>
      <c r="J45" s="176">
        <f>R45*데이터입력!$Y$8</f>
        <v>0</v>
      </c>
      <c r="K45" s="176">
        <f>T45*데이터입력!$Y$8</f>
        <v>0</v>
      </c>
      <c r="L45" s="176">
        <f>IFERROR(U45*데이터입력!$Y$8,0)</f>
        <v>0</v>
      </c>
      <c r="M45" s="176">
        <f>IFERROR(V45*데이터입력!$Y$8,0)</f>
        <v>0</v>
      </c>
      <c r="N45" s="594"/>
      <c r="O45" s="1211" t="str">
        <f>IF(데이터입력!AP45="","",데이터입력!AP45)</f>
        <v/>
      </c>
      <c r="P45" s="1212" t="str">
        <f>IF(데이터입력!AQ45="","",데이터입력!AQ45)</f>
        <v/>
      </c>
      <c r="Q45" s="1213">
        <f>IF(데이터입력!AR45="",0,데이터입력!AR45)</f>
        <v>0</v>
      </c>
      <c r="R45" s="1214">
        <f>IF(데이터입력!AS45="",0,데이터입력!AS45)</f>
        <v>0</v>
      </c>
      <c r="S45" s="1215">
        <f>IF(데이터입력!AT45="",0,데이터입력!AT45)</f>
        <v>0</v>
      </c>
      <c r="T45" s="1214">
        <f>IF(데이터입력!AU45="",0,데이터입력!AU45)</f>
        <v>0</v>
      </c>
      <c r="U45" s="1213">
        <f>IF(데이터입력!AV45="",0,데이터입력!AV45)</f>
        <v>0</v>
      </c>
      <c r="V45" s="1214">
        <f>IF(데이터입력!AW45="",0,데이터입력!AW45)</f>
        <v>0</v>
      </c>
      <c r="W45" s="1216">
        <f>IF(데이터입력!AX45="",0,데이터입력!AX45)</f>
        <v>0</v>
      </c>
      <c r="X45" s="1217">
        <f>IF(데이터입력!AY45="",0,데이터입력!AY45)</f>
        <v>0</v>
      </c>
      <c r="Y45" s="1217">
        <f>IF(데이터입력!AZ45="",0,데이터입력!AZ45)</f>
        <v>0</v>
      </c>
      <c r="Z45" s="1218">
        <f>IF(데이터입력!BA45="",0,데이터입력!BA45)</f>
        <v>0</v>
      </c>
      <c r="AA45" s="1219">
        <f>IF(데이터입력!BB45="",0,데이터입력!BB45)</f>
        <v>0</v>
      </c>
    </row>
    <row r="46" spans="1:27" ht="17.25" hidden="1" customHeight="1" thickBot="1">
      <c r="A46" s="171">
        <f>IF(W46="","",SUBTOTAL(2,$W$11:W46))</f>
        <v>36</v>
      </c>
      <c r="B46" s="179" t="str">
        <f t="shared" si="1"/>
        <v>00</v>
      </c>
      <c r="C46" s="180" t="str">
        <f t="shared" si="2"/>
        <v/>
      </c>
      <c r="D46" s="180" t="str">
        <f t="shared" si="3"/>
        <v/>
      </c>
      <c r="E46" s="180" t="str">
        <f t="shared" si="3"/>
        <v/>
      </c>
      <c r="F46" s="181" t="str">
        <f t="shared" si="4"/>
        <v/>
      </c>
      <c r="G46" s="179" t="s">
        <v>483</v>
      </c>
      <c r="H46" s="179" t="s">
        <v>484</v>
      </c>
      <c r="I46" s="183">
        <f>IF(X46="","",X46*데이터입력!$Y$8)</f>
        <v>0</v>
      </c>
      <c r="J46" s="183">
        <f>R46*데이터입력!$Y$8</f>
        <v>0</v>
      </c>
      <c r="K46" s="183">
        <f>T46*데이터입력!$Y$8</f>
        <v>0</v>
      </c>
      <c r="L46" s="183">
        <f>IFERROR(U46*데이터입력!$Y$8,0)</f>
        <v>0</v>
      </c>
      <c r="M46" s="183">
        <f>IFERROR(V46*데이터입력!$Y$8,0)</f>
        <v>0</v>
      </c>
      <c r="N46" s="594"/>
      <c r="O46" s="1211" t="str">
        <f>IF(데이터입력!AP46="","",데이터입력!AP46)</f>
        <v/>
      </c>
      <c r="P46" s="1212" t="str">
        <f>IF(데이터입력!AQ46="","",데이터입력!AQ46)</f>
        <v/>
      </c>
      <c r="Q46" s="1213">
        <f>IF(데이터입력!AR46="",0,데이터입력!AR46)</f>
        <v>0</v>
      </c>
      <c r="R46" s="1214">
        <f>IF(데이터입력!AS46="",0,데이터입력!AS46)</f>
        <v>0</v>
      </c>
      <c r="S46" s="1215">
        <f>IF(데이터입력!AT46="",0,데이터입력!AT46)</f>
        <v>0</v>
      </c>
      <c r="T46" s="1214">
        <f>IF(데이터입력!AU46="",0,데이터입력!AU46)</f>
        <v>0</v>
      </c>
      <c r="U46" s="1213">
        <f>IF(데이터입력!AV46="",0,데이터입력!AV46)</f>
        <v>0</v>
      </c>
      <c r="V46" s="1214">
        <f>IF(데이터입력!AW46="",0,데이터입력!AW46)</f>
        <v>0</v>
      </c>
      <c r="W46" s="1216">
        <f>IF(데이터입력!AX46="",0,데이터입력!AX46)</f>
        <v>0</v>
      </c>
      <c r="X46" s="1217">
        <f>IF(데이터입력!AY46="",0,데이터입력!AY46)</f>
        <v>0</v>
      </c>
      <c r="Y46" s="1217">
        <f>IF(데이터입력!AZ46="",0,데이터입력!AZ46)</f>
        <v>0</v>
      </c>
      <c r="Z46" s="1218">
        <f>IF(데이터입력!BA46="",0,데이터입력!BA46)</f>
        <v>0</v>
      </c>
      <c r="AA46" s="1219">
        <f>IF(데이터입력!BB46="",0,데이터입력!BB46)</f>
        <v>0</v>
      </c>
    </row>
    <row r="47" spans="1:27" ht="17.25" hidden="1" customHeight="1" thickBot="1">
      <c r="A47" s="171">
        <f>IF(W47="","",SUBTOTAL(2,$W$11:W47))</f>
        <v>37</v>
      </c>
      <c r="B47" s="172" t="str">
        <f t="shared" si="1"/>
        <v>00</v>
      </c>
      <c r="C47" s="173" t="str">
        <f t="shared" si="2"/>
        <v/>
      </c>
      <c r="D47" s="173" t="str">
        <f t="shared" si="3"/>
        <v/>
      </c>
      <c r="E47" s="173" t="str">
        <f t="shared" si="3"/>
        <v/>
      </c>
      <c r="F47" s="174" t="str">
        <f t="shared" si="4"/>
        <v/>
      </c>
      <c r="G47" s="172" t="s">
        <v>483</v>
      </c>
      <c r="H47" s="172" t="s">
        <v>484</v>
      </c>
      <c r="I47" s="176">
        <f>IF(X47="","",X47*데이터입력!$Y$8)</f>
        <v>0</v>
      </c>
      <c r="J47" s="176">
        <f>R47*데이터입력!$Y$8</f>
        <v>0</v>
      </c>
      <c r="K47" s="176">
        <f>T47*데이터입력!$Y$8</f>
        <v>0</v>
      </c>
      <c r="L47" s="176">
        <f>IFERROR(U47*데이터입력!$Y$8,0)</f>
        <v>0</v>
      </c>
      <c r="M47" s="176">
        <f>IFERROR(V47*데이터입력!$Y$8,0)</f>
        <v>0</v>
      </c>
      <c r="N47" s="594"/>
      <c r="O47" s="1211" t="str">
        <f>IF(데이터입력!AP47="","",데이터입력!AP47)</f>
        <v/>
      </c>
      <c r="P47" s="1212" t="str">
        <f>IF(데이터입력!AQ47="","",데이터입력!AQ47)</f>
        <v/>
      </c>
      <c r="Q47" s="1213">
        <f>IF(데이터입력!AR47="",0,데이터입력!AR47)</f>
        <v>0</v>
      </c>
      <c r="R47" s="1214">
        <f>IF(데이터입력!AS47="",0,데이터입력!AS47)</f>
        <v>0</v>
      </c>
      <c r="S47" s="1215">
        <f>IF(데이터입력!AT47="",0,데이터입력!AT47)</f>
        <v>0</v>
      </c>
      <c r="T47" s="1214">
        <f>IF(데이터입력!AU47="",0,데이터입력!AU47)</f>
        <v>0</v>
      </c>
      <c r="U47" s="1213">
        <f>IF(데이터입력!AV47="",0,데이터입력!AV47)</f>
        <v>0</v>
      </c>
      <c r="V47" s="1214">
        <f>IF(데이터입력!AW47="",0,데이터입력!AW47)</f>
        <v>0</v>
      </c>
      <c r="W47" s="1216">
        <f>IF(데이터입력!AX47="",0,데이터입력!AX47)</f>
        <v>0</v>
      </c>
      <c r="X47" s="1217">
        <f>IF(데이터입력!AY47="",0,데이터입력!AY47)</f>
        <v>0</v>
      </c>
      <c r="Y47" s="1217">
        <f>IF(데이터입력!AZ47="",0,데이터입력!AZ47)</f>
        <v>0</v>
      </c>
      <c r="Z47" s="1218">
        <f>IF(데이터입력!BA47="",0,데이터입력!BA47)</f>
        <v>0</v>
      </c>
      <c r="AA47" s="1219">
        <f>IF(데이터입력!BB47="",0,데이터입력!BB47)</f>
        <v>0</v>
      </c>
    </row>
    <row r="48" spans="1:27" ht="17.25" hidden="1" customHeight="1" thickBot="1">
      <c r="A48" s="171">
        <f>IF(W48="","",SUBTOTAL(2,$W$11:W48))</f>
        <v>38</v>
      </c>
      <c r="B48" s="179" t="str">
        <f t="shared" si="1"/>
        <v>00</v>
      </c>
      <c r="C48" s="180" t="str">
        <f t="shared" si="2"/>
        <v/>
      </c>
      <c r="D48" s="180" t="str">
        <f t="shared" si="3"/>
        <v/>
      </c>
      <c r="E48" s="180" t="str">
        <f t="shared" si="3"/>
        <v/>
      </c>
      <c r="F48" s="181" t="str">
        <f t="shared" si="4"/>
        <v/>
      </c>
      <c r="G48" s="179" t="s">
        <v>483</v>
      </c>
      <c r="H48" s="179" t="s">
        <v>484</v>
      </c>
      <c r="I48" s="183">
        <f>IF(X48="","",X48*데이터입력!$Y$8)</f>
        <v>0</v>
      </c>
      <c r="J48" s="183">
        <f>R48*데이터입력!$Y$8</f>
        <v>0</v>
      </c>
      <c r="K48" s="183">
        <f>T48*데이터입력!$Y$8</f>
        <v>0</v>
      </c>
      <c r="L48" s="183">
        <f>IFERROR(U48*데이터입력!$Y$8,0)</f>
        <v>0</v>
      </c>
      <c r="M48" s="183">
        <f>IFERROR(V48*데이터입력!$Y$8,0)</f>
        <v>0</v>
      </c>
      <c r="N48" s="594"/>
      <c r="O48" s="1211" t="str">
        <f>IF(데이터입력!AP48="","",데이터입력!AP48)</f>
        <v/>
      </c>
      <c r="P48" s="1212" t="str">
        <f>IF(데이터입력!AQ48="","",데이터입력!AQ48)</f>
        <v/>
      </c>
      <c r="Q48" s="1213">
        <f>IF(데이터입력!AR48="",0,데이터입력!AR48)</f>
        <v>0</v>
      </c>
      <c r="R48" s="1214">
        <f>IF(데이터입력!AS48="",0,데이터입력!AS48)</f>
        <v>0</v>
      </c>
      <c r="S48" s="1215">
        <f>IF(데이터입력!AT48="",0,데이터입력!AT48)</f>
        <v>0</v>
      </c>
      <c r="T48" s="1214">
        <f>IF(데이터입력!AU48="",0,데이터입력!AU48)</f>
        <v>0</v>
      </c>
      <c r="U48" s="1213">
        <f>IF(데이터입력!AV48="",0,데이터입력!AV48)</f>
        <v>0</v>
      </c>
      <c r="V48" s="1214">
        <f>IF(데이터입력!AW48="",0,데이터입력!AW48)</f>
        <v>0</v>
      </c>
      <c r="W48" s="1216">
        <f>IF(데이터입력!AX48="",0,데이터입력!AX48)</f>
        <v>0</v>
      </c>
      <c r="X48" s="1217">
        <f>IF(데이터입력!AY48="",0,데이터입력!AY48)</f>
        <v>0</v>
      </c>
      <c r="Y48" s="1217">
        <f>IF(데이터입력!AZ48="",0,데이터입력!AZ48)</f>
        <v>0</v>
      </c>
      <c r="Z48" s="1218">
        <f>IF(데이터입력!BA48="",0,데이터입력!BA48)</f>
        <v>0</v>
      </c>
      <c r="AA48" s="1219">
        <f>IF(데이터입력!BB48="",0,데이터입력!BB48)</f>
        <v>0</v>
      </c>
    </row>
    <row r="49" spans="1:29" ht="17.25" hidden="1" customHeight="1" thickBot="1">
      <c r="A49" s="171">
        <f>IF(W49="","",SUBTOTAL(2,$W$11:W49))</f>
        <v>39</v>
      </c>
      <c r="B49" s="172" t="str">
        <f t="shared" si="1"/>
        <v>00</v>
      </c>
      <c r="C49" s="173" t="str">
        <f t="shared" si="2"/>
        <v/>
      </c>
      <c r="D49" s="173" t="str">
        <f t="shared" si="3"/>
        <v/>
      </c>
      <c r="E49" s="173" t="str">
        <f t="shared" si="3"/>
        <v/>
      </c>
      <c r="F49" s="174" t="str">
        <f t="shared" si="4"/>
        <v/>
      </c>
      <c r="G49" s="172" t="s">
        <v>483</v>
      </c>
      <c r="H49" s="172" t="s">
        <v>484</v>
      </c>
      <c r="I49" s="176">
        <f>IF(X49="","",X49*데이터입력!$Y$8)</f>
        <v>0</v>
      </c>
      <c r="J49" s="176">
        <f>R49*데이터입력!$Y$8</f>
        <v>0</v>
      </c>
      <c r="K49" s="176">
        <f>T49*데이터입력!$Y$8</f>
        <v>0</v>
      </c>
      <c r="L49" s="176">
        <f>IFERROR(U49*데이터입력!$Y$8,0)</f>
        <v>0</v>
      </c>
      <c r="M49" s="176">
        <f>IFERROR(V49*데이터입력!$Y$8,0)</f>
        <v>0</v>
      </c>
      <c r="N49" s="594"/>
      <c r="O49" s="1211" t="str">
        <f>IF(데이터입력!AP49="","",데이터입력!AP49)</f>
        <v/>
      </c>
      <c r="P49" s="1212" t="str">
        <f>IF(데이터입력!AQ49="","",데이터입력!AQ49)</f>
        <v/>
      </c>
      <c r="Q49" s="1213">
        <f>IF(데이터입력!AR49="",0,데이터입력!AR49)</f>
        <v>0</v>
      </c>
      <c r="R49" s="1214">
        <f>IF(데이터입력!AS49="",0,데이터입력!AS49)</f>
        <v>0</v>
      </c>
      <c r="S49" s="1215">
        <f>IF(데이터입력!AT49="",0,데이터입력!AT49)</f>
        <v>0</v>
      </c>
      <c r="T49" s="1214">
        <f>IF(데이터입력!AU49="",0,데이터입력!AU49)</f>
        <v>0</v>
      </c>
      <c r="U49" s="1213">
        <f>IF(데이터입력!AV49="",0,데이터입력!AV49)</f>
        <v>0</v>
      </c>
      <c r="V49" s="1214">
        <f>IF(데이터입력!AW49="",0,데이터입력!AW49)</f>
        <v>0</v>
      </c>
      <c r="W49" s="1216">
        <f>IF(데이터입력!AX49="",0,데이터입력!AX49)</f>
        <v>0</v>
      </c>
      <c r="X49" s="1217">
        <f>IF(데이터입력!AY49="",0,데이터입력!AY49)</f>
        <v>0</v>
      </c>
      <c r="Y49" s="1217">
        <f>IF(데이터입력!AZ49="",0,데이터입력!AZ49)</f>
        <v>0</v>
      </c>
      <c r="Z49" s="1218">
        <f>IF(데이터입력!BA49="",0,데이터입력!BA49)</f>
        <v>0</v>
      </c>
      <c r="AA49" s="1219">
        <f>IF(데이터입력!BB49="",0,데이터입력!BB49)</f>
        <v>0</v>
      </c>
    </row>
    <row r="50" spans="1:29" ht="17.25" hidden="1" customHeight="1" thickBot="1">
      <c r="A50" s="171">
        <f>IF(W50="","",SUBTOTAL(2,$W$11:W50))</f>
        <v>40</v>
      </c>
      <c r="B50" s="179" t="str">
        <f t="shared" si="1"/>
        <v>00</v>
      </c>
      <c r="C50" s="180" t="str">
        <f t="shared" si="2"/>
        <v/>
      </c>
      <c r="D50" s="180" t="str">
        <f t="shared" si="3"/>
        <v/>
      </c>
      <c r="E50" s="180" t="str">
        <f t="shared" si="3"/>
        <v/>
      </c>
      <c r="F50" s="181" t="str">
        <f t="shared" si="4"/>
        <v/>
      </c>
      <c r="G50" s="179" t="s">
        <v>483</v>
      </c>
      <c r="H50" s="179" t="s">
        <v>484</v>
      </c>
      <c r="I50" s="183">
        <f>IF(X50="","",X50*데이터입력!$Y$8)</f>
        <v>0</v>
      </c>
      <c r="J50" s="183">
        <f>R50*데이터입력!$Y$8</f>
        <v>0</v>
      </c>
      <c r="K50" s="183">
        <f>T50*데이터입력!$Y$8</f>
        <v>0</v>
      </c>
      <c r="L50" s="183">
        <f>IFERROR(U50*데이터입력!$Y$8,0)</f>
        <v>0</v>
      </c>
      <c r="M50" s="183">
        <f>IFERROR(V50*데이터입력!$Y$8,0)</f>
        <v>0</v>
      </c>
      <c r="N50" s="594"/>
      <c r="O50" s="1211" t="str">
        <f>IF(데이터입력!AP50="","",데이터입력!AP50)</f>
        <v/>
      </c>
      <c r="P50" s="1212" t="str">
        <f>IF(데이터입력!AQ50="","",데이터입력!AQ50)</f>
        <v/>
      </c>
      <c r="Q50" s="1213">
        <f>IF(데이터입력!AR50="",0,데이터입력!AR50)</f>
        <v>0</v>
      </c>
      <c r="R50" s="1214">
        <f>IF(데이터입력!AS50="",0,데이터입력!AS50)</f>
        <v>0</v>
      </c>
      <c r="S50" s="1215">
        <f>IF(데이터입력!AT50="",0,데이터입력!AT50)</f>
        <v>0</v>
      </c>
      <c r="T50" s="1214">
        <f>IF(데이터입력!AU50="",0,데이터입력!AU50)</f>
        <v>0</v>
      </c>
      <c r="U50" s="1213">
        <f>IF(데이터입력!AV50="",0,데이터입력!AV50)</f>
        <v>0</v>
      </c>
      <c r="V50" s="1214">
        <f>IF(데이터입력!AW50="",0,데이터입력!AW50)</f>
        <v>0</v>
      </c>
      <c r="W50" s="1216">
        <f>IF(데이터입력!AX50="",0,데이터입력!AX50)</f>
        <v>0</v>
      </c>
      <c r="X50" s="1217">
        <f>IF(데이터입력!AY50="",0,데이터입력!AY50)</f>
        <v>0</v>
      </c>
      <c r="Y50" s="1217">
        <f>IF(데이터입력!AZ50="",0,데이터입력!AZ50)</f>
        <v>0</v>
      </c>
      <c r="Z50" s="1218">
        <f>IF(데이터입력!BA50="",0,데이터입력!BA50)</f>
        <v>0</v>
      </c>
      <c r="AA50" s="1219">
        <f>IF(데이터입력!BB50="",0,데이터입력!BB50)</f>
        <v>0</v>
      </c>
    </row>
    <row r="51" spans="1:29" ht="17.25" hidden="1" customHeight="1" thickBot="1">
      <c r="A51" s="171">
        <f>IF(W51="","",SUBTOTAL(2,$W$11:W51))</f>
        <v>41</v>
      </c>
      <c r="B51" s="172" t="str">
        <f t="shared" si="1"/>
        <v>00</v>
      </c>
      <c r="C51" s="173" t="str">
        <f t="shared" si="2"/>
        <v/>
      </c>
      <c r="D51" s="173" t="str">
        <f t="shared" si="3"/>
        <v/>
      </c>
      <c r="E51" s="173" t="str">
        <f t="shared" si="3"/>
        <v/>
      </c>
      <c r="F51" s="174" t="str">
        <f t="shared" si="4"/>
        <v/>
      </c>
      <c r="G51" s="172" t="s">
        <v>483</v>
      </c>
      <c r="H51" s="172" t="s">
        <v>484</v>
      </c>
      <c r="I51" s="176">
        <f>IF(X51="","",X51*데이터입력!$Y$8)</f>
        <v>0</v>
      </c>
      <c r="J51" s="176">
        <f>R51*데이터입력!$Y$8</f>
        <v>0</v>
      </c>
      <c r="K51" s="176">
        <f>T51*데이터입력!$Y$8</f>
        <v>0</v>
      </c>
      <c r="L51" s="176">
        <f>IFERROR(U51*데이터입력!$Y$8,0)</f>
        <v>0</v>
      </c>
      <c r="M51" s="176">
        <f>IFERROR(V51*데이터입력!$Y$8,0)</f>
        <v>0</v>
      </c>
      <c r="N51" s="594"/>
      <c r="O51" s="1211" t="str">
        <f>IF(데이터입력!AP51="","",데이터입력!AP51)</f>
        <v/>
      </c>
      <c r="P51" s="1212" t="str">
        <f>IF(데이터입력!AQ51="","",데이터입력!AQ51)</f>
        <v/>
      </c>
      <c r="Q51" s="1213">
        <f>IF(데이터입력!AR51="",0,데이터입력!AR51)</f>
        <v>0</v>
      </c>
      <c r="R51" s="1214">
        <f>IF(데이터입력!AS51="",0,데이터입력!AS51)</f>
        <v>0</v>
      </c>
      <c r="S51" s="1215">
        <f>IF(데이터입력!AT51="",0,데이터입력!AT51)</f>
        <v>0</v>
      </c>
      <c r="T51" s="1214">
        <f>IF(데이터입력!AU51="",0,데이터입력!AU51)</f>
        <v>0</v>
      </c>
      <c r="U51" s="1213">
        <f>IF(데이터입력!AV51="",0,데이터입력!AV51)</f>
        <v>0</v>
      </c>
      <c r="V51" s="1214">
        <f>IF(데이터입력!AW51="",0,데이터입력!AW51)</f>
        <v>0</v>
      </c>
      <c r="W51" s="1216">
        <f>IF(데이터입력!AX51="",0,데이터입력!AX51)</f>
        <v>0</v>
      </c>
      <c r="X51" s="1217">
        <f>IF(데이터입력!AY51="",0,데이터입력!AY51)</f>
        <v>0</v>
      </c>
      <c r="Y51" s="1217">
        <f>IF(데이터입력!AZ51="",0,데이터입력!AZ51)</f>
        <v>0</v>
      </c>
      <c r="Z51" s="1218">
        <f>IF(데이터입력!BA51="",0,데이터입력!BA51)</f>
        <v>0</v>
      </c>
      <c r="AA51" s="1219">
        <f>IF(데이터입력!BB51="",0,데이터입력!BB51)</f>
        <v>0</v>
      </c>
    </row>
    <row r="52" spans="1:29" ht="17.25" hidden="1" customHeight="1" thickBot="1">
      <c r="A52" s="171">
        <f>IF(W52="","",SUBTOTAL(2,$W$11:W52))</f>
        <v>42</v>
      </c>
      <c r="B52" s="179" t="str">
        <f t="shared" si="1"/>
        <v>00</v>
      </c>
      <c r="C52" s="180" t="str">
        <f t="shared" si="2"/>
        <v/>
      </c>
      <c r="D52" s="180" t="str">
        <f t="shared" si="3"/>
        <v/>
      </c>
      <c r="E52" s="180" t="str">
        <f t="shared" si="3"/>
        <v/>
      </c>
      <c r="F52" s="181" t="str">
        <f t="shared" si="4"/>
        <v/>
      </c>
      <c r="G52" s="179" t="s">
        <v>483</v>
      </c>
      <c r="H52" s="179" t="s">
        <v>484</v>
      </c>
      <c r="I52" s="183">
        <f>IF(X52="","",X52*데이터입력!$Y$8)</f>
        <v>0</v>
      </c>
      <c r="J52" s="183">
        <f>R52*데이터입력!$Y$8</f>
        <v>0</v>
      </c>
      <c r="K52" s="183">
        <f>T52*데이터입력!$Y$8</f>
        <v>0</v>
      </c>
      <c r="L52" s="183">
        <f>IFERROR(U52*데이터입력!$Y$8,0)</f>
        <v>0</v>
      </c>
      <c r="M52" s="183">
        <f>IFERROR(V52*데이터입력!$Y$8,0)</f>
        <v>0</v>
      </c>
      <c r="N52" s="594"/>
      <c r="O52" s="1211" t="str">
        <f>IF(데이터입력!AP52="","",데이터입력!AP52)</f>
        <v/>
      </c>
      <c r="P52" s="1212" t="str">
        <f>IF(데이터입력!AQ52="","",데이터입력!AQ52)</f>
        <v/>
      </c>
      <c r="Q52" s="1213">
        <f>IF(데이터입력!AR52="",0,데이터입력!AR52)</f>
        <v>0</v>
      </c>
      <c r="R52" s="1214">
        <f>IF(데이터입력!AS52="",0,데이터입력!AS52)</f>
        <v>0</v>
      </c>
      <c r="S52" s="1215">
        <f>IF(데이터입력!AT52="",0,데이터입력!AT52)</f>
        <v>0</v>
      </c>
      <c r="T52" s="1214">
        <f>IF(데이터입력!AU52="",0,데이터입력!AU52)</f>
        <v>0</v>
      </c>
      <c r="U52" s="1213">
        <f>IF(데이터입력!AV52="",0,데이터입력!AV52)</f>
        <v>0</v>
      </c>
      <c r="V52" s="1214">
        <f>IF(데이터입력!AW52="",0,데이터입력!AW52)</f>
        <v>0</v>
      </c>
      <c r="W52" s="1216">
        <f>IF(데이터입력!AX52="",0,데이터입력!AX52)</f>
        <v>0</v>
      </c>
      <c r="X52" s="1217">
        <f>IF(데이터입력!AY52="",0,데이터입력!AY52)</f>
        <v>0</v>
      </c>
      <c r="Y52" s="1217">
        <f>IF(데이터입력!AZ52="",0,데이터입력!AZ52)</f>
        <v>0</v>
      </c>
      <c r="Z52" s="1218">
        <f>IF(데이터입력!BA52="",0,데이터입력!BA52)</f>
        <v>0</v>
      </c>
      <c r="AA52" s="1219">
        <f>IF(데이터입력!BB52="",0,데이터입력!BB52)</f>
        <v>0</v>
      </c>
    </row>
    <row r="53" spans="1:29" ht="17.25" hidden="1" customHeight="1" thickBot="1">
      <c r="A53" s="171">
        <f>IF(W53="","",SUBTOTAL(2,$W$11:W53))</f>
        <v>43</v>
      </c>
      <c r="B53" s="172" t="str">
        <f t="shared" si="1"/>
        <v>00</v>
      </c>
      <c r="C53" s="173" t="str">
        <f t="shared" si="2"/>
        <v/>
      </c>
      <c r="D53" s="173" t="str">
        <f t="shared" si="3"/>
        <v/>
      </c>
      <c r="E53" s="173" t="str">
        <f t="shared" si="3"/>
        <v/>
      </c>
      <c r="F53" s="174" t="str">
        <f t="shared" si="4"/>
        <v/>
      </c>
      <c r="G53" s="172" t="s">
        <v>483</v>
      </c>
      <c r="H53" s="172" t="s">
        <v>484</v>
      </c>
      <c r="I53" s="176">
        <f>IF(X53="","",X53*데이터입력!$Y$8)</f>
        <v>0</v>
      </c>
      <c r="J53" s="176">
        <f>R53*데이터입력!$Y$8</f>
        <v>0</v>
      </c>
      <c r="K53" s="176">
        <f>T53*데이터입력!$Y$8</f>
        <v>0</v>
      </c>
      <c r="L53" s="176">
        <f>IFERROR(U53*데이터입력!$Y$8,0)</f>
        <v>0</v>
      </c>
      <c r="M53" s="176">
        <f>IFERROR(V53*데이터입력!$Y$8,0)</f>
        <v>0</v>
      </c>
      <c r="N53" s="594"/>
      <c r="O53" s="1211" t="str">
        <f>IF(데이터입력!AP53="","",데이터입력!AP53)</f>
        <v/>
      </c>
      <c r="P53" s="1212" t="str">
        <f>IF(데이터입력!AQ53="","",데이터입력!AQ53)</f>
        <v/>
      </c>
      <c r="Q53" s="1213">
        <f>IF(데이터입력!AR53="",0,데이터입력!AR53)</f>
        <v>0</v>
      </c>
      <c r="R53" s="1214">
        <f>IF(데이터입력!AS53="",0,데이터입력!AS53)</f>
        <v>0</v>
      </c>
      <c r="S53" s="1215">
        <f>IF(데이터입력!AT53="",0,데이터입력!AT53)</f>
        <v>0</v>
      </c>
      <c r="T53" s="1214">
        <f>IF(데이터입력!AU53="",0,데이터입력!AU53)</f>
        <v>0</v>
      </c>
      <c r="U53" s="1213">
        <f>IF(데이터입력!AV53="",0,데이터입력!AV53)</f>
        <v>0</v>
      </c>
      <c r="V53" s="1214">
        <f>IF(데이터입력!AW53="",0,데이터입력!AW53)</f>
        <v>0</v>
      </c>
      <c r="W53" s="1216">
        <f>IF(데이터입력!AX53="",0,데이터입력!AX53)</f>
        <v>0</v>
      </c>
      <c r="X53" s="1217">
        <f>IF(데이터입력!AY53="",0,데이터입력!AY53)</f>
        <v>0</v>
      </c>
      <c r="Y53" s="1217">
        <f>IF(데이터입력!AZ53="",0,데이터입력!AZ53)</f>
        <v>0</v>
      </c>
      <c r="Z53" s="1218">
        <f>IF(데이터입력!BA53="",0,데이터입력!BA53)</f>
        <v>0</v>
      </c>
      <c r="AA53" s="1219">
        <f>IF(데이터입력!BB53="",0,데이터입력!BB53)</f>
        <v>0</v>
      </c>
    </row>
    <row r="54" spans="1:29" ht="17.25" hidden="1" customHeight="1" thickBot="1">
      <c r="A54" s="171">
        <f>IF(W54="","",SUBTOTAL(2,$W$11:W54))</f>
        <v>44</v>
      </c>
      <c r="B54" s="179" t="str">
        <f t="shared" si="1"/>
        <v>00</v>
      </c>
      <c r="C54" s="180" t="str">
        <f t="shared" si="2"/>
        <v/>
      </c>
      <c r="D54" s="180" t="str">
        <f t="shared" si="3"/>
        <v/>
      </c>
      <c r="E54" s="180" t="str">
        <f t="shared" si="3"/>
        <v/>
      </c>
      <c r="F54" s="181" t="str">
        <f t="shared" si="4"/>
        <v/>
      </c>
      <c r="G54" s="179" t="s">
        <v>483</v>
      </c>
      <c r="H54" s="179" t="s">
        <v>484</v>
      </c>
      <c r="I54" s="183">
        <f>IF(X54="","",X54*데이터입력!$Y$8)</f>
        <v>0</v>
      </c>
      <c r="J54" s="183">
        <f>R54*데이터입력!$Y$8</f>
        <v>0</v>
      </c>
      <c r="K54" s="183">
        <f>T54*데이터입력!$Y$8</f>
        <v>0</v>
      </c>
      <c r="L54" s="183">
        <f>IFERROR(U54*데이터입력!$Y$8,0)</f>
        <v>0</v>
      </c>
      <c r="M54" s="183">
        <f>IFERROR(V54*데이터입력!$Y$8,0)</f>
        <v>0</v>
      </c>
      <c r="N54" s="594"/>
      <c r="O54" s="1211" t="str">
        <f>IF(데이터입력!AP54="","",데이터입력!AP54)</f>
        <v/>
      </c>
      <c r="P54" s="1212" t="str">
        <f>IF(데이터입력!AQ54="","",데이터입력!AQ54)</f>
        <v/>
      </c>
      <c r="Q54" s="1213">
        <f>IF(데이터입력!AR54="",0,데이터입력!AR54)</f>
        <v>0</v>
      </c>
      <c r="R54" s="1214">
        <f>IF(데이터입력!AS54="",0,데이터입력!AS54)</f>
        <v>0</v>
      </c>
      <c r="S54" s="1215">
        <f>IF(데이터입력!AT54="",0,데이터입력!AT54)</f>
        <v>0</v>
      </c>
      <c r="T54" s="1214">
        <f>IF(데이터입력!AU54="",0,데이터입력!AU54)</f>
        <v>0</v>
      </c>
      <c r="U54" s="1213">
        <f>IF(데이터입력!AV54="",0,데이터입력!AV54)</f>
        <v>0</v>
      </c>
      <c r="V54" s="1214">
        <f>IF(데이터입력!AW54="",0,데이터입력!AW54)</f>
        <v>0</v>
      </c>
      <c r="W54" s="1216">
        <f>IF(데이터입력!AX54="",0,데이터입력!AX54)</f>
        <v>0</v>
      </c>
      <c r="X54" s="1217">
        <f>IF(데이터입력!AY54="",0,데이터입력!AY54)</f>
        <v>0</v>
      </c>
      <c r="Y54" s="1217">
        <f>IF(데이터입력!AZ54="",0,데이터입력!AZ54)</f>
        <v>0</v>
      </c>
      <c r="Z54" s="1218">
        <f>IF(데이터입력!BA54="",0,데이터입력!BA54)</f>
        <v>0</v>
      </c>
      <c r="AA54" s="1219">
        <f>IF(데이터입력!BB54="",0,데이터입력!BB54)</f>
        <v>0</v>
      </c>
    </row>
    <row r="55" spans="1:29" ht="17.25" hidden="1" customHeight="1" thickBot="1">
      <c r="A55" s="171">
        <f>IF(W55="","",SUBTOTAL(2,$W$11:W55))</f>
        <v>45</v>
      </c>
      <c r="B55" s="172" t="str">
        <f t="shared" si="1"/>
        <v>00</v>
      </c>
      <c r="C55" s="173" t="str">
        <f t="shared" si="2"/>
        <v/>
      </c>
      <c r="D55" s="173" t="str">
        <f t="shared" si="3"/>
        <v/>
      </c>
      <c r="E55" s="173" t="str">
        <f t="shared" si="3"/>
        <v/>
      </c>
      <c r="F55" s="174" t="str">
        <f t="shared" si="4"/>
        <v/>
      </c>
      <c r="G55" s="172" t="s">
        <v>483</v>
      </c>
      <c r="H55" s="172" t="s">
        <v>484</v>
      </c>
      <c r="I55" s="176">
        <f>IF(X55="","",X55*데이터입력!$Y$8)</f>
        <v>0</v>
      </c>
      <c r="J55" s="176">
        <f>R55*데이터입력!$Y$8</f>
        <v>0</v>
      </c>
      <c r="K55" s="176">
        <f>T55*데이터입력!$Y$8</f>
        <v>0</v>
      </c>
      <c r="L55" s="176">
        <f>IFERROR(U55*데이터입력!$Y$8,0)</f>
        <v>0</v>
      </c>
      <c r="M55" s="176">
        <f>IFERROR(V55*데이터입력!$Y$8,0)</f>
        <v>0</v>
      </c>
      <c r="N55" s="594"/>
      <c r="O55" s="1211" t="str">
        <f>IF(데이터입력!AP55="","",데이터입력!AP55)</f>
        <v/>
      </c>
      <c r="P55" s="1212" t="str">
        <f>IF(데이터입력!AQ55="","",데이터입력!AQ55)</f>
        <v/>
      </c>
      <c r="Q55" s="1213">
        <f>IF(데이터입력!AR55="",0,데이터입력!AR55)</f>
        <v>0</v>
      </c>
      <c r="R55" s="1214">
        <f>IF(데이터입력!AS55="",0,데이터입력!AS55)</f>
        <v>0</v>
      </c>
      <c r="S55" s="1215">
        <f>IF(데이터입력!AT55="",0,데이터입력!AT55)</f>
        <v>0</v>
      </c>
      <c r="T55" s="1214">
        <f>IF(데이터입력!AU55="",0,데이터입력!AU55)</f>
        <v>0</v>
      </c>
      <c r="U55" s="1213">
        <f>IF(데이터입력!AV55="",0,데이터입력!AV55)</f>
        <v>0</v>
      </c>
      <c r="V55" s="1214">
        <f>IF(데이터입력!AW55="",0,데이터입력!AW55)</f>
        <v>0</v>
      </c>
      <c r="W55" s="1216">
        <f>IF(데이터입력!AX55="",0,데이터입력!AX55)</f>
        <v>0</v>
      </c>
      <c r="X55" s="1217">
        <f>IF(데이터입력!AY55="",0,데이터입력!AY55)</f>
        <v>0</v>
      </c>
      <c r="Y55" s="1217">
        <f>IF(데이터입력!AZ55="",0,데이터입력!AZ55)</f>
        <v>0</v>
      </c>
      <c r="Z55" s="1218">
        <f>IF(데이터입력!BA55="",0,데이터입력!BA55)</f>
        <v>0</v>
      </c>
      <c r="AA55" s="1219">
        <f>IF(데이터입력!BB55="",0,데이터입력!BB55)</f>
        <v>0</v>
      </c>
    </row>
    <row r="56" spans="1:29" ht="17.25" hidden="1" customHeight="1" thickBot="1">
      <c r="A56" s="171">
        <f>IF(W56="","",SUBTOTAL(2,$W$11:W56))</f>
        <v>46</v>
      </c>
      <c r="B56" s="179" t="str">
        <f t="shared" si="1"/>
        <v>00</v>
      </c>
      <c r="C56" s="180" t="str">
        <f t="shared" si="2"/>
        <v/>
      </c>
      <c r="D56" s="180" t="str">
        <f t="shared" si="3"/>
        <v/>
      </c>
      <c r="E56" s="180" t="str">
        <f t="shared" si="3"/>
        <v/>
      </c>
      <c r="F56" s="181" t="str">
        <f t="shared" si="4"/>
        <v/>
      </c>
      <c r="G56" s="179" t="s">
        <v>483</v>
      </c>
      <c r="H56" s="179" t="s">
        <v>484</v>
      </c>
      <c r="I56" s="183">
        <f>IF(X56="","",X56*데이터입력!$Y$8)</f>
        <v>0</v>
      </c>
      <c r="J56" s="183">
        <f>R56*데이터입력!$Y$8</f>
        <v>0</v>
      </c>
      <c r="K56" s="183">
        <f>T56*데이터입력!$Y$8</f>
        <v>0</v>
      </c>
      <c r="L56" s="183">
        <f>IFERROR(U56*데이터입력!$Y$8,0)</f>
        <v>0</v>
      </c>
      <c r="M56" s="183">
        <f>IFERROR(V56*데이터입력!$Y$8,0)</f>
        <v>0</v>
      </c>
      <c r="N56" s="594"/>
      <c r="O56" s="1211" t="str">
        <f>IF(데이터입력!AP56="","",데이터입력!AP56)</f>
        <v/>
      </c>
      <c r="P56" s="1212" t="str">
        <f>IF(데이터입력!AQ56="","",데이터입력!AQ56)</f>
        <v/>
      </c>
      <c r="Q56" s="1213">
        <f>IF(데이터입력!AR56="",0,데이터입력!AR56)</f>
        <v>0</v>
      </c>
      <c r="R56" s="1214">
        <f>IF(데이터입력!AS56="",0,데이터입력!AS56)</f>
        <v>0</v>
      </c>
      <c r="S56" s="1215">
        <f>IF(데이터입력!AT56="",0,데이터입력!AT56)</f>
        <v>0</v>
      </c>
      <c r="T56" s="1214">
        <f>IF(데이터입력!AU56="",0,데이터입력!AU56)</f>
        <v>0</v>
      </c>
      <c r="U56" s="1213">
        <f>IF(데이터입력!AV56="",0,데이터입력!AV56)</f>
        <v>0</v>
      </c>
      <c r="V56" s="1214">
        <f>IF(데이터입력!AW56="",0,데이터입력!AW56)</f>
        <v>0</v>
      </c>
      <c r="W56" s="1216">
        <f>IF(데이터입력!AX56="",0,데이터입력!AX56)</f>
        <v>0</v>
      </c>
      <c r="X56" s="1217">
        <f>IF(데이터입력!AY56="",0,데이터입력!AY56)</f>
        <v>0</v>
      </c>
      <c r="Y56" s="1217">
        <f>IF(데이터입력!AZ56="",0,데이터입력!AZ56)</f>
        <v>0</v>
      </c>
      <c r="Z56" s="1218">
        <f>IF(데이터입력!BA56="",0,데이터입력!BA56)</f>
        <v>0</v>
      </c>
      <c r="AA56" s="1219">
        <f>IF(데이터입력!BB56="",0,데이터입력!BB56)</f>
        <v>0</v>
      </c>
    </row>
    <row r="57" spans="1:29" ht="17.25" hidden="1" customHeight="1" thickBot="1">
      <c r="A57" s="171">
        <f>IF(W57="","",SUBTOTAL(2,$W$11:W57))</f>
        <v>47</v>
      </c>
      <c r="B57" s="172" t="str">
        <f t="shared" si="1"/>
        <v>00</v>
      </c>
      <c r="C57" s="173" t="str">
        <f t="shared" si="2"/>
        <v/>
      </c>
      <c r="D57" s="173" t="str">
        <f t="shared" si="3"/>
        <v/>
      </c>
      <c r="E57" s="173" t="str">
        <f t="shared" si="3"/>
        <v/>
      </c>
      <c r="F57" s="174" t="str">
        <f t="shared" si="4"/>
        <v/>
      </c>
      <c r="G57" s="172" t="s">
        <v>483</v>
      </c>
      <c r="H57" s="172" t="s">
        <v>484</v>
      </c>
      <c r="I57" s="176">
        <f>IF(X57="","",X57*데이터입력!$Y$8)</f>
        <v>0</v>
      </c>
      <c r="J57" s="176">
        <f>R57*데이터입력!$Y$8</f>
        <v>0</v>
      </c>
      <c r="K57" s="176">
        <f>T57*데이터입력!$Y$8</f>
        <v>0</v>
      </c>
      <c r="L57" s="176">
        <f>IFERROR(U57*데이터입력!$Y$8,0)</f>
        <v>0</v>
      </c>
      <c r="M57" s="176">
        <f>IFERROR(V57*데이터입력!$Y$8,0)</f>
        <v>0</v>
      </c>
      <c r="N57" s="594"/>
      <c r="O57" s="1211" t="str">
        <f>IF(데이터입력!AP57="","",데이터입력!AP57)</f>
        <v/>
      </c>
      <c r="P57" s="1212" t="str">
        <f>IF(데이터입력!AQ57="","",데이터입력!AQ57)</f>
        <v/>
      </c>
      <c r="Q57" s="1213">
        <f>IF(데이터입력!AR57="",0,데이터입력!AR57)</f>
        <v>0</v>
      </c>
      <c r="R57" s="1214">
        <f>IF(데이터입력!AS57="",0,데이터입력!AS57)</f>
        <v>0</v>
      </c>
      <c r="S57" s="1215">
        <f>IF(데이터입력!AT57="",0,데이터입력!AT57)</f>
        <v>0</v>
      </c>
      <c r="T57" s="1214">
        <f>IF(데이터입력!AU57="",0,데이터입력!AU57)</f>
        <v>0</v>
      </c>
      <c r="U57" s="1213">
        <f>IF(데이터입력!AV57="",0,데이터입력!AV57)</f>
        <v>0</v>
      </c>
      <c r="V57" s="1214">
        <f>IF(데이터입력!AW57="",0,데이터입력!AW57)</f>
        <v>0</v>
      </c>
      <c r="W57" s="1216">
        <f>IF(데이터입력!AX57="",0,데이터입력!AX57)</f>
        <v>0</v>
      </c>
      <c r="X57" s="1217">
        <f>IF(데이터입력!AY57="",0,데이터입력!AY57)</f>
        <v>0</v>
      </c>
      <c r="Y57" s="1217">
        <f>IF(데이터입력!AZ57="",0,데이터입력!AZ57)</f>
        <v>0</v>
      </c>
      <c r="Z57" s="1218">
        <f>IF(데이터입력!BA57="",0,데이터입력!BA57)</f>
        <v>0</v>
      </c>
      <c r="AA57" s="1219">
        <f>IF(데이터입력!BB57="",0,데이터입력!BB57)</f>
        <v>0</v>
      </c>
    </row>
    <row r="58" spans="1:29" ht="17.25" hidden="1" customHeight="1" thickBot="1">
      <c r="A58" s="171">
        <f>IF(W58="","",SUBTOTAL(2,$W$11:W58))</f>
        <v>48</v>
      </c>
      <c r="B58" s="179" t="str">
        <f t="shared" si="1"/>
        <v>00</v>
      </c>
      <c r="C58" s="180" t="str">
        <f t="shared" si="2"/>
        <v/>
      </c>
      <c r="D58" s="180" t="str">
        <f t="shared" si="3"/>
        <v/>
      </c>
      <c r="E58" s="180" t="str">
        <f t="shared" si="3"/>
        <v/>
      </c>
      <c r="F58" s="181" t="str">
        <f t="shared" si="4"/>
        <v/>
      </c>
      <c r="G58" s="179" t="s">
        <v>483</v>
      </c>
      <c r="H58" s="179" t="s">
        <v>484</v>
      </c>
      <c r="I58" s="183">
        <f>IF(X58="","",X58*데이터입력!$Y$8)</f>
        <v>0</v>
      </c>
      <c r="J58" s="183">
        <f>R58*데이터입력!$Y$8</f>
        <v>0</v>
      </c>
      <c r="K58" s="183">
        <f>T58*데이터입력!$Y$8</f>
        <v>0</v>
      </c>
      <c r="L58" s="183">
        <f>IFERROR(U58*데이터입력!$Y$8,0)</f>
        <v>0</v>
      </c>
      <c r="M58" s="183">
        <f>IFERROR(V58*데이터입력!$Y$8,0)</f>
        <v>0</v>
      </c>
      <c r="N58" s="594"/>
      <c r="O58" s="1211" t="str">
        <f>IF(데이터입력!AP58="","",데이터입력!AP58)</f>
        <v/>
      </c>
      <c r="P58" s="1212" t="str">
        <f>IF(데이터입력!AQ58="","",데이터입력!AQ58)</f>
        <v/>
      </c>
      <c r="Q58" s="1213">
        <f>IF(데이터입력!AR58="",0,데이터입력!AR58)</f>
        <v>0</v>
      </c>
      <c r="R58" s="1214">
        <f>IF(데이터입력!AS58="",0,데이터입력!AS58)</f>
        <v>0</v>
      </c>
      <c r="S58" s="1215">
        <f>IF(데이터입력!AT58="",0,데이터입력!AT58)</f>
        <v>0</v>
      </c>
      <c r="T58" s="1214">
        <f>IF(데이터입력!AU58="",0,데이터입력!AU58)</f>
        <v>0</v>
      </c>
      <c r="U58" s="1213">
        <f>IF(데이터입력!AV58="",0,데이터입력!AV58)</f>
        <v>0</v>
      </c>
      <c r="V58" s="1214">
        <f>IF(데이터입력!AW58="",0,데이터입력!AW58)</f>
        <v>0</v>
      </c>
      <c r="W58" s="1216">
        <f>IF(데이터입력!AX58="",0,데이터입력!AX58)</f>
        <v>0</v>
      </c>
      <c r="X58" s="1217">
        <f>IF(데이터입력!AY58="",0,데이터입력!AY58)</f>
        <v>0</v>
      </c>
      <c r="Y58" s="1217">
        <f>IF(데이터입력!AZ58="",0,데이터입력!AZ58)</f>
        <v>0</v>
      </c>
      <c r="Z58" s="1218">
        <f>IF(데이터입력!BA58="",0,데이터입력!BA58)</f>
        <v>0</v>
      </c>
      <c r="AA58" s="1219">
        <f>IF(데이터입력!BB58="",0,데이터입력!BB58)</f>
        <v>0</v>
      </c>
    </row>
    <row r="59" spans="1:29" ht="17.25" hidden="1" customHeight="1" thickBot="1">
      <c r="A59" s="171">
        <f>IF(W59="","",SUBTOTAL(2,$W$11:W59))</f>
        <v>49</v>
      </c>
      <c r="B59" s="335" t="str">
        <f t="shared" si="1"/>
        <v>00</v>
      </c>
      <c r="C59" s="336" t="str">
        <f t="shared" si="2"/>
        <v/>
      </c>
      <c r="D59" s="336" t="str">
        <f t="shared" si="3"/>
        <v/>
      </c>
      <c r="E59" s="336" t="str">
        <f t="shared" si="3"/>
        <v/>
      </c>
      <c r="F59" s="337" t="str">
        <f t="shared" si="4"/>
        <v/>
      </c>
      <c r="G59" s="335" t="s">
        <v>483</v>
      </c>
      <c r="H59" s="335" t="s">
        <v>484</v>
      </c>
      <c r="I59" s="203">
        <f>IF(X59="","",X59*데이터입력!$Y$8)</f>
        <v>0</v>
      </c>
      <c r="J59" s="203">
        <f>R59*데이터입력!$Y$8</f>
        <v>0</v>
      </c>
      <c r="K59" s="203">
        <f>T59*데이터입력!$Y$8</f>
        <v>0</v>
      </c>
      <c r="L59" s="203">
        <f>IFERROR(U59*데이터입력!$Y$8,0)</f>
        <v>0</v>
      </c>
      <c r="M59" s="203">
        <f>IFERROR(V59*데이터입력!$Y$8,0)</f>
        <v>0</v>
      </c>
      <c r="N59" s="594"/>
      <c r="O59" s="1211" t="str">
        <f>IF(데이터입력!AP59="","",데이터입력!AP59)</f>
        <v/>
      </c>
      <c r="P59" s="1212" t="str">
        <f>IF(데이터입력!AQ59="","",데이터입력!AQ59)</f>
        <v/>
      </c>
      <c r="Q59" s="1213">
        <f>IF(데이터입력!AR59="",0,데이터입력!AR59)</f>
        <v>0</v>
      </c>
      <c r="R59" s="1214">
        <f>IF(데이터입력!AS59="",0,데이터입력!AS59)</f>
        <v>0</v>
      </c>
      <c r="S59" s="1215">
        <f>IF(데이터입력!AT59="",0,데이터입력!AT59)</f>
        <v>0</v>
      </c>
      <c r="T59" s="1214">
        <f>IF(데이터입력!AU59="",0,데이터입력!AU59)</f>
        <v>0</v>
      </c>
      <c r="U59" s="1213">
        <f>IF(데이터입력!AV59="",0,데이터입력!AV59)</f>
        <v>0</v>
      </c>
      <c r="V59" s="1214">
        <f>IF(데이터입력!AW59="",0,데이터입력!AW59)</f>
        <v>0</v>
      </c>
      <c r="W59" s="1216">
        <f>IF(데이터입력!AX59="",0,데이터입력!AX59)</f>
        <v>0</v>
      </c>
      <c r="X59" s="1217">
        <f>IF(데이터입력!AY59="",0,데이터입력!AY59)</f>
        <v>0</v>
      </c>
      <c r="Y59" s="1217">
        <f>IF(데이터입력!AZ59="",0,데이터입력!AZ59)</f>
        <v>0</v>
      </c>
      <c r="Z59" s="1218">
        <f>IF(데이터입력!BA59="",0,데이터입력!BA59)</f>
        <v>0</v>
      </c>
      <c r="AA59" s="1219">
        <f>IF(데이터입력!BB59="",0,데이터입력!BB59)</f>
        <v>0</v>
      </c>
    </row>
    <row r="60" spans="1:29" ht="17.25" hidden="1" customHeight="1" thickBot="1">
      <c r="A60" s="171">
        <f>IF(W60="","",SUBTOTAL(2,$W$11:W60))</f>
        <v>50</v>
      </c>
      <c r="B60" s="338" t="str">
        <f t="shared" si="1"/>
        <v>00</v>
      </c>
      <c r="C60" s="339" t="str">
        <f t="shared" si="2"/>
        <v/>
      </c>
      <c r="D60" s="339" t="str">
        <f t="shared" si="3"/>
        <v/>
      </c>
      <c r="E60" s="339" t="str">
        <f t="shared" si="3"/>
        <v/>
      </c>
      <c r="F60" s="340" t="str">
        <f t="shared" si="4"/>
        <v/>
      </c>
      <c r="G60" s="338" t="s">
        <v>483</v>
      </c>
      <c r="H60" s="338" t="s">
        <v>484</v>
      </c>
      <c r="I60" s="341">
        <f>IF(X60="","",X60*데이터입력!$Y$8)</f>
        <v>0</v>
      </c>
      <c r="J60" s="341">
        <f>R60*데이터입력!$Y$8</f>
        <v>0</v>
      </c>
      <c r="K60" s="281">
        <f>T60*데이터입력!$Y$8</f>
        <v>0</v>
      </c>
      <c r="L60" s="281">
        <f>IFERROR(U60*데이터입력!$Y$8,0)</f>
        <v>0</v>
      </c>
      <c r="M60" s="281">
        <f>IFERROR(V60*데이터입력!$Y$8,0)</f>
        <v>0</v>
      </c>
      <c r="N60" s="594"/>
      <c r="O60" s="1211" t="str">
        <f>IF(데이터입력!AP60="","",데이터입력!AP60)</f>
        <v/>
      </c>
      <c r="P60" s="1212" t="str">
        <f>IF(데이터입력!AQ60="","",데이터입력!AQ60)</f>
        <v/>
      </c>
      <c r="Q60" s="1213">
        <f>IF(데이터입력!AR60="",0,데이터입력!AR60)</f>
        <v>0</v>
      </c>
      <c r="R60" s="1214">
        <f>IF(데이터입력!AS60="",0,데이터입력!AS60)</f>
        <v>0</v>
      </c>
      <c r="S60" s="1215">
        <f>IF(데이터입력!AT60="",0,데이터입력!AT60)</f>
        <v>0</v>
      </c>
      <c r="T60" s="1214">
        <f>IF(데이터입력!AU60="",0,데이터입력!AU60)</f>
        <v>0</v>
      </c>
      <c r="U60" s="1213">
        <f>IF(데이터입력!AV60="",0,데이터입력!AV60)</f>
        <v>0</v>
      </c>
      <c r="V60" s="1214">
        <f>IF(데이터입력!AW60="",0,데이터입력!AW60)</f>
        <v>0</v>
      </c>
      <c r="W60" s="1216">
        <f>IF(데이터입력!AX60="",0,데이터입력!AX60)</f>
        <v>0</v>
      </c>
      <c r="X60" s="1217">
        <f>IF(데이터입력!AY60="",0,데이터입력!AY60)</f>
        <v>0</v>
      </c>
      <c r="Y60" s="1217">
        <f>IF(데이터입력!AZ60="",0,데이터입력!AZ60)</f>
        <v>0</v>
      </c>
      <c r="Z60" s="1218">
        <f>IF(데이터입력!BA60="",0,데이터입력!BA60)</f>
        <v>0</v>
      </c>
      <c r="AA60" s="1219">
        <f>IF(데이터입력!BB60="",0,데이터입력!BB60)</f>
        <v>0</v>
      </c>
    </row>
    <row r="61" spans="1:29" ht="18" thickTop="1" thickBot="1">
      <c r="A61" s="171">
        <f>IF(W61="","",SUBTOTAL(2,$W$11:W61))</f>
        <v>51</v>
      </c>
      <c r="B61" s="188" t="str">
        <f t="shared" si="1"/>
        <v>00</v>
      </c>
      <c r="C61" s="189" t="str">
        <f t="shared" si="2"/>
        <v>일반사업[일반]</v>
      </c>
      <c r="D61" s="190" t="str">
        <f t="shared" ref="D61:E76" si="5">IF(O61="","",O61)</f>
        <v>신정숙</v>
      </c>
      <c r="E61" s="190" t="str">
        <f t="shared" si="5"/>
        <v>사회복지사</v>
      </c>
      <c r="F61" s="191" t="str">
        <f t="shared" si="4"/>
        <v>재가노인복지시설 주야간보호</v>
      </c>
      <c r="G61" s="188" t="s">
        <v>485</v>
      </c>
      <c r="H61" s="188" t="s">
        <v>484</v>
      </c>
      <c r="I61" s="192">
        <f>IF(X61="","",X61*데이터입력!$Y$8)</f>
        <v>25200000</v>
      </c>
      <c r="J61" s="193">
        <f>R61*데이터입력!$Y$8+IF(R61&gt;0,데이터입력!$AE$90,0)</f>
        <v>0</v>
      </c>
      <c r="K61" s="193">
        <f>T61*데이터입력!$Y$8++IF(T61&gt;0,데이터입력!$AE$92,0)</f>
        <v>0</v>
      </c>
      <c r="L61" s="193">
        <f>IFERROR(IF(U61="","",U61*데이터입력!$Y$8+데이터입력!$AE$94),0)</f>
        <v>2100000</v>
      </c>
      <c r="M61" s="192">
        <f>IFERROR(IF(V61=0,"",V61*데이터입력!$Y$8+데이터입력!$AE$96),"")</f>
        <v>2635730</v>
      </c>
      <c r="N61" s="594"/>
      <c r="O61" s="194" t="str">
        <f>IF(데이터입력!AP63="","",데이터입력!AP63)</f>
        <v>신정숙</v>
      </c>
      <c r="P61" s="195" t="str">
        <f>IF(데이터입력!AQ63="","",데이터입력!AQ63)</f>
        <v>사회복지사</v>
      </c>
      <c r="Q61" s="196">
        <f>IF(데이터입력!AR63="",0,데이터입력!AR63)</f>
        <v>2100000</v>
      </c>
      <c r="R61" s="1203">
        <f>IF(데이터입력!AS63="",0,데이터입력!AS63)</f>
        <v>0</v>
      </c>
      <c r="S61" s="197">
        <f>IF(데이터입력!AT63="",0,데이터입력!AT63)</f>
        <v>2100000</v>
      </c>
      <c r="T61" s="1203">
        <f>IF(데이터입력!AU63="",0,데이터입력!AU63)</f>
        <v>0</v>
      </c>
      <c r="U61" s="196">
        <f>IF(데이터입력!AV63="",0,데이터입력!AV63)</f>
        <v>175000</v>
      </c>
      <c r="V61" s="1203">
        <f>IF(데이터입력!AW63="",0,데이터입력!AW63)</f>
        <v>219640</v>
      </c>
      <c r="W61" s="601">
        <f>IF(데이터입력!AX63="",0,데이터입력!AX63)</f>
        <v>2494640</v>
      </c>
      <c r="X61" s="936">
        <f>IF(데이터입력!AY63="",0,데이터입력!AY63)</f>
        <v>2100000</v>
      </c>
      <c r="Y61" s="936">
        <f>IF(데이터입력!AZ63="",0,데이터입력!AZ63)</f>
        <v>2100000</v>
      </c>
      <c r="Z61" s="937">
        <f>IF(데이터입력!BA63="",0,데이터입력!BA63)</f>
        <v>175000</v>
      </c>
      <c r="AA61" s="602">
        <f>IF(데이터입력!BB63="",0,데이터입력!BB63)</f>
        <v>175000</v>
      </c>
      <c r="AB61" s="595">
        <f>IF(데이터입력!BC63="",0,데이터입력!BC63)</f>
        <v>5</v>
      </c>
      <c r="AC61" s="595">
        <f>IF(데이터입력!BD61="",0,데이터입력!BD61)</f>
        <v>0</v>
      </c>
    </row>
    <row r="62" spans="1:29" ht="17.25" thickTop="1">
      <c r="A62" s="171">
        <f>IF(W62="","",SUBTOTAL(2,$W$11:W62))</f>
        <v>52</v>
      </c>
      <c r="B62" s="198" t="str">
        <f t="shared" si="1"/>
        <v>00</v>
      </c>
      <c r="C62" s="180" t="str">
        <f t="shared" si="2"/>
        <v>일반사업[일반]</v>
      </c>
      <c r="D62" s="180" t="str">
        <f t="shared" si="5"/>
        <v>최선옥</v>
      </c>
      <c r="E62" s="180" t="str">
        <f t="shared" si="5"/>
        <v>간호조무사</v>
      </c>
      <c r="F62" s="181" t="str">
        <f t="shared" si="4"/>
        <v>재가노인복지시설 주야간보호</v>
      </c>
      <c r="G62" s="198" t="s">
        <v>485</v>
      </c>
      <c r="H62" s="198" t="s">
        <v>484</v>
      </c>
      <c r="I62" s="182">
        <f>IF(X62="","",X62*데이터입력!$Y$8)</f>
        <v>25200000</v>
      </c>
      <c r="J62" s="183">
        <f>IFERROR(IF(R61="",R62*데이터입력!$Y$8+데이터입력!$AE$90,R62*데이터입력!$Y$8),0)</f>
        <v>0</v>
      </c>
      <c r="K62" s="183">
        <f>IFERROR(IF(T61="",T62*데이터입력!$Y$8+데이터입력!$AE$92,T62*데이터입력!$Y$8),0)</f>
        <v>0</v>
      </c>
      <c r="L62" s="183">
        <f>IFERROR(IF(U61="",U62*데이터입력!$Y$8+데이터입력!$AE$94,U62*데이터입력!$Y$8),0)</f>
        <v>2100000</v>
      </c>
      <c r="M62" s="183">
        <f>IFERROR(IF(V61=0,V62*데이터입력!$Y$8+데이터입력!$AE$96,V62*데이터입력!$Y$8),0)</f>
        <v>2635680</v>
      </c>
      <c r="N62" s="594"/>
      <c r="O62" s="184" t="str">
        <f>IF(데이터입력!AP64="","",데이터입력!AP64)</f>
        <v>최선옥</v>
      </c>
      <c r="P62" s="185" t="str">
        <f>IF(데이터입력!AQ64="","",데이터입력!AQ64)</f>
        <v>간호조무사</v>
      </c>
      <c r="Q62" s="186">
        <f>IF(데이터입력!AR64="",0,데이터입력!AR64)</f>
        <v>2100000</v>
      </c>
      <c r="R62" s="187">
        <f>IF(데이터입력!AS64="",0,데이터입력!AS64)</f>
        <v>0</v>
      </c>
      <c r="S62" s="1260">
        <f>IF(데이터입력!AT64="",0,데이터입력!AT64)</f>
        <v>2100000</v>
      </c>
      <c r="T62" s="187">
        <f>IF(데이터입력!AU64="",0,데이터입력!AU64)</f>
        <v>0</v>
      </c>
      <c r="U62" s="186">
        <f>IF(데이터입력!AV64="",0,데이터입력!AV64)</f>
        <v>175000</v>
      </c>
      <c r="V62" s="187">
        <f>IF(데이터입력!AW64="",0,데이터입력!AW64)</f>
        <v>219640</v>
      </c>
      <c r="W62" s="1261">
        <f>IF(데이터입력!AX64="",0,데이터입력!AX64)</f>
        <v>2494640</v>
      </c>
      <c r="X62" s="931">
        <f>IF(데이터입력!AY64="",0,데이터입력!AY64)</f>
        <v>2100000</v>
      </c>
      <c r="Y62" s="931">
        <f>IF(데이터입력!AZ64="",0,데이터입력!AZ64)</f>
        <v>2100000</v>
      </c>
      <c r="Z62" s="599">
        <f>IF(데이터입력!BA64="",0,데이터입력!BA64)</f>
        <v>175000</v>
      </c>
      <c r="AA62" s="935">
        <f>IF(데이터입력!BB64="",0,데이터입력!BB64)</f>
        <v>175000</v>
      </c>
    </row>
    <row r="63" spans="1:29">
      <c r="A63" s="171">
        <f>IF(W63="","",SUBTOTAL(2,$W$11:W63))</f>
        <v>53</v>
      </c>
      <c r="B63" s="200" t="str">
        <f t="shared" si="1"/>
        <v>00</v>
      </c>
      <c r="C63" s="173" t="str">
        <f t="shared" si="2"/>
        <v>일반사업[일반]</v>
      </c>
      <c r="D63" s="201" t="str">
        <f t="shared" si="5"/>
        <v>강태술</v>
      </c>
      <c r="E63" s="201" t="str">
        <f t="shared" si="5"/>
        <v>요양보호사 1급</v>
      </c>
      <c r="F63" s="174" t="str">
        <f t="shared" si="4"/>
        <v>재가노인복지시설 주야간보호</v>
      </c>
      <c r="G63" s="200" t="s">
        <v>485</v>
      </c>
      <c r="H63" s="200" t="s">
        <v>484</v>
      </c>
      <c r="I63" s="175">
        <f>IF(X63="","",X63*데이터입력!$Y$8)</f>
        <v>25512000</v>
      </c>
      <c r="J63" s="202">
        <f>R63*데이터입력!$Y$8</f>
        <v>0</v>
      </c>
      <c r="K63" s="202">
        <f>T63*데이터입력!$Y$8</f>
        <v>0</v>
      </c>
      <c r="L63" s="203">
        <f>IFERROR(U63*데이터입력!$Y$8,"")</f>
        <v>2126004</v>
      </c>
      <c r="M63" s="175">
        <f>IFERROR(V63*데이터입력!$Y$8,"")</f>
        <v>2668320</v>
      </c>
      <c r="N63" s="594"/>
      <c r="O63" s="184" t="str">
        <f>IF(데이터입력!AP65="","",데이터입력!AP65)</f>
        <v>강태술</v>
      </c>
      <c r="P63" s="185" t="str">
        <f>IF(데이터입력!AQ65="","",데이터입력!AQ65)</f>
        <v>요양보호사 1급</v>
      </c>
      <c r="Q63" s="186">
        <f>IF(데이터입력!AR65="",0,데이터입력!AR65)</f>
        <v>2126020</v>
      </c>
      <c r="R63" s="187">
        <f>IF(데이터입력!AS65="",0,데이터입력!AS65)</f>
        <v>0</v>
      </c>
      <c r="S63" s="1260">
        <f>IF(데이터입력!AT65="",0,데이터입력!AT65)</f>
        <v>2126000</v>
      </c>
      <c r="T63" s="187">
        <f>IF(데이터입력!AU65="",0,데이터입력!AU65)</f>
        <v>0</v>
      </c>
      <c r="U63" s="186">
        <f>IF(데이터입력!AV65="",0,데이터입력!AV65)</f>
        <v>177167</v>
      </c>
      <c r="V63" s="187">
        <f>IF(데이터입력!AW65="",0,데이터입력!AW65)</f>
        <v>222360</v>
      </c>
      <c r="W63" s="1261">
        <f>IF(데이터입력!AX65="",0,데이터입력!AX65)</f>
        <v>2525527</v>
      </c>
      <c r="X63" s="931">
        <f>IF(데이터입력!AY65="",0,데이터입력!AY65)</f>
        <v>2126000</v>
      </c>
      <c r="Y63" s="931">
        <f>IF(데이터입력!AZ65="",0,데이터입력!AZ65)</f>
        <v>2126000</v>
      </c>
      <c r="Z63" s="599">
        <f>IF(데이터입력!BA65="",0,데이터입력!BA65)</f>
        <v>177167</v>
      </c>
      <c r="AA63" s="935">
        <f>IF(데이터입력!BB65="",0,데이터입력!BB65)</f>
        <v>177167</v>
      </c>
    </row>
    <row r="64" spans="1:29">
      <c r="A64" s="171">
        <f>IF(W64="","",SUBTOTAL(2,$W$11:W64))</f>
        <v>54</v>
      </c>
      <c r="B64" s="198" t="str">
        <f t="shared" si="1"/>
        <v>00</v>
      </c>
      <c r="C64" s="180" t="str">
        <f t="shared" si="2"/>
        <v>일반사업[일반]</v>
      </c>
      <c r="D64" s="180" t="str">
        <f t="shared" si="5"/>
        <v>김수연</v>
      </c>
      <c r="E64" s="180" t="str">
        <f t="shared" si="5"/>
        <v>요양보호사 1급</v>
      </c>
      <c r="F64" s="181" t="str">
        <f t="shared" si="4"/>
        <v>재가노인복지시설 주야간보호</v>
      </c>
      <c r="G64" s="198" t="s">
        <v>485</v>
      </c>
      <c r="H64" s="198" t="s">
        <v>484</v>
      </c>
      <c r="I64" s="182">
        <f>IF(X64="","",X64*데이터입력!$Y$8)</f>
        <v>25512000</v>
      </c>
      <c r="J64" s="182">
        <f>R64*데이터입력!$Y$8</f>
        <v>0</v>
      </c>
      <c r="K64" s="182">
        <f>T64*데이터입력!$Y$8</f>
        <v>0</v>
      </c>
      <c r="L64" s="199">
        <f>IFERROR(U64*데이터입력!$Y$8,"")</f>
        <v>2126004</v>
      </c>
      <c r="M64" s="199">
        <f>IFERROR(V64*데이터입력!$Y$8,"")</f>
        <v>2668320</v>
      </c>
      <c r="N64" s="594"/>
      <c r="O64" s="184" t="str">
        <f>IF(데이터입력!AP66="","",데이터입력!AP66)</f>
        <v>김수연</v>
      </c>
      <c r="P64" s="185" t="str">
        <f>IF(데이터입력!AQ66="","",데이터입력!AQ66)</f>
        <v>요양보호사 1급</v>
      </c>
      <c r="Q64" s="186">
        <f>IF(데이터입력!AR66="",0,데이터입력!AR66)</f>
        <v>2126020</v>
      </c>
      <c r="R64" s="187">
        <f>IF(데이터입력!AS66="",0,데이터입력!AS66)</f>
        <v>0</v>
      </c>
      <c r="S64" s="1260">
        <f>IF(데이터입력!AT66="",0,데이터입력!AT66)</f>
        <v>2126000</v>
      </c>
      <c r="T64" s="187">
        <f>IF(데이터입력!AU66="",0,데이터입력!AU66)</f>
        <v>0</v>
      </c>
      <c r="U64" s="186">
        <f>IF(데이터입력!AV66="",0,데이터입력!AV66)</f>
        <v>177167</v>
      </c>
      <c r="V64" s="187">
        <f>IF(데이터입력!AW66="",0,데이터입력!AW66)</f>
        <v>222360</v>
      </c>
      <c r="W64" s="1261">
        <f>IF(데이터입력!AX66="",0,데이터입력!AX66)</f>
        <v>2525527</v>
      </c>
      <c r="X64" s="931">
        <f>IF(데이터입력!AY66="",0,데이터입력!AY66)</f>
        <v>2126000</v>
      </c>
      <c r="Y64" s="931">
        <f>IF(데이터입력!AZ66="",0,데이터입력!AZ66)</f>
        <v>2126000</v>
      </c>
      <c r="Z64" s="599">
        <f>IF(데이터입력!BA66="",0,데이터입력!BA66)</f>
        <v>177167</v>
      </c>
      <c r="AA64" s="935">
        <f>IF(데이터입력!BB66="",0,데이터입력!BB66)</f>
        <v>177167</v>
      </c>
    </row>
    <row r="65" spans="1:27">
      <c r="A65" s="171">
        <f>IF(W65="","",SUBTOTAL(2,$W$11:W65))</f>
        <v>55</v>
      </c>
      <c r="B65" s="200" t="str">
        <f t="shared" si="1"/>
        <v>00</v>
      </c>
      <c r="C65" s="173" t="str">
        <f t="shared" si="2"/>
        <v>일반사업[일반]</v>
      </c>
      <c r="D65" s="201" t="str">
        <f t="shared" si="5"/>
        <v>신규2</v>
      </c>
      <c r="E65" s="201" t="str">
        <f t="shared" si="5"/>
        <v>요양보호사 1급</v>
      </c>
      <c r="F65" s="174" t="str">
        <f t="shared" si="4"/>
        <v>재가노인복지시설 주야간보호</v>
      </c>
      <c r="G65" s="200" t="s">
        <v>485</v>
      </c>
      <c r="H65" s="200" t="s">
        <v>484</v>
      </c>
      <c r="I65" s="175">
        <f>IF(X65="","",X65*데이터입력!$Y$8)</f>
        <v>25512000</v>
      </c>
      <c r="J65" s="202">
        <f>R65*데이터입력!$Y$8</f>
        <v>0</v>
      </c>
      <c r="K65" s="202">
        <f>T65*데이터입력!$Y$8</f>
        <v>0</v>
      </c>
      <c r="L65" s="203">
        <f>IFERROR(U65*데이터입력!$Y$8,"")</f>
        <v>2126004</v>
      </c>
      <c r="M65" s="175">
        <f>IFERROR(V65*데이터입력!$Y$8,"")</f>
        <v>2668320</v>
      </c>
      <c r="N65" s="594"/>
      <c r="O65" s="184" t="str">
        <f>IF(데이터입력!AP67="","",데이터입력!AP67)</f>
        <v>신규2</v>
      </c>
      <c r="P65" s="185" t="str">
        <f>IF(데이터입력!AQ67="","",데이터입력!AQ67)</f>
        <v>요양보호사 1급</v>
      </c>
      <c r="Q65" s="186">
        <f>IF(데이터입력!AR67="",0,데이터입력!AR67)</f>
        <v>2126020</v>
      </c>
      <c r="R65" s="187">
        <f>IF(데이터입력!AS67="",0,데이터입력!AS67)</f>
        <v>0</v>
      </c>
      <c r="S65" s="1260">
        <f>IF(데이터입력!AT67="",0,데이터입력!AT67)</f>
        <v>2126000</v>
      </c>
      <c r="T65" s="187">
        <f>IF(데이터입력!AU67="",0,데이터입력!AU67)</f>
        <v>0</v>
      </c>
      <c r="U65" s="186">
        <f>IF(데이터입력!AV67="",0,데이터입력!AV67)</f>
        <v>177167</v>
      </c>
      <c r="V65" s="187">
        <f>IF(데이터입력!AW67="",0,데이터입력!AW67)</f>
        <v>222360</v>
      </c>
      <c r="W65" s="1261">
        <f>IF(데이터입력!AX67="",0,데이터입력!AX67)</f>
        <v>2525527</v>
      </c>
      <c r="X65" s="931">
        <f>IF(데이터입력!AY67="",0,데이터입력!AY67)</f>
        <v>2126000</v>
      </c>
      <c r="Y65" s="931">
        <f>IF(데이터입력!AZ67="",0,데이터입력!AZ67)</f>
        <v>2126000</v>
      </c>
      <c r="Z65" s="599">
        <f>IF(데이터입력!BA67="",0,데이터입력!BA67)</f>
        <v>177167</v>
      </c>
      <c r="AA65" s="935">
        <f>IF(데이터입력!BB67="",0,데이터입력!BB67)</f>
        <v>177167</v>
      </c>
    </row>
    <row r="66" spans="1:27">
      <c r="A66" s="171">
        <f>IF(W66="","",SUBTOTAL(2,$W$11:W66))</f>
        <v>56</v>
      </c>
      <c r="B66" s="198" t="str">
        <f t="shared" si="1"/>
        <v>00</v>
      </c>
      <c r="C66" s="180" t="str">
        <f t="shared" si="2"/>
        <v/>
      </c>
      <c r="D66" s="180" t="str">
        <f t="shared" si="5"/>
        <v/>
      </c>
      <c r="E66" s="180" t="str">
        <f t="shared" si="5"/>
        <v/>
      </c>
      <c r="F66" s="181" t="str">
        <f t="shared" si="4"/>
        <v/>
      </c>
      <c r="G66" s="198" t="s">
        <v>485</v>
      </c>
      <c r="H66" s="198" t="s">
        <v>484</v>
      </c>
      <c r="I66" s="182">
        <f>IF(X66="","",X66*데이터입력!$Y$8)</f>
        <v>0</v>
      </c>
      <c r="J66" s="182">
        <f>R66*데이터입력!$Y$8</f>
        <v>0</v>
      </c>
      <c r="K66" s="182">
        <f>T66*데이터입력!$Y$8</f>
        <v>0</v>
      </c>
      <c r="L66" s="199">
        <f>IFERROR(U66*데이터입력!$Y$8,"")</f>
        <v>0</v>
      </c>
      <c r="M66" s="199">
        <f>IFERROR(V66*데이터입력!$Y$8,"")</f>
        <v>0</v>
      </c>
      <c r="N66" s="594"/>
      <c r="O66" s="184" t="str">
        <f>IF(데이터입력!AP68="","",데이터입력!AP68)</f>
        <v/>
      </c>
      <c r="P66" s="185" t="str">
        <f>IF(데이터입력!AQ68="","",데이터입력!AQ68)</f>
        <v/>
      </c>
      <c r="Q66" s="186">
        <f>IF(데이터입력!AR68="",0,데이터입력!AR68)</f>
        <v>0</v>
      </c>
      <c r="R66" s="187">
        <f>IF(데이터입력!AS68="",0,데이터입력!AS68)</f>
        <v>0</v>
      </c>
      <c r="S66" s="1260">
        <f>IF(데이터입력!AT68="",0,데이터입력!AT68)</f>
        <v>0</v>
      </c>
      <c r="T66" s="187">
        <f>IF(데이터입력!AU68="",0,데이터입력!AU68)</f>
        <v>0</v>
      </c>
      <c r="U66" s="186">
        <f>IF(데이터입력!AV68="",0,데이터입력!AV68)</f>
        <v>0</v>
      </c>
      <c r="V66" s="187">
        <f>IF(데이터입력!AW68="",0,데이터입력!AW68)</f>
        <v>0</v>
      </c>
      <c r="W66" s="1261">
        <f>IF(데이터입력!AX68="",0,데이터입력!AX68)</f>
        <v>0</v>
      </c>
      <c r="X66" s="931">
        <f>IF(데이터입력!AY68="",0,데이터입력!AY68)</f>
        <v>0</v>
      </c>
      <c r="Y66" s="931">
        <f>IF(데이터입력!AZ68="",0,데이터입력!AZ68)</f>
        <v>0</v>
      </c>
      <c r="Z66" s="599">
        <f>IF(데이터입력!BA68="",0,데이터입력!BA68)</f>
        <v>0</v>
      </c>
      <c r="AA66" s="935">
        <f>IF(데이터입력!BB68="",0,데이터입력!BB68)</f>
        <v>0</v>
      </c>
    </row>
    <row r="67" spans="1:27">
      <c r="A67" s="171">
        <f>IF(W67="","",SUBTOTAL(2,$W$11:W67))</f>
        <v>57</v>
      </c>
      <c r="B67" s="200" t="str">
        <f t="shared" si="1"/>
        <v>00</v>
      </c>
      <c r="C67" s="173" t="str">
        <f t="shared" si="2"/>
        <v/>
      </c>
      <c r="D67" s="201" t="str">
        <f t="shared" si="5"/>
        <v/>
      </c>
      <c r="E67" s="201" t="str">
        <f t="shared" si="5"/>
        <v/>
      </c>
      <c r="F67" s="174" t="str">
        <f t="shared" si="4"/>
        <v/>
      </c>
      <c r="G67" s="200" t="s">
        <v>485</v>
      </c>
      <c r="H67" s="200" t="s">
        <v>484</v>
      </c>
      <c r="I67" s="175">
        <f>IF(X67="","",X67*데이터입력!$Y$8)</f>
        <v>0</v>
      </c>
      <c r="J67" s="202">
        <f>R67*데이터입력!$Y$8</f>
        <v>0</v>
      </c>
      <c r="K67" s="202">
        <f>T67*데이터입력!$Y$8</f>
        <v>0</v>
      </c>
      <c r="L67" s="203">
        <f>IFERROR(U67*데이터입력!$Y$8,"")</f>
        <v>0</v>
      </c>
      <c r="M67" s="175">
        <f>IFERROR(V67*데이터입력!$Y$8,"")</f>
        <v>0</v>
      </c>
      <c r="N67" s="594"/>
      <c r="O67" s="184" t="str">
        <f>IF(데이터입력!AP69="","",데이터입력!AP69)</f>
        <v/>
      </c>
      <c r="P67" s="185" t="str">
        <f>IF(데이터입력!AQ69="","",데이터입력!AQ69)</f>
        <v/>
      </c>
      <c r="Q67" s="186">
        <f>IF(데이터입력!AR69="",0,데이터입력!AR69)</f>
        <v>0</v>
      </c>
      <c r="R67" s="187">
        <f>IF(데이터입력!AS69="",0,데이터입력!AS69)</f>
        <v>0</v>
      </c>
      <c r="S67" s="1260">
        <f>IF(데이터입력!AT69="",0,데이터입력!AT69)</f>
        <v>0</v>
      </c>
      <c r="T67" s="187">
        <f>IF(데이터입력!AU69="",0,데이터입력!AU69)</f>
        <v>0</v>
      </c>
      <c r="U67" s="186">
        <f>IF(데이터입력!AV69="",0,데이터입력!AV69)</f>
        <v>0</v>
      </c>
      <c r="V67" s="187">
        <f>IF(데이터입력!AW69="",0,데이터입력!AW69)</f>
        <v>0</v>
      </c>
      <c r="W67" s="1261">
        <f>IF(데이터입력!AX69="",0,데이터입력!AX69)</f>
        <v>0</v>
      </c>
      <c r="X67" s="931">
        <f>IF(데이터입력!AY69="",0,데이터입력!AY69)</f>
        <v>0</v>
      </c>
      <c r="Y67" s="931">
        <f>IF(데이터입력!AZ69="",0,데이터입력!AZ69)</f>
        <v>0</v>
      </c>
      <c r="Z67" s="599">
        <f>IF(데이터입력!BA69="",0,데이터입력!BA69)</f>
        <v>0</v>
      </c>
      <c r="AA67" s="935">
        <f>IF(데이터입력!BB69="",0,데이터입력!BB69)</f>
        <v>0</v>
      </c>
    </row>
    <row r="68" spans="1:27">
      <c r="A68" s="171">
        <f>IF(W68="","",SUBTOTAL(2,$W$11:W68))</f>
        <v>58</v>
      </c>
      <c r="B68" s="198" t="str">
        <f t="shared" si="1"/>
        <v>00</v>
      </c>
      <c r="C68" s="180" t="str">
        <f t="shared" si="2"/>
        <v/>
      </c>
      <c r="D68" s="180" t="str">
        <f t="shared" si="5"/>
        <v/>
      </c>
      <c r="E68" s="180" t="str">
        <f t="shared" si="5"/>
        <v/>
      </c>
      <c r="F68" s="181" t="str">
        <f t="shared" si="4"/>
        <v/>
      </c>
      <c r="G68" s="198" t="s">
        <v>485</v>
      </c>
      <c r="H68" s="198" t="s">
        <v>484</v>
      </c>
      <c r="I68" s="182">
        <f>IF(X68="","",X68*데이터입력!$Y$8)</f>
        <v>0</v>
      </c>
      <c r="J68" s="182">
        <f>R68*데이터입력!$Y$8</f>
        <v>0</v>
      </c>
      <c r="K68" s="182">
        <f>T68*데이터입력!$Y$8</f>
        <v>0</v>
      </c>
      <c r="L68" s="199">
        <f>IFERROR(U68*데이터입력!$Y$8,"")</f>
        <v>0</v>
      </c>
      <c r="M68" s="199">
        <f>IFERROR(V68*데이터입력!$Y$8,"")</f>
        <v>0</v>
      </c>
      <c r="N68" s="594"/>
      <c r="O68" s="184" t="str">
        <f>IF(데이터입력!AP70="","",데이터입력!AP70)</f>
        <v/>
      </c>
      <c r="P68" s="185" t="str">
        <f>IF(데이터입력!AQ70="","",데이터입력!AQ70)</f>
        <v/>
      </c>
      <c r="Q68" s="186">
        <f>IF(데이터입력!AR70="",0,데이터입력!AR70)</f>
        <v>0</v>
      </c>
      <c r="R68" s="187">
        <f>IF(데이터입력!AS70="",0,데이터입력!AS70)</f>
        <v>0</v>
      </c>
      <c r="S68" s="1260">
        <f>IF(데이터입력!AT70="",0,데이터입력!AT70)</f>
        <v>0</v>
      </c>
      <c r="T68" s="187">
        <f>IF(데이터입력!AU70="",0,데이터입력!AU70)</f>
        <v>0</v>
      </c>
      <c r="U68" s="186">
        <f>IF(데이터입력!AV70="",0,데이터입력!AV70)</f>
        <v>0</v>
      </c>
      <c r="V68" s="187">
        <f>IF(데이터입력!AW70="",0,데이터입력!AW70)</f>
        <v>0</v>
      </c>
      <c r="W68" s="1261">
        <f>IF(데이터입력!AX70="",0,데이터입력!AX70)</f>
        <v>0</v>
      </c>
      <c r="X68" s="931">
        <f>IF(데이터입력!AY70="",0,데이터입력!AY70)</f>
        <v>0</v>
      </c>
      <c r="Y68" s="931">
        <f>IF(데이터입력!AZ70="",0,데이터입력!AZ70)</f>
        <v>0</v>
      </c>
      <c r="Z68" s="599">
        <f>IF(데이터입력!BA70="",0,데이터입력!BA70)</f>
        <v>0</v>
      </c>
      <c r="AA68" s="935">
        <f>IF(데이터입력!BB70="",0,데이터입력!BB70)</f>
        <v>0</v>
      </c>
    </row>
    <row r="69" spans="1:27">
      <c r="A69" s="171">
        <f>IF(W69="","",SUBTOTAL(2,$W$11:W69))</f>
        <v>59</v>
      </c>
      <c r="B69" s="200" t="str">
        <f t="shared" si="1"/>
        <v>00</v>
      </c>
      <c r="C69" s="173" t="str">
        <f t="shared" si="2"/>
        <v/>
      </c>
      <c r="D69" s="201" t="str">
        <f t="shared" si="5"/>
        <v/>
      </c>
      <c r="E69" s="201" t="str">
        <f t="shared" si="5"/>
        <v/>
      </c>
      <c r="F69" s="174" t="str">
        <f t="shared" si="4"/>
        <v/>
      </c>
      <c r="G69" s="200" t="s">
        <v>485</v>
      </c>
      <c r="H69" s="200" t="s">
        <v>484</v>
      </c>
      <c r="I69" s="175">
        <f>IF(X69="","",X69*데이터입력!$Y$8)</f>
        <v>0</v>
      </c>
      <c r="J69" s="202">
        <f>R69*데이터입력!$Y$8</f>
        <v>0</v>
      </c>
      <c r="K69" s="202">
        <f>T69*데이터입력!$Y$8</f>
        <v>0</v>
      </c>
      <c r="L69" s="203">
        <f>IFERROR(U69*데이터입력!$Y$8,"")</f>
        <v>0</v>
      </c>
      <c r="M69" s="175">
        <f>IFERROR(V69*데이터입력!$Y$8,"")</f>
        <v>0</v>
      </c>
      <c r="N69" s="594"/>
      <c r="O69" s="184" t="str">
        <f>IF(데이터입력!AP71="","",데이터입력!AP71)</f>
        <v/>
      </c>
      <c r="P69" s="185" t="str">
        <f>IF(데이터입력!AQ71="","",데이터입력!AQ71)</f>
        <v/>
      </c>
      <c r="Q69" s="186">
        <f>IF(데이터입력!AR71="",0,데이터입력!AR71)</f>
        <v>0</v>
      </c>
      <c r="R69" s="187">
        <f>IF(데이터입력!AS71="",0,데이터입력!AS71)</f>
        <v>0</v>
      </c>
      <c r="S69" s="1260">
        <f>IF(데이터입력!AT71="",0,데이터입력!AT71)</f>
        <v>0</v>
      </c>
      <c r="T69" s="187">
        <f>IF(데이터입력!AU71="",0,데이터입력!AU71)</f>
        <v>0</v>
      </c>
      <c r="U69" s="186">
        <f>IF(데이터입력!AV71="",0,데이터입력!AV71)</f>
        <v>0</v>
      </c>
      <c r="V69" s="187">
        <f>IF(데이터입력!AW71="",0,데이터입력!AW71)</f>
        <v>0</v>
      </c>
      <c r="W69" s="1261">
        <f>IF(데이터입력!AX71="",0,데이터입력!AX71)</f>
        <v>0</v>
      </c>
      <c r="X69" s="931">
        <f>IF(데이터입력!AY71="",0,데이터입력!AY71)</f>
        <v>0</v>
      </c>
      <c r="Y69" s="931">
        <f>IF(데이터입력!AZ71="",0,데이터입력!AZ71)</f>
        <v>0</v>
      </c>
      <c r="Z69" s="599">
        <f>IF(데이터입력!BA71="",0,데이터입력!BA71)</f>
        <v>0</v>
      </c>
      <c r="AA69" s="935">
        <f>IF(데이터입력!BB71="",0,데이터입력!BB71)</f>
        <v>0</v>
      </c>
    </row>
    <row r="70" spans="1:27">
      <c r="A70" s="171">
        <f>IF(W70="","",SUBTOTAL(2,$W$11:W70))</f>
        <v>60</v>
      </c>
      <c r="B70" s="198" t="str">
        <f t="shared" si="1"/>
        <v>00</v>
      </c>
      <c r="C70" s="180" t="str">
        <f t="shared" si="2"/>
        <v/>
      </c>
      <c r="D70" s="180" t="str">
        <f t="shared" si="5"/>
        <v/>
      </c>
      <c r="E70" s="180" t="str">
        <f t="shared" si="5"/>
        <v/>
      </c>
      <c r="F70" s="181" t="str">
        <f t="shared" si="4"/>
        <v/>
      </c>
      <c r="G70" s="198" t="s">
        <v>485</v>
      </c>
      <c r="H70" s="198" t="s">
        <v>484</v>
      </c>
      <c r="I70" s="182">
        <f>IF(X70="","",X70*데이터입력!$Y$8)</f>
        <v>0</v>
      </c>
      <c r="J70" s="182">
        <f>R70*데이터입력!$Y$8</f>
        <v>0</v>
      </c>
      <c r="K70" s="182">
        <f>T70*데이터입력!$Y$8</f>
        <v>0</v>
      </c>
      <c r="L70" s="199">
        <f>IFERROR(U70*데이터입력!$Y$8,"")</f>
        <v>0</v>
      </c>
      <c r="M70" s="199">
        <f>IFERROR(V70*데이터입력!$Y$8,"")</f>
        <v>0</v>
      </c>
      <c r="N70" s="594"/>
      <c r="O70" s="184" t="str">
        <f>IF(데이터입력!AP72="","",데이터입력!AP72)</f>
        <v/>
      </c>
      <c r="P70" s="185" t="str">
        <f>IF(데이터입력!AQ72="","",데이터입력!AQ72)</f>
        <v/>
      </c>
      <c r="Q70" s="186">
        <f>IF(데이터입력!AR72="",0,데이터입력!AR72)</f>
        <v>0</v>
      </c>
      <c r="R70" s="187">
        <f>IF(데이터입력!AS72="",0,데이터입력!AS72)</f>
        <v>0</v>
      </c>
      <c r="S70" s="1260">
        <f>IF(데이터입력!AT72="",0,데이터입력!AT72)</f>
        <v>0</v>
      </c>
      <c r="T70" s="187">
        <f>IF(데이터입력!AU72="",0,데이터입력!AU72)</f>
        <v>0</v>
      </c>
      <c r="U70" s="186">
        <f>IF(데이터입력!AV72="",0,데이터입력!AV72)</f>
        <v>0</v>
      </c>
      <c r="V70" s="187">
        <f>IF(데이터입력!AW72="",0,데이터입력!AW72)</f>
        <v>0</v>
      </c>
      <c r="W70" s="1261">
        <f>IF(데이터입력!AX72="",0,데이터입력!AX72)</f>
        <v>0</v>
      </c>
      <c r="X70" s="931">
        <f>IF(데이터입력!AY72="",0,데이터입력!AY72)</f>
        <v>0</v>
      </c>
      <c r="Y70" s="931">
        <f>IF(데이터입력!AZ72="",0,데이터입력!AZ72)</f>
        <v>0</v>
      </c>
      <c r="Z70" s="599">
        <f>IF(데이터입력!BA72="",0,데이터입력!BA72)</f>
        <v>0</v>
      </c>
      <c r="AA70" s="935">
        <f>IF(데이터입력!BB72="",0,데이터입력!BB72)</f>
        <v>0</v>
      </c>
    </row>
    <row r="71" spans="1:27">
      <c r="A71" s="171">
        <f>IF(W71="","",SUBTOTAL(2,$W$11:W71))</f>
        <v>61</v>
      </c>
      <c r="B71" s="200" t="str">
        <f t="shared" si="1"/>
        <v>00</v>
      </c>
      <c r="C71" s="173" t="str">
        <f t="shared" si="2"/>
        <v/>
      </c>
      <c r="D71" s="201" t="str">
        <f t="shared" si="5"/>
        <v/>
      </c>
      <c r="E71" s="201" t="str">
        <f t="shared" si="5"/>
        <v/>
      </c>
      <c r="F71" s="174" t="str">
        <f t="shared" si="4"/>
        <v/>
      </c>
      <c r="G71" s="200" t="s">
        <v>485</v>
      </c>
      <c r="H71" s="200" t="s">
        <v>484</v>
      </c>
      <c r="I71" s="175">
        <f>IF(X71="","",X71*데이터입력!$Y$8)</f>
        <v>0</v>
      </c>
      <c r="J71" s="202">
        <f>R71*데이터입력!$Y$8</f>
        <v>0</v>
      </c>
      <c r="K71" s="202">
        <f>T71*데이터입력!$Y$8</f>
        <v>0</v>
      </c>
      <c r="L71" s="203">
        <f>IFERROR(U71*데이터입력!$Y$8,"")</f>
        <v>0</v>
      </c>
      <c r="M71" s="175">
        <f>IFERROR(V71*데이터입력!$Y$8,"")</f>
        <v>0</v>
      </c>
      <c r="N71" s="594"/>
      <c r="O71" s="184" t="str">
        <f>IF(데이터입력!AP73="","",데이터입력!AP73)</f>
        <v/>
      </c>
      <c r="P71" s="185" t="str">
        <f>IF(데이터입력!AQ73="","",데이터입력!AQ73)</f>
        <v/>
      </c>
      <c r="Q71" s="186">
        <f>IF(데이터입력!AR73="",0,데이터입력!AR73)</f>
        <v>0</v>
      </c>
      <c r="R71" s="187">
        <f>IF(데이터입력!AS73="",0,데이터입력!AS73)</f>
        <v>0</v>
      </c>
      <c r="S71" s="1260">
        <f>IF(데이터입력!AT73="",0,데이터입력!AT73)</f>
        <v>0</v>
      </c>
      <c r="T71" s="187">
        <f>IF(데이터입력!AU73="",0,데이터입력!AU73)</f>
        <v>0</v>
      </c>
      <c r="U71" s="186">
        <f>IF(데이터입력!AV73="",0,데이터입력!AV73)</f>
        <v>0</v>
      </c>
      <c r="V71" s="187">
        <f>IF(데이터입력!AW73="",0,데이터입력!AW73)</f>
        <v>0</v>
      </c>
      <c r="W71" s="1261">
        <f>IF(데이터입력!AX73="",0,데이터입력!AX73)</f>
        <v>0</v>
      </c>
      <c r="X71" s="931">
        <f>IF(데이터입력!AY73="",0,데이터입력!AY73)</f>
        <v>0</v>
      </c>
      <c r="Y71" s="931">
        <f>IF(데이터입력!AZ73="",0,데이터입력!AZ73)</f>
        <v>0</v>
      </c>
      <c r="Z71" s="599">
        <f>IF(데이터입력!BA73="",0,데이터입력!BA73)</f>
        <v>0</v>
      </c>
      <c r="AA71" s="935">
        <f>IF(데이터입력!BB73="",0,데이터입력!BB73)</f>
        <v>0</v>
      </c>
    </row>
    <row r="72" spans="1:27">
      <c r="A72" s="171">
        <f>IF(W72="","",SUBTOTAL(2,$W$11:W72))</f>
        <v>62</v>
      </c>
      <c r="B72" s="198" t="str">
        <f t="shared" si="1"/>
        <v>00</v>
      </c>
      <c r="C72" s="180" t="str">
        <f t="shared" si="2"/>
        <v/>
      </c>
      <c r="D72" s="180" t="str">
        <f t="shared" si="5"/>
        <v/>
      </c>
      <c r="E72" s="180" t="str">
        <f t="shared" si="5"/>
        <v/>
      </c>
      <c r="F72" s="181" t="str">
        <f t="shared" si="4"/>
        <v/>
      </c>
      <c r="G72" s="198" t="s">
        <v>485</v>
      </c>
      <c r="H72" s="198" t="s">
        <v>484</v>
      </c>
      <c r="I72" s="182">
        <f>IF(X72="","",X72*데이터입력!$Y$8)</f>
        <v>0</v>
      </c>
      <c r="J72" s="182">
        <f>R72*데이터입력!$Y$8</f>
        <v>0</v>
      </c>
      <c r="K72" s="182">
        <f>T72*데이터입력!$Y$8</f>
        <v>0</v>
      </c>
      <c r="L72" s="199">
        <f>IFERROR(U72*데이터입력!$Y$8,"")</f>
        <v>0</v>
      </c>
      <c r="M72" s="199">
        <f>IFERROR(V72*데이터입력!$Y$8,"")</f>
        <v>0</v>
      </c>
      <c r="N72" s="594"/>
      <c r="O72" s="184" t="str">
        <f>IF(데이터입력!AP74="","",데이터입력!AP74)</f>
        <v/>
      </c>
      <c r="P72" s="185" t="str">
        <f>IF(데이터입력!AQ74="","",데이터입력!AQ74)</f>
        <v/>
      </c>
      <c r="Q72" s="186">
        <f>IF(데이터입력!AR74="",0,데이터입력!AR74)</f>
        <v>0</v>
      </c>
      <c r="R72" s="187">
        <f>IF(데이터입력!AS74="",0,데이터입력!AS74)</f>
        <v>0</v>
      </c>
      <c r="S72" s="1260">
        <f>IF(데이터입력!AT74="",0,데이터입력!AT74)</f>
        <v>0</v>
      </c>
      <c r="T72" s="187">
        <f>IF(데이터입력!AU74="",0,데이터입력!AU74)</f>
        <v>0</v>
      </c>
      <c r="U72" s="186">
        <f>IF(데이터입력!AV74="",0,데이터입력!AV74)</f>
        <v>0</v>
      </c>
      <c r="V72" s="187">
        <f>IF(데이터입력!AW74="",0,데이터입력!AW74)</f>
        <v>0</v>
      </c>
      <c r="W72" s="1261">
        <f>IF(데이터입력!AX74="",0,데이터입력!AX74)</f>
        <v>0</v>
      </c>
      <c r="X72" s="931">
        <f>IF(데이터입력!AY74="",0,데이터입력!AY74)</f>
        <v>0</v>
      </c>
      <c r="Y72" s="931">
        <f>IF(데이터입력!AZ74="",0,데이터입력!AZ74)</f>
        <v>0</v>
      </c>
      <c r="Z72" s="599">
        <f>IF(데이터입력!BA74="",0,데이터입력!BA74)</f>
        <v>0</v>
      </c>
      <c r="AA72" s="935">
        <f>IF(데이터입력!BB74="",0,데이터입력!BB74)</f>
        <v>0</v>
      </c>
    </row>
    <row r="73" spans="1:27">
      <c r="A73" s="171">
        <f>IF(W73="","",SUBTOTAL(2,$W$11:W73))</f>
        <v>63</v>
      </c>
      <c r="B73" s="200" t="str">
        <f t="shared" si="1"/>
        <v>00</v>
      </c>
      <c r="C73" s="173" t="str">
        <f t="shared" si="2"/>
        <v/>
      </c>
      <c r="D73" s="201" t="str">
        <f t="shared" si="5"/>
        <v/>
      </c>
      <c r="E73" s="201" t="str">
        <f t="shared" si="5"/>
        <v/>
      </c>
      <c r="F73" s="174" t="str">
        <f t="shared" si="4"/>
        <v/>
      </c>
      <c r="G73" s="200" t="s">
        <v>485</v>
      </c>
      <c r="H73" s="200" t="s">
        <v>484</v>
      </c>
      <c r="I73" s="175">
        <f>IF(X73="","",X73*데이터입력!$Y$8)</f>
        <v>0</v>
      </c>
      <c r="J73" s="202">
        <f>R73*데이터입력!$Y$8</f>
        <v>0</v>
      </c>
      <c r="K73" s="202">
        <f>T73*데이터입력!$Y$8</f>
        <v>0</v>
      </c>
      <c r="L73" s="203">
        <f>IFERROR(U73*데이터입력!$Y$8,"")</f>
        <v>0</v>
      </c>
      <c r="M73" s="175">
        <f>IFERROR(V73*데이터입력!$Y$8,"")</f>
        <v>0</v>
      </c>
      <c r="N73" s="594"/>
      <c r="O73" s="184" t="str">
        <f>IF(데이터입력!AP75="","",데이터입력!AP75)</f>
        <v/>
      </c>
      <c r="P73" s="185" t="str">
        <f>IF(데이터입력!AQ75="","",데이터입력!AQ75)</f>
        <v/>
      </c>
      <c r="Q73" s="186">
        <f>IF(데이터입력!AR75="",0,데이터입력!AR75)</f>
        <v>0</v>
      </c>
      <c r="R73" s="187">
        <f>IF(데이터입력!AS75="",0,데이터입력!AS75)</f>
        <v>0</v>
      </c>
      <c r="S73" s="1260">
        <f>IF(데이터입력!AT75="",0,데이터입력!AT75)</f>
        <v>0</v>
      </c>
      <c r="T73" s="187">
        <f>IF(데이터입력!AU75="",0,데이터입력!AU75)</f>
        <v>0</v>
      </c>
      <c r="U73" s="186">
        <f>IF(데이터입력!AV75="",0,데이터입력!AV75)</f>
        <v>0</v>
      </c>
      <c r="V73" s="187">
        <f>IF(데이터입력!AW75="",0,데이터입력!AW75)</f>
        <v>0</v>
      </c>
      <c r="W73" s="1261">
        <f>IF(데이터입력!AX75="",0,데이터입력!AX75)</f>
        <v>0</v>
      </c>
      <c r="X73" s="931">
        <f>IF(데이터입력!AY75="",0,데이터입력!AY75)</f>
        <v>0</v>
      </c>
      <c r="Y73" s="931">
        <f>IF(데이터입력!AZ75="",0,데이터입력!AZ75)</f>
        <v>0</v>
      </c>
      <c r="Z73" s="599">
        <f>IF(데이터입력!BA75="",0,데이터입력!BA75)</f>
        <v>0</v>
      </c>
      <c r="AA73" s="935">
        <f>IF(데이터입력!BB75="",0,데이터입력!BB75)</f>
        <v>0</v>
      </c>
    </row>
    <row r="74" spans="1:27">
      <c r="A74" s="171">
        <f>IF(W74="","",SUBTOTAL(2,$W$11:W74))</f>
        <v>64</v>
      </c>
      <c r="B74" s="198" t="str">
        <f t="shared" si="1"/>
        <v>00</v>
      </c>
      <c r="C74" s="180" t="str">
        <f t="shared" si="2"/>
        <v/>
      </c>
      <c r="D74" s="180" t="str">
        <f t="shared" si="5"/>
        <v/>
      </c>
      <c r="E74" s="180" t="str">
        <f t="shared" si="5"/>
        <v/>
      </c>
      <c r="F74" s="181" t="str">
        <f t="shared" si="4"/>
        <v/>
      </c>
      <c r="G74" s="198" t="s">
        <v>485</v>
      </c>
      <c r="H74" s="198" t="s">
        <v>484</v>
      </c>
      <c r="I74" s="182">
        <f>IF(X74="","",X74*데이터입력!$Y$8)</f>
        <v>0</v>
      </c>
      <c r="J74" s="182">
        <f>R74*데이터입력!$Y$8</f>
        <v>0</v>
      </c>
      <c r="K74" s="182">
        <f>T74*데이터입력!$Y$8</f>
        <v>0</v>
      </c>
      <c r="L74" s="199">
        <f>IFERROR(U74*데이터입력!$Y$8,"")</f>
        <v>0</v>
      </c>
      <c r="M74" s="199">
        <f>IFERROR(V74*데이터입력!$Y$8,"")</f>
        <v>0</v>
      </c>
      <c r="N74" s="594"/>
      <c r="O74" s="184" t="str">
        <f>IF(데이터입력!AP76="","",데이터입력!AP76)</f>
        <v/>
      </c>
      <c r="P74" s="185" t="str">
        <f>IF(데이터입력!AQ76="","",데이터입력!AQ76)</f>
        <v/>
      </c>
      <c r="Q74" s="186">
        <f>IF(데이터입력!AR76="",0,데이터입력!AR76)</f>
        <v>0</v>
      </c>
      <c r="R74" s="187">
        <f>IF(데이터입력!AS76="",0,데이터입력!AS76)</f>
        <v>0</v>
      </c>
      <c r="S74" s="1260">
        <f>IF(데이터입력!AT76="",0,데이터입력!AT76)</f>
        <v>0</v>
      </c>
      <c r="T74" s="187">
        <f>IF(데이터입력!AU76="",0,데이터입력!AU76)</f>
        <v>0</v>
      </c>
      <c r="U74" s="186">
        <f>IF(데이터입력!AV76="",0,데이터입력!AV76)</f>
        <v>0</v>
      </c>
      <c r="V74" s="187">
        <f>IF(데이터입력!AW76="",0,데이터입력!AW76)</f>
        <v>0</v>
      </c>
      <c r="W74" s="1261">
        <f>IF(데이터입력!AX76="",0,데이터입력!AX76)</f>
        <v>0</v>
      </c>
      <c r="X74" s="931">
        <f>IF(데이터입력!AY76="",0,데이터입력!AY76)</f>
        <v>0</v>
      </c>
      <c r="Y74" s="931">
        <f>IF(데이터입력!AZ76="",0,데이터입력!AZ76)</f>
        <v>0</v>
      </c>
      <c r="Z74" s="599">
        <f>IF(데이터입력!BA76="",0,데이터입력!BA76)</f>
        <v>0</v>
      </c>
      <c r="AA74" s="935">
        <f>IF(데이터입력!BB76="",0,데이터입력!BB76)</f>
        <v>0</v>
      </c>
    </row>
    <row r="75" spans="1:27">
      <c r="A75" s="171">
        <f>IF(W75="","",SUBTOTAL(2,$W$11:W75))</f>
        <v>65</v>
      </c>
      <c r="B75" s="200" t="str">
        <f t="shared" ref="B75:B138" si="6">$P$2</f>
        <v>00</v>
      </c>
      <c r="C75" s="173" t="str">
        <f t="shared" si="2"/>
        <v/>
      </c>
      <c r="D75" s="201" t="str">
        <f t="shared" si="5"/>
        <v/>
      </c>
      <c r="E75" s="201" t="str">
        <f t="shared" si="5"/>
        <v/>
      </c>
      <c r="F75" s="174" t="str">
        <f t="shared" si="4"/>
        <v/>
      </c>
      <c r="G75" s="200" t="s">
        <v>485</v>
      </c>
      <c r="H75" s="200" t="s">
        <v>484</v>
      </c>
      <c r="I75" s="175">
        <f>IF(X75="","",X75*데이터입력!$Y$8)</f>
        <v>0</v>
      </c>
      <c r="J75" s="202">
        <f>R75*데이터입력!$Y$8</f>
        <v>0</v>
      </c>
      <c r="K75" s="202">
        <f>T75*데이터입력!$Y$8</f>
        <v>0</v>
      </c>
      <c r="L75" s="203">
        <f>IFERROR(U75*데이터입력!$Y$8,"")</f>
        <v>0</v>
      </c>
      <c r="M75" s="175">
        <f>IFERROR(V75*데이터입력!$Y$8,"")</f>
        <v>0</v>
      </c>
      <c r="N75" s="594"/>
      <c r="O75" s="184" t="str">
        <f>IF(데이터입력!AP77="","",데이터입력!AP77)</f>
        <v/>
      </c>
      <c r="P75" s="185" t="str">
        <f>IF(데이터입력!AQ77="","",데이터입력!AQ77)</f>
        <v/>
      </c>
      <c r="Q75" s="186">
        <f>IF(데이터입력!AR77="",0,데이터입력!AR77)</f>
        <v>0</v>
      </c>
      <c r="R75" s="187">
        <f>IF(데이터입력!AS77="",0,데이터입력!AS77)</f>
        <v>0</v>
      </c>
      <c r="S75" s="1260">
        <f>IF(데이터입력!AT77="",0,데이터입력!AT77)</f>
        <v>0</v>
      </c>
      <c r="T75" s="187">
        <f>IF(데이터입력!AU77="",0,데이터입력!AU77)</f>
        <v>0</v>
      </c>
      <c r="U75" s="186">
        <f>IF(데이터입력!AV77="",0,데이터입력!AV77)</f>
        <v>0</v>
      </c>
      <c r="V75" s="187">
        <f>IF(데이터입력!AW77="",0,데이터입력!AW77)</f>
        <v>0</v>
      </c>
      <c r="W75" s="1261">
        <f>IF(데이터입력!AX77="",0,데이터입력!AX77)</f>
        <v>0</v>
      </c>
      <c r="X75" s="931">
        <f>IF(데이터입력!AY77="",0,데이터입력!AY77)</f>
        <v>0</v>
      </c>
      <c r="Y75" s="931">
        <f>IF(데이터입력!AZ77="",0,데이터입력!AZ77)</f>
        <v>0</v>
      </c>
      <c r="Z75" s="599">
        <f>IF(데이터입력!BA77="",0,데이터입력!BA77)</f>
        <v>0</v>
      </c>
      <c r="AA75" s="935">
        <f>IF(데이터입력!BB77="",0,데이터입력!BB77)</f>
        <v>0</v>
      </c>
    </row>
    <row r="76" spans="1:27">
      <c r="A76" s="171">
        <f>IF(W76="","",SUBTOTAL(2,$W$11:W76))</f>
        <v>66</v>
      </c>
      <c r="B76" s="198" t="str">
        <f t="shared" si="6"/>
        <v>00</v>
      </c>
      <c r="C76" s="180" t="str">
        <f t="shared" ref="C76:C139" si="7">IF(D76="","",$P$3)</f>
        <v/>
      </c>
      <c r="D76" s="180" t="str">
        <f t="shared" si="5"/>
        <v/>
      </c>
      <c r="E76" s="180" t="str">
        <f t="shared" si="5"/>
        <v/>
      </c>
      <c r="F76" s="181" t="str">
        <f t="shared" ref="F76:F139" si="8">IF(E76="","",$P$4)</f>
        <v/>
      </c>
      <c r="G76" s="198" t="s">
        <v>485</v>
      </c>
      <c r="H76" s="198" t="s">
        <v>484</v>
      </c>
      <c r="I76" s="182">
        <f>IF(X76="","",X76*데이터입력!$Y$8)</f>
        <v>0</v>
      </c>
      <c r="J76" s="182">
        <f>R76*데이터입력!$Y$8</f>
        <v>0</v>
      </c>
      <c r="K76" s="182">
        <f>T76*데이터입력!$Y$8</f>
        <v>0</v>
      </c>
      <c r="L76" s="199">
        <f>IFERROR(U76*데이터입력!$Y$8,"")</f>
        <v>0</v>
      </c>
      <c r="M76" s="199">
        <f>IFERROR(V76*데이터입력!$Y$8,"")</f>
        <v>0</v>
      </c>
      <c r="N76" s="594"/>
      <c r="O76" s="184" t="str">
        <f>IF(데이터입력!AP78="","",데이터입력!AP78)</f>
        <v/>
      </c>
      <c r="P76" s="185" t="str">
        <f>IF(데이터입력!AQ78="","",데이터입력!AQ78)</f>
        <v/>
      </c>
      <c r="Q76" s="186">
        <f>IF(데이터입력!AR78="",0,데이터입력!AR78)</f>
        <v>0</v>
      </c>
      <c r="R76" s="187">
        <f>IF(데이터입력!AS78="",0,데이터입력!AS78)</f>
        <v>0</v>
      </c>
      <c r="S76" s="1260">
        <f>IF(데이터입력!AT78="",0,데이터입력!AT78)</f>
        <v>0</v>
      </c>
      <c r="T76" s="187">
        <f>IF(데이터입력!AU78="",0,데이터입력!AU78)</f>
        <v>0</v>
      </c>
      <c r="U76" s="186">
        <f>IF(데이터입력!AV78="",0,데이터입력!AV78)</f>
        <v>0</v>
      </c>
      <c r="V76" s="187">
        <f>IF(데이터입력!AW78="",0,데이터입력!AW78)</f>
        <v>0</v>
      </c>
      <c r="W76" s="1261">
        <f>IF(데이터입력!AX78="",0,데이터입력!AX78)</f>
        <v>0</v>
      </c>
      <c r="X76" s="931">
        <f>IF(데이터입력!AY78="",0,데이터입력!AY78)</f>
        <v>0</v>
      </c>
      <c r="Y76" s="931">
        <f>IF(데이터입력!AZ78="",0,데이터입력!AZ78)</f>
        <v>0</v>
      </c>
      <c r="Z76" s="599">
        <f>IF(데이터입력!BA78="",0,데이터입력!BA78)</f>
        <v>0</v>
      </c>
      <c r="AA76" s="935">
        <f>IF(데이터입력!BB78="",0,데이터입력!BB78)</f>
        <v>0</v>
      </c>
    </row>
    <row r="77" spans="1:27">
      <c r="A77" s="171">
        <f>IF(W77="","",SUBTOTAL(2,$W$11:W77))</f>
        <v>67</v>
      </c>
      <c r="B77" s="200" t="str">
        <f t="shared" si="6"/>
        <v>00</v>
      </c>
      <c r="C77" s="173" t="str">
        <f t="shared" si="7"/>
        <v/>
      </c>
      <c r="D77" s="201" t="str">
        <f t="shared" ref="D77:E140" si="9">IF(O77="","",O77)</f>
        <v/>
      </c>
      <c r="E77" s="201" t="str">
        <f t="shared" si="9"/>
        <v/>
      </c>
      <c r="F77" s="174" t="str">
        <f t="shared" si="8"/>
        <v/>
      </c>
      <c r="G77" s="200" t="s">
        <v>485</v>
      </c>
      <c r="H77" s="200" t="s">
        <v>484</v>
      </c>
      <c r="I77" s="175">
        <f>IF(X77="","",X77*데이터입력!$Y$8)</f>
        <v>0</v>
      </c>
      <c r="J77" s="202">
        <f>R77*데이터입력!$Y$8</f>
        <v>0</v>
      </c>
      <c r="K77" s="202">
        <f>T77*데이터입력!$Y$8</f>
        <v>0</v>
      </c>
      <c r="L77" s="203">
        <f>IFERROR(U77*데이터입력!$Y$8,"")</f>
        <v>0</v>
      </c>
      <c r="M77" s="175">
        <f>IFERROR(V77*데이터입력!$Y$8,"")</f>
        <v>0</v>
      </c>
      <c r="N77" s="594"/>
      <c r="O77" s="184" t="str">
        <f>IF(데이터입력!AP79="","",데이터입력!AP79)</f>
        <v/>
      </c>
      <c r="P77" s="185" t="str">
        <f>IF(데이터입력!AQ79="","",데이터입력!AQ79)</f>
        <v/>
      </c>
      <c r="Q77" s="186">
        <f>IF(데이터입력!AR79="",0,데이터입력!AR79)</f>
        <v>0</v>
      </c>
      <c r="R77" s="187">
        <f>IF(데이터입력!AS79="",0,데이터입력!AS79)</f>
        <v>0</v>
      </c>
      <c r="S77" s="1260">
        <f>IF(데이터입력!AT79="",0,데이터입력!AT79)</f>
        <v>0</v>
      </c>
      <c r="T77" s="187">
        <f>IF(데이터입력!AU79="",0,데이터입력!AU79)</f>
        <v>0</v>
      </c>
      <c r="U77" s="186">
        <f>IF(데이터입력!AV79="",0,데이터입력!AV79)</f>
        <v>0</v>
      </c>
      <c r="V77" s="187">
        <f>IF(데이터입력!AW79="",0,데이터입력!AW79)</f>
        <v>0</v>
      </c>
      <c r="W77" s="1261">
        <f>IF(데이터입력!AX79="",0,데이터입력!AX79)</f>
        <v>0</v>
      </c>
      <c r="X77" s="931">
        <f>IF(데이터입력!AY79="",0,데이터입력!AY79)</f>
        <v>0</v>
      </c>
      <c r="Y77" s="931">
        <f>IF(데이터입력!AZ79="",0,데이터입력!AZ79)</f>
        <v>0</v>
      </c>
      <c r="Z77" s="599">
        <f>IF(데이터입력!BA79="",0,데이터입력!BA79)</f>
        <v>0</v>
      </c>
      <c r="AA77" s="935">
        <f>IF(데이터입력!BB79="",0,데이터입력!BB79)</f>
        <v>0</v>
      </c>
    </row>
    <row r="78" spans="1:27">
      <c r="A78" s="171">
        <f>IF(W78="","",SUBTOTAL(2,$W$11:W78))</f>
        <v>68</v>
      </c>
      <c r="B78" s="198" t="str">
        <f t="shared" si="6"/>
        <v>00</v>
      </c>
      <c r="C78" s="180" t="str">
        <f t="shared" si="7"/>
        <v/>
      </c>
      <c r="D78" s="180" t="str">
        <f t="shared" si="9"/>
        <v/>
      </c>
      <c r="E78" s="180" t="str">
        <f t="shared" si="9"/>
        <v/>
      </c>
      <c r="F78" s="181" t="str">
        <f t="shared" si="8"/>
        <v/>
      </c>
      <c r="G78" s="198" t="s">
        <v>485</v>
      </c>
      <c r="H78" s="198" t="s">
        <v>484</v>
      </c>
      <c r="I78" s="182">
        <f>IF(X78="","",X78*데이터입력!$Y$8)</f>
        <v>0</v>
      </c>
      <c r="J78" s="182">
        <f>R78*데이터입력!$Y$8</f>
        <v>0</v>
      </c>
      <c r="K78" s="182">
        <f>T78*데이터입력!$Y$8</f>
        <v>0</v>
      </c>
      <c r="L78" s="199">
        <f>IFERROR(U78*데이터입력!$Y$8,"")</f>
        <v>0</v>
      </c>
      <c r="M78" s="199">
        <f>IFERROR(V78*데이터입력!$Y$8,"")</f>
        <v>0</v>
      </c>
      <c r="N78" s="594"/>
      <c r="O78" s="184" t="str">
        <f>IF(데이터입력!AP80="","",데이터입력!AP80)</f>
        <v/>
      </c>
      <c r="P78" s="185" t="str">
        <f>IF(데이터입력!AQ80="","",데이터입력!AQ80)</f>
        <v/>
      </c>
      <c r="Q78" s="186">
        <f>IF(데이터입력!AR80="",0,데이터입력!AR80)</f>
        <v>0</v>
      </c>
      <c r="R78" s="187">
        <f>IF(데이터입력!AS80="",0,데이터입력!AS80)</f>
        <v>0</v>
      </c>
      <c r="S78" s="1260">
        <f>IF(데이터입력!AT80="",0,데이터입력!AT80)</f>
        <v>0</v>
      </c>
      <c r="T78" s="187">
        <f>IF(데이터입력!AU80="",0,데이터입력!AU80)</f>
        <v>0</v>
      </c>
      <c r="U78" s="186">
        <f>IF(데이터입력!AV80="",0,데이터입력!AV80)</f>
        <v>0</v>
      </c>
      <c r="V78" s="187">
        <f>IF(데이터입력!AW80="",0,데이터입력!AW80)</f>
        <v>0</v>
      </c>
      <c r="W78" s="1261">
        <f>IF(데이터입력!AX80="",0,데이터입력!AX80)</f>
        <v>0</v>
      </c>
      <c r="X78" s="931">
        <f>IF(데이터입력!AY80="",0,데이터입력!AY80)</f>
        <v>0</v>
      </c>
      <c r="Y78" s="931">
        <f>IF(데이터입력!AZ80="",0,데이터입력!AZ80)</f>
        <v>0</v>
      </c>
      <c r="Z78" s="599">
        <f>IF(데이터입력!BA80="",0,데이터입력!BA80)</f>
        <v>0</v>
      </c>
      <c r="AA78" s="935">
        <f>IF(데이터입력!BB80="",0,데이터입력!BB80)</f>
        <v>0</v>
      </c>
    </row>
    <row r="79" spans="1:27">
      <c r="A79" s="171">
        <f>IF(W79="","",SUBTOTAL(2,$W$11:W79))</f>
        <v>69</v>
      </c>
      <c r="B79" s="200" t="str">
        <f t="shared" si="6"/>
        <v>00</v>
      </c>
      <c r="C79" s="173" t="str">
        <f t="shared" si="7"/>
        <v/>
      </c>
      <c r="D79" s="201" t="str">
        <f t="shared" si="9"/>
        <v/>
      </c>
      <c r="E79" s="201" t="str">
        <f t="shared" si="9"/>
        <v/>
      </c>
      <c r="F79" s="174" t="str">
        <f t="shared" si="8"/>
        <v/>
      </c>
      <c r="G79" s="200" t="s">
        <v>485</v>
      </c>
      <c r="H79" s="200" t="s">
        <v>484</v>
      </c>
      <c r="I79" s="175">
        <f>IF(X79="","",X79*데이터입력!$Y$8)</f>
        <v>0</v>
      </c>
      <c r="J79" s="202">
        <f>R79*데이터입력!$Y$8</f>
        <v>0</v>
      </c>
      <c r="K79" s="202">
        <f>T79*데이터입력!$Y$8</f>
        <v>0</v>
      </c>
      <c r="L79" s="203">
        <f>IFERROR(U79*데이터입력!$Y$8,"")</f>
        <v>0</v>
      </c>
      <c r="M79" s="175">
        <f>IFERROR(V79*데이터입력!$Y$8,"")</f>
        <v>0</v>
      </c>
      <c r="N79" s="594"/>
      <c r="O79" s="184" t="str">
        <f>IF(데이터입력!AP81="","",데이터입력!AP81)</f>
        <v/>
      </c>
      <c r="P79" s="185" t="str">
        <f>IF(데이터입력!AQ81="","",데이터입력!AQ81)</f>
        <v/>
      </c>
      <c r="Q79" s="186">
        <f>IF(데이터입력!AR81="",0,데이터입력!AR81)</f>
        <v>0</v>
      </c>
      <c r="R79" s="187">
        <f>IF(데이터입력!AS81="",0,데이터입력!AS81)</f>
        <v>0</v>
      </c>
      <c r="S79" s="1260">
        <f>IF(데이터입력!AT81="",0,데이터입력!AT81)</f>
        <v>0</v>
      </c>
      <c r="T79" s="187">
        <f>IF(데이터입력!AU81="",0,데이터입력!AU81)</f>
        <v>0</v>
      </c>
      <c r="U79" s="186">
        <f>IF(데이터입력!AV81="",0,데이터입력!AV81)</f>
        <v>0</v>
      </c>
      <c r="V79" s="187">
        <f>IF(데이터입력!AW81="",0,데이터입력!AW81)</f>
        <v>0</v>
      </c>
      <c r="W79" s="1261">
        <f>IF(데이터입력!AX81="",0,데이터입력!AX81)</f>
        <v>0</v>
      </c>
      <c r="X79" s="931">
        <f>IF(데이터입력!AY81="",0,데이터입력!AY81)</f>
        <v>0</v>
      </c>
      <c r="Y79" s="931">
        <f>IF(데이터입력!AZ81="",0,데이터입력!AZ81)</f>
        <v>0</v>
      </c>
      <c r="Z79" s="599">
        <f>IF(데이터입력!BA81="",0,데이터입력!BA81)</f>
        <v>0</v>
      </c>
      <c r="AA79" s="935">
        <f>IF(데이터입력!BB81="",0,데이터입력!BB81)</f>
        <v>0</v>
      </c>
    </row>
    <row r="80" spans="1:27">
      <c r="A80" s="171">
        <f>IF(W80="","",SUBTOTAL(2,$W$11:W80))</f>
        <v>70</v>
      </c>
      <c r="B80" s="198" t="str">
        <f t="shared" si="6"/>
        <v>00</v>
      </c>
      <c r="C80" s="180" t="str">
        <f t="shared" si="7"/>
        <v/>
      </c>
      <c r="D80" s="180" t="str">
        <f t="shared" si="9"/>
        <v/>
      </c>
      <c r="E80" s="180" t="str">
        <f t="shared" si="9"/>
        <v/>
      </c>
      <c r="F80" s="181" t="str">
        <f t="shared" si="8"/>
        <v/>
      </c>
      <c r="G80" s="198" t="s">
        <v>485</v>
      </c>
      <c r="H80" s="198" t="s">
        <v>484</v>
      </c>
      <c r="I80" s="182">
        <f>IF(X80="","",X80*데이터입력!$Y$8)</f>
        <v>0</v>
      </c>
      <c r="J80" s="182">
        <f>R80*데이터입력!$Y$8</f>
        <v>0</v>
      </c>
      <c r="K80" s="182">
        <f>T80*데이터입력!$Y$8</f>
        <v>0</v>
      </c>
      <c r="L80" s="199">
        <f>IFERROR(U80*데이터입력!$Y$8,"")</f>
        <v>0</v>
      </c>
      <c r="M80" s="199">
        <f>IFERROR(V80*데이터입력!$Y$8,"")</f>
        <v>0</v>
      </c>
      <c r="N80" s="594"/>
      <c r="O80" s="184" t="str">
        <f>IF(데이터입력!AP82="","",데이터입력!AP82)</f>
        <v/>
      </c>
      <c r="P80" s="185" t="str">
        <f>IF(데이터입력!AQ82="","",데이터입력!AQ82)</f>
        <v/>
      </c>
      <c r="Q80" s="186">
        <f>IF(데이터입력!AR82="",0,데이터입력!AR82)</f>
        <v>0</v>
      </c>
      <c r="R80" s="187">
        <f>IF(데이터입력!AS82="",0,데이터입력!AS82)</f>
        <v>0</v>
      </c>
      <c r="S80" s="1260">
        <f>IF(데이터입력!AT82="",0,데이터입력!AT82)</f>
        <v>0</v>
      </c>
      <c r="T80" s="187">
        <f>IF(데이터입력!AU82="",0,데이터입력!AU82)</f>
        <v>0</v>
      </c>
      <c r="U80" s="186">
        <f>IF(데이터입력!AV82="",0,데이터입력!AV82)</f>
        <v>0</v>
      </c>
      <c r="V80" s="187">
        <f>IF(데이터입력!AW82="",0,데이터입력!AW82)</f>
        <v>0</v>
      </c>
      <c r="W80" s="1261">
        <f>IF(데이터입력!AX82="",0,데이터입력!AX82)</f>
        <v>0</v>
      </c>
      <c r="X80" s="931">
        <f>IF(데이터입력!AY82="",0,데이터입력!AY82)</f>
        <v>0</v>
      </c>
      <c r="Y80" s="931">
        <f>IF(데이터입력!AZ82="",0,데이터입력!AZ82)</f>
        <v>0</v>
      </c>
      <c r="Z80" s="599">
        <f>IF(데이터입력!BA82="",0,데이터입력!BA82)</f>
        <v>0</v>
      </c>
      <c r="AA80" s="935">
        <f>IF(데이터입력!BB82="",0,데이터입력!BB82)</f>
        <v>0</v>
      </c>
    </row>
    <row r="81" spans="1:27">
      <c r="A81" s="171">
        <f>IF(W81="","",SUBTOTAL(2,$W$11:W81))</f>
        <v>71</v>
      </c>
      <c r="B81" s="200" t="str">
        <f t="shared" si="6"/>
        <v>00</v>
      </c>
      <c r="C81" s="173" t="str">
        <f t="shared" si="7"/>
        <v/>
      </c>
      <c r="D81" s="201" t="str">
        <f t="shared" si="9"/>
        <v/>
      </c>
      <c r="E81" s="201" t="str">
        <f t="shared" si="9"/>
        <v/>
      </c>
      <c r="F81" s="174" t="str">
        <f t="shared" si="8"/>
        <v/>
      </c>
      <c r="G81" s="200" t="s">
        <v>485</v>
      </c>
      <c r="H81" s="200" t="s">
        <v>484</v>
      </c>
      <c r="I81" s="175">
        <f>IF(X81="","",X81*데이터입력!$Y$8)</f>
        <v>0</v>
      </c>
      <c r="J81" s="202">
        <f>R81*데이터입력!$Y$8</f>
        <v>0</v>
      </c>
      <c r="K81" s="202">
        <f>T81*데이터입력!$Y$8</f>
        <v>0</v>
      </c>
      <c r="L81" s="203">
        <f>IFERROR(U81*데이터입력!$Y$8,"")</f>
        <v>0</v>
      </c>
      <c r="M81" s="175">
        <f>IFERROR(V81*데이터입력!$Y$8,"")</f>
        <v>0</v>
      </c>
      <c r="N81" s="594"/>
      <c r="O81" s="184" t="str">
        <f>IF(데이터입력!AP83="","",데이터입력!AP83)</f>
        <v/>
      </c>
      <c r="P81" s="185" t="str">
        <f>IF(데이터입력!AQ83="","",데이터입력!AQ83)</f>
        <v/>
      </c>
      <c r="Q81" s="186">
        <f>IF(데이터입력!AR83="",0,데이터입력!AR83)</f>
        <v>0</v>
      </c>
      <c r="R81" s="187">
        <f>IF(데이터입력!AS83="",0,데이터입력!AS83)</f>
        <v>0</v>
      </c>
      <c r="S81" s="1260">
        <f>IF(데이터입력!AT83="",0,데이터입력!AT83)</f>
        <v>0</v>
      </c>
      <c r="T81" s="187">
        <f>IF(데이터입력!AU83="",0,데이터입력!AU83)</f>
        <v>0</v>
      </c>
      <c r="U81" s="186">
        <f>IF(데이터입력!AV83="",0,데이터입력!AV83)</f>
        <v>0</v>
      </c>
      <c r="V81" s="187">
        <f>IF(데이터입력!AW83="",0,데이터입력!AW83)</f>
        <v>0</v>
      </c>
      <c r="W81" s="1261">
        <f>IF(데이터입력!AX83="",0,데이터입력!AX83)</f>
        <v>0</v>
      </c>
      <c r="X81" s="931">
        <f>IF(데이터입력!AY83="",0,데이터입력!AY83)</f>
        <v>0</v>
      </c>
      <c r="Y81" s="931">
        <f>IF(데이터입력!AZ83="",0,데이터입력!AZ83)</f>
        <v>0</v>
      </c>
      <c r="Z81" s="599">
        <f>IF(데이터입력!BA83="",0,데이터입력!BA83)</f>
        <v>0</v>
      </c>
      <c r="AA81" s="935">
        <f>IF(데이터입력!BB83="",0,데이터입력!BB83)</f>
        <v>0</v>
      </c>
    </row>
    <row r="82" spans="1:27">
      <c r="A82" s="171">
        <f>IF(W82="","",SUBTOTAL(2,$W$11:W82))</f>
        <v>72</v>
      </c>
      <c r="B82" s="198" t="str">
        <f t="shared" si="6"/>
        <v>00</v>
      </c>
      <c r="C82" s="180" t="str">
        <f t="shared" si="7"/>
        <v/>
      </c>
      <c r="D82" s="180" t="str">
        <f t="shared" si="9"/>
        <v/>
      </c>
      <c r="E82" s="180" t="str">
        <f t="shared" si="9"/>
        <v/>
      </c>
      <c r="F82" s="181" t="str">
        <f t="shared" si="8"/>
        <v/>
      </c>
      <c r="G82" s="198" t="s">
        <v>485</v>
      </c>
      <c r="H82" s="198" t="s">
        <v>484</v>
      </c>
      <c r="I82" s="182">
        <f>IF(X82="","",X82*데이터입력!$Y$8)</f>
        <v>0</v>
      </c>
      <c r="J82" s="182">
        <f>R82*데이터입력!$Y$8</f>
        <v>0</v>
      </c>
      <c r="K82" s="182">
        <f>T82*데이터입력!$Y$8</f>
        <v>0</v>
      </c>
      <c r="L82" s="199">
        <f>IFERROR(U82*데이터입력!$Y$8,"")</f>
        <v>0</v>
      </c>
      <c r="M82" s="199">
        <f>IFERROR(V82*데이터입력!$Y$8,"")</f>
        <v>0</v>
      </c>
      <c r="N82" s="594"/>
      <c r="O82" s="184" t="str">
        <f>IF(데이터입력!AP84="","",데이터입력!AP84)</f>
        <v/>
      </c>
      <c r="P82" s="185" t="str">
        <f>IF(데이터입력!AQ84="","",데이터입력!AQ84)</f>
        <v/>
      </c>
      <c r="Q82" s="186">
        <f>IF(데이터입력!AR84="",0,데이터입력!AR84)</f>
        <v>0</v>
      </c>
      <c r="R82" s="187">
        <f>IF(데이터입력!AS84="",0,데이터입력!AS84)</f>
        <v>0</v>
      </c>
      <c r="S82" s="1260">
        <f>IF(데이터입력!AT84="",0,데이터입력!AT84)</f>
        <v>0</v>
      </c>
      <c r="T82" s="187">
        <f>IF(데이터입력!AU84="",0,데이터입력!AU84)</f>
        <v>0</v>
      </c>
      <c r="U82" s="186">
        <f>IF(데이터입력!AV84="",0,데이터입력!AV84)</f>
        <v>0</v>
      </c>
      <c r="V82" s="187">
        <f>IF(데이터입력!AW84="",0,데이터입력!AW84)</f>
        <v>0</v>
      </c>
      <c r="W82" s="1261">
        <f>IF(데이터입력!AX84="",0,데이터입력!AX84)</f>
        <v>0</v>
      </c>
      <c r="X82" s="931">
        <f>IF(데이터입력!AY84="",0,데이터입력!AY84)</f>
        <v>0</v>
      </c>
      <c r="Y82" s="931">
        <f>IF(데이터입력!AZ84="",0,데이터입력!AZ84)</f>
        <v>0</v>
      </c>
      <c r="Z82" s="599">
        <f>IF(데이터입력!BA84="",0,데이터입력!BA84)</f>
        <v>0</v>
      </c>
      <c r="AA82" s="935">
        <f>IF(데이터입력!BB84="",0,데이터입력!BB84)</f>
        <v>0</v>
      </c>
    </row>
    <row r="83" spans="1:27">
      <c r="A83" s="171">
        <f>IF(W83="","",SUBTOTAL(2,$W$11:W83))</f>
        <v>73</v>
      </c>
      <c r="B83" s="200" t="str">
        <f t="shared" si="6"/>
        <v>00</v>
      </c>
      <c r="C83" s="173" t="str">
        <f t="shared" si="7"/>
        <v/>
      </c>
      <c r="D83" s="201" t="str">
        <f t="shared" si="9"/>
        <v/>
      </c>
      <c r="E83" s="201" t="str">
        <f t="shared" si="9"/>
        <v/>
      </c>
      <c r="F83" s="174" t="str">
        <f t="shared" si="8"/>
        <v/>
      </c>
      <c r="G83" s="200" t="s">
        <v>485</v>
      </c>
      <c r="H83" s="200" t="s">
        <v>484</v>
      </c>
      <c r="I83" s="175">
        <f>IF(X83="","",X83*데이터입력!$Y$8)</f>
        <v>0</v>
      </c>
      <c r="J83" s="202">
        <f>R83*데이터입력!$Y$8</f>
        <v>0</v>
      </c>
      <c r="K83" s="202">
        <f>T83*데이터입력!$Y$8</f>
        <v>0</v>
      </c>
      <c r="L83" s="203">
        <f>IFERROR(U83*데이터입력!$Y$8,"")</f>
        <v>0</v>
      </c>
      <c r="M83" s="175">
        <f>IFERROR(V83*데이터입력!$Y$8,"")</f>
        <v>0</v>
      </c>
      <c r="N83" s="594"/>
      <c r="O83" s="184" t="str">
        <f>IF(데이터입력!AP85="","",데이터입력!AP85)</f>
        <v/>
      </c>
      <c r="P83" s="185" t="str">
        <f>IF(데이터입력!AQ85="","",데이터입력!AQ85)</f>
        <v/>
      </c>
      <c r="Q83" s="186">
        <f>IF(데이터입력!AR85="",0,데이터입력!AR85)</f>
        <v>0</v>
      </c>
      <c r="R83" s="187">
        <f>IF(데이터입력!AS85="",0,데이터입력!AS85)</f>
        <v>0</v>
      </c>
      <c r="S83" s="1260">
        <f>IF(데이터입력!AT85="",0,데이터입력!AT85)</f>
        <v>0</v>
      </c>
      <c r="T83" s="187">
        <f>IF(데이터입력!AU85="",0,데이터입력!AU85)</f>
        <v>0</v>
      </c>
      <c r="U83" s="186">
        <f>IF(데이터입력!AV85="",0,데이터입력!AV85)</f>
        <v>0</v>
      </c>
      <c r="V83" s="187">
        <f>IF(데이터입력!AW85="",0,데이터입력!AW85)</f>
        <v>0</v>
      </c>
      <c r="W83" s="1261">
        <f>IF(데이터입력!AX85="",0,데이터입력!AX85)</f>
        <v>0</v>
      </c>
      <c r="X83" s="931">
        <f>IF(데이터입력!AY85="",0,데이터입력!AY85)</f>
        <v>0</v>
      </c>
      <c r="Y83" s="931">
        <f>IF(데이터입력!AZ85="",0,데이터입력!AZ85)</f>
        <v>0</v>
      </c>
      <c r="Z83" s="599">
        <f>IF(데이터입력!BA85="",0,데이터입력!BA85)</f>
        <v>0</v>
      </c>
      <c r="AA83" s="935">
        <f>IF(데이터입력!BB85="",0,데이터입력!BB85)</f>
        <v>0</v>
      </c>
    </row>
    <row r="84" spans="1:27">
      <c r="A84" s="171">
        <f>IF(W84="","",SUBTOTAL(2,$W$11:W84))</f>
        <v>74</v>
      </c>
      <c r="B84" s="198" t="str">
        <f t="shared" si="6"/>
        <v>00</v>
      </c>
      <c r="C84" s="180" t="str">
        <f t="shared" si="7"/>
        <v/>
      </c>
      <c r="D84" s="180" t="str">
        <f t="shared" si="9"/>
        <v/>
      </c>
      <c r="E84" s="180" t="str">
        <f t="shared" si="9"/>
        <v/>
      </c>
      <c r="F84" s="181" t="str">
        <f t="shared" si="8"/>
        <v/>
      </c>
      <c r="G84" s="198" t="s">
        <v>485</v>
      </c>
      <c r="H84" s="198" t="s">
        <v>484</v>
      </c>
      <c r="I84" s="182">
        <f>IF(X84="","",X84*데이터입력!$Y$8)</f>
        <v>0</v>
      </c>
      <c r="J84" s="182">
        <f>R84*데이터입력!$Y$8</f>
        <v>0</v>
      </c>
      <c r="K84" s="182">
        <f>T84*데이터입력!$Y$8</f>
        <v>0</v>
      </c>
      <c r="L84" s="199">
        <f>IFERROR(U84*데이터입력!$Y$8,"")</f>
        <v>0</v>
      </c>
      <c r="M84" s="199">
        <f>IFERROR(V84*데이터입력!$Y$8,"")</f>
        <v>0</v>
      </c>
      <c r="N84" s="594"/>
      <c r="O84" s="184" t="str">
        <f>IF(데이터입력!AP86="","",데이터입력!AP86)</f>
        <v/>
      </c>
      <c r="P84" s="185" t="str">
        <f>IF(데이터입력!AQ86="","",데이터입력!AQ86)</f>
        <v/>
      </c>
      <c r="Q84" s="186">
        <f>IF(데이터입력!AR86="",0,데이터입력!AR86)</f>
        <v>0</v>
      </c>
      <c r="R84" s="187">
        <f>IF(데이터입력!AS86="",0,데이터입력!AS86)</f>
        <v>0</v>
      </c>
      <c r="S84" s="1260">
        <f>IF(데이터입력!AT86="",0,데이터입력!AT86)</f>
        <v>0</v>
      </c>
      <c r="T84" s="187">
        <f>IF(데이터입력!AU86="",0,데이터입력!AU86)</f>
        <v>0</v>
      </c>
      <c r="U84" s="186">
        <f>IF(데이터입력!AV86="",0,데이터입력!AV86)</f>
        <v>0</v>
      </c>
      <c r="V84" s="187">
        <f>IF(데이터입력!AW86="",0,데이터입력!AW86)</f>
        <v>0</v>
      </c>
      <c r="W84" s="1261">
        <f>IF(데이터입력!AX86="",0,데이터입력!AX86)</f>
        <v>0</v>
      </c>
      <c r="X84" s="931">
        <f>IF(데이터입력!AY86="",0,데이터입력!AY86)</f>
        <v>0</v>
      </c>
      <c r="Y84" s="931">
        <f>IF(데이터입력!AZ86="",0,데이터입력!AZ86)</f>
        <v>0</v>
      </c>
      <c r="Z84" s="599">
        <f>IF(데이터입력!BA86="",0,데이터입력!BA86)</f>
        <v>0</v>
      </c>
      <c r="AA84" s="935">
        <f>IF(데이터입력!BB86="",0,데이터입력!BB86)</f>
        <v>0</v>
      </c>
    </row>
    <row r="85" spans="1:27" ht="17.25" thickBot="1">
      <c r="A85" s="171">
        <f>IF(W85="","",SUBTOTAL(2,$W$11:W85))</f>
        <v>75</v>
      </c>
      <c r="B85" s="200" t="str">
        <f t="shared" si="6"/>
        <v>00</v>
      </c>
      <c r="C85" s="173" t="str">
        <f t="shared" si="7"/>
        <v/>
      </c>
      <c r="D85" s="201" t="str">
        <f t="shared" si="9"/>
        <v/>
      </c>
      <c r="E85" s="201" t="str">
        <f t="shared" si="9"/>
        <v/>
      </c>
      <c r="F85" s="174" t="str">
        <f t="shared" si="8"/>
        <v/>
      </c>
      <c r="G85" s="200" t="s">
        <v>485</v>
      </c>
      <c r="H85" s="200" t="s">
        <v>484</v>
      </c>
      <c r="I85" s="175">
        <f>IF(X85="","",X85*데이터입력!$Y$8)</f>
        <v>0</v>
      </c>
      <c r="J85" s="202">
        <f>R85*데이터입력!$Y$8</f>
        <v>0</v>
      </c>
      <c r="K85" s="202">
        <f>T85*데이터입력!$Y$8</f>
        <v>0</v>
      </c>
      <c r="L85" s="203">
        <f>IFERROR(U85*데이터입력!$Y$8,"")</f>
        <v>0</v>
      </c>
      <c r="M85" s="175">
        <f>IFERROR(V85*데이터입력!$Y$8,"")</f>
        <v>0</v>
      </c>
      <c r="N85" s="594"/>
      <c r="O85" s="184" t="str">
        <f>IF(데이터입력!AP87="","",데이터입력!AP87)</f>
        <v/>
      </c>
      <c r="P85" s="185" t="str">
        <f>IF(데이터입력!AQ87="","",데이터입력!AQ87)</f>
        <v/>
      </c>
      <c r="Q85" s="186">
        <f>IF(데이터입력!AR87="",0,데이터입력!AR87)</f>
        <v>0</v>
      </c>
      <c r="R85" s="187">
        <f>IF(데이터입력!AS87="",0,데이터입력!AS87)</f>
        <v>0</v>
      </c>
      <c r="S85" s="1260">
        <f>IF(데이터입력!AT87="",0,데이터입력!AT87)</f>
        <v>0</v>
      </c>
      <c r="T85" s="187">
        <f>IF(데이터입력!AU87="",0,데이터입력!AU87)</f>
        <v>0</v>
      </c>
      <c r="U85" s="186">
        <f>IF(데이터입력!AV87="",0,데이터입력!AV87)</f>
        <v>0</v>
      </c>
      <c r="V85" s="187">
        <f>IF(데이터입력!AW87="",0,데이터입력!AW87)</f>
        <v>0</v>
      </c>
      <c r="W85" s="1261">
        <f>IF(데이터입력!AX87="",0,데이터입력!AX87)</f>
        <v>0</v>
      </c>
      <c r="X85" s="931">
        <f>IF(데이터입력!AY87="",0,데이터입력!AY87)</f>
        <v>0</v>
      </c>
      <c r="Y85" s="931">
        <f>IF(데이터입력!AZ87="",0,데이터입력!AZ87)</f>
        <v>0</v>
      </c>
      <c r="Z85" s="599">
        <f>IF(데이터입력!BA87="",0,데이터입력!BA87)</f>
        <v>0</v>
      </c>
      <c r="AA85" s="935">
        <f>IF(데이터입력!BB87="",0,데이터입력!BB87)</f>
        <v>0</v>
      </c>
    </row>
    <row r="86" spans="1:27" hidden="1">
      <c r="A86" s="171">
        <f>IF(W86="","",SUBTOTAL(2,$W$11:W86))</f>
        <v>76</v>
      </c>
      <c r="B86" s="198" t="str">
        <f t="shared" si="6"/>
        <v>00</v>
      </c>
      <c r="C86" s="180" t="str">
        <f t="shared" si="7"/>
        <v/>
      </c>
      <c r="D86" s="180" t="str">
        <f t="shared" si="9"/>
        <v/>
      </c>
      <c r="E86" s="180" t="str">
        <f t="shared" si="9"/>
        <v/>
      </c>
      <c r="F86" s="181" t="str">
        <f t="shared" si="8"/>
        <v/>
      </c>
      <c r="G86" s="198" t="s">
        <v>485</v>
      </c>
      <c r="H86" s="198" t="s">
        <v>484</v>
      </c>
      <c r="I86" s="182">
        <f>IF(X86="","",X86*데이터입력!$Y$8)</f>
        <v>0</v>
      </c>
      <c r="J86" s="182">
        <f>R86*데이터입력!$Y$8</f>
        <v>0</v>
      </c>
      <c r="K86" s="182">
        <f>T86*데이터입력!$Y$8</f>
        <v>0</v>
      </c>
      <c r="L86" s="199">
        <f>IFERROR(U86*데이터입력!$Y$8,"")</f>
        <v>0</v>
      </c>
      <c r="M86" s="199">
        <f>IFERROR(V86*데이터입력!$Y$8,"")</f>
        <v>0</v>
      </c>
      <c r="N86" s="594"/>
      <c r="O86" s="184" t="str">
        <f>IF(데이터입력!AP88="","",데이터입력!AP88)</f>
        <v/>
      </c>
      <c r="P86" s="185" t="str">
        <f>IF(데이터입력!AQ88="","",데이터입력!AQ88)</f>
        <v/>
      </c>
      <c r="Q86" s="186">
        <f>IF(데이터입력!AR88="",0,데이터입력!AR88)</f>
        <v>0</v>
      </c>
      <c r="R86" s="187">
        <f>IF(데이터입력!AS88="",0,데이터입력!AS88)</f>
        <v>0</v>
      </c>
      <c r="S86" s="1260">
        <f>IF(데이터입력!AT88="",0,데이터입력!AT88)</f>
        <v>0</v>
      </c>
      <c r="T86" s="187">
        <f>IF(데이터입력!AU88="",0,데이터입력!AU88)</f>
        <v>0</v>
      </c>
      <c r="U86" s="186">
        <f>IF(데이터입력!AV88="",0,데이터입력!AV88)</f>
        <v>0</v>
      </c>
      <c r="V86" s="187">
        <f>IF(데이터입력!AW88="",0,데이터입력!AW88)</f>
        <v>0</v>
      </c>
      <c r="W86" s="1261">
        <f>IF(데이터입력!AX88="",0,데이터입력!AX88)</f>
        <v>0</v>
      </c>
      <c r="X86" s="931">
        <f>IF(데이터입력!AY88="",0,데이터입력!AY88)</f>
        <v>0</v>
      </c>
      <c r="Y86" s="931">
        <f>IF(데이터입력!AZ88="",0,데이터입력!AZ88)</f>
        <v>0</v>
      </c>
      <c r="Z86" s="599">
        <f>IF(데이터입력!BA88="",0,데이터입력!BA88)</f>
        <v>0</v>
      </c>
      <c r="AA86" s="935">
        <f>IF(데이터입력!BB88="",0,데이터입력!BB88)</f>
        <v>0</v>
      </c>
    </row>
    <row r="87" spans="1:27" hidden="1">
      <c r="A87" s="171">
        <f>IF(W87="","",SUBTOTAL(2,$W$11:W87))</f>
        <v>77</v>
      </c>
      <c r="B87" s="200" t="str">
        <f t="shared" si="6"/>
        <v>00</v>
      </c>
      <c r="C87" s="173" t="str">
        <f t="shared" si="7"/>
        <v/>
      </c>
      <c r="D87" s="201" t="str">
        <f t="shared" si="9"/>
        <v/>
      </c>
      <c r="E87" s="201" t="str">
        <f t="shared" si="9"/>
        <v/>
      </c>
      <c r="F87" s="174" t="str">
        <f t="shared" si="8"/>
        <v/>
      </c>
      <c r="G87" s="200" t="s">
        <v>485</v>
      </c>
      <c r="H87" s="200" t="s">
        <v>484</v>
      </c>
      <c r="I87" s="175">
        <f>IF(X87="","",X87*데이터입력!$Y$8)</f>
        <v>0</v>
      </c>
      <c r="J87" s="202">
        <f>R87*데이터입력!$Y$8</f>
        <v>0</v>
      </c>
      <c r="K87" s="202">
        <f>T87*데이터입력!$Y$8</f>
        <v>0</v>
      </c>
      <c r="L87" s="203">
        <f>IFERROR(U87*데이터입력!$Y$8,"")</f>
        <v>0</v>
      </c>
      <c r="M87" s="175">
        <f>IFERROR(V87*데이터입력!$Y$8,"")</f>
        <v>0</v>
      </c>
      <c r="N87" s="594"/>
      <c r="O87" s="184" t="str">
        <f>IF(데이터입력!AP89="","",데이터입력!AP89)</f>
        <v/>
      </c>
      <c r="P87" s="185" t="str">
        <f>IF(데이터입력!AQ89="","",데이터입력!AQ89)</f>
        <v/>
      </c>
      <c r="Q87" s="186">
        <f>IF(데이터입력!AR89="",0,데이터입력!AR89)</f>
        <v>0</v>
      </c>
      <c r="R87" s="187">
        <f>IF(데이터입력!AS89="",0,데이터입력!AS89)</f>
        <v>0</v>
      </c>
      <c r="S87" s="1260">
        <f>IF(데이터입력!AT89="",0,데이터입력!AT89)</f>
        <v>0</v>
      </c>
      <c r="T87" s="187">
        <f>IF(데이터입력!AU89="",0,데이터입력!AU89)</f>
        <v>0</v>
      </c>
      <c r="U87" s="186">
        <f>IF(데이터입력!AV89="",0,데이터입력!AV89)</f>
        <v>0</v>
      </c>
      <c r="V87" s="187">
        <f>IF(데이터입력!AW89="",0,데이터입력!AW89)</f>
        <v>0</v>
      </c>
      <c r="W87" s="1261">
        <f>IF(데이터입력!AX89="",0,데이터입력!AX89)</f>
        <v>0</v>
      </c>
      <c r="X87" s="931">
        <f>IF(데이터입력!AY89="",0,데이터입력!AY89)</f>
        <v>0</v>
      </c>
      <c r="Y87" s="931">
        <f>IF(데이터입력!AZ89="",0,데이터입력!AZ89)</f>
        <v>0</v>
      </c>
      <c r="Z87" s="599">
        <f>IF(데이터입력!BA89="",0,데이터입력!BA89)</f>
        <v>0</v>
      </c>
      <c r="AA87" s="935">
        <f>IF(데이터입력!BB89="",0,데이터입력!BB89)</f>
        <v>0</v>
      </c>
    </row>
    <row r="88" spans="1:27" hidden="1">
      <c r="A88" s="171">
        <f>IF(W88="","",SUBTOTAL(2,$W$11:W88))</f>
        <v>78</v>
      </c>
      <c r="B88" s="198" t="str">
        <f t="shared" si="6"/>
        <v>00</v>
      </c>
      <c r="C88" s="180" t="str">
        <f t="shared" si="7"/>
        <v/>
      </c>
      <c r="D88" s="180" t="str">
        <f t="shared" si="9"/>
        <v/>
      </c>
      <c r="E88" s="180" t="str">
        <f t="shared" si="9"/>
        <v/>
      </c>
      <c r="F88" s="181" t="str">
        <f t="shared" si="8"/>
        <v/>
      </c>
      <c r="G88" s="198" t="s">
        <v>485</v>
      </c>
      <c r="H88" s="198" t="s">
        <v>484</v>
      </c>
      <c r="I88" s="182">
        <f>IF(X88="","",X88*데이터입력!$Y$8)</f>
        <v>0</v>
      </c>
      <c r="J88" s="182">
        <f>R88*데이터입력!$Y$8</f>
        <v>0</v>
      </c>
      <c r="K88" s="182">
        <f>T88*데이터입력!$Y$8</f>
        <v>0</v>
      </c>
      <c r="L88" s="199">
        <f>IFERROR(U88*데이터입력!$Y$8,"")</f>
        <v>0</v>
      </c>
      <c r="M88" s="199">
        <f>IFERROR(V88*데이터입력!$Y$8,"")</f>
        <v>0</v>
      </c>
      <c r="N88" s="594"/>
      <c r="O88" s="184" t="str">
        <f>IF(데이터입력!AP90="","",데이터입력!AP90)</f>
        <v/>
      </c>
      <c r="P88" s="185" t="str">
        <f>IF(데이터입력!AQ90="","",데이터입력!AQ90)</f>
        <v/>
      </c>
      <c r="Q88" s="186">
        <f>IF(데이터입력!AR90="",0,데이터입력!AR90)</f>
        <v>0</v>
      </c>
      <c r="R88" s="187">
        <f>IF(데이터입력!AS90="",0,데이터입력!AS90)</f>
        <v>0</v>
      </c>
      <c r="S88" s="1260">
        <f>IF(데이터입력!AT90="",0,데이터입력!AT90)</f>
        <v>0</v>
      </c>
      <c r="T88" s="187">
        <f>IF(데이터입력!AU90="",0,데이터입력!AU90)</f>
        <v>0</v>
      </c>
      <c r="U88" s="186">
        <f>IF(데이터입력!AV90="",0,데이터입력!AV90)</f>
        <v>0</v>
      </c>
      <c r="V88" s="187">
        <f>IF(데이터입력!AW90="",0,데이터입력!AW90)</f>
        <v>0</v>
      </c>
      <c r="W88" s="1261">
        <f>IF(데이터입력!AX90="",0,데이터입력!AX90)</f>
        <v>0</v>
      </c>
      <c r="X88" s="931">
        <f>IF(데이터입력!AY90="",0,데이터입력!AY90)</f>
        <v>0</v>
      </c>
      <c r="Y88" s="931">
        <f>IF(데이터입력!AZ90="",0,데이터입력!AZ90)</f>
        <v>0</v>
      </c>
      <c r="Z88" s="599">
        <f>IF(데이터입력!BA90="",0,데이터입력!BA90)</f>
        <v>0</v>
      </c>
      <c r="AA88" s="935">
        <f>IF(데이터입력!BB90="",0,데이터입력!BB90)</f>
        <v>0</v>
      </c>
    </row>
    <row r="89" spans="1:27" hidden="1">
      <c r="A89" s="171">
        <f>IF(W89="","",SUBTOTAL(2,$W$11:W89))</f>
        <v>79</v>
      </c>
      <c r="B89" s="200" t="str">
        <f t="shared" si="6"/>
        <v>00</v>
      </c>
      <c r="C89" s="173" t="str">
        <f t="shared" si="7"/>
        <v/>
      </c>
      <c r="D89" s="201" t="str">
        <f t="shared" si="9"/>
        <v/>
      </c>
      <c r="E89" s="201" t="str">
        <f t="shared" si="9"/>
        <v/>
      </c>
      <c r="F89" s="174" t="str">
        <f t="shared" si="8"/>
        <v/>
      </c>
      <c r="G89" s="200" t="s">
        <v>485</v>
      </c>
      <c r="H89" s="200" t="s">
        <v>484</v>
      </c>
      <c r="I89" s="202">
        <f>IF(X89="","",X89*데이터입력!$Y$8)</f>
        <v>0</v>
      </c>
      <c r="J89" s="202">
        <f>R89*데이터입력!$Y$8</f>
        <v>0</v>
      </c>
      <c r="K89" s="202">
        <f>T89*데이터입력!$Y$8</f>
        <v>0</v>
      </c>
      <c r="L89" s="203">
        <f>IFERROR(U89*데이터입력!$Y$8,"")</f>
        <v>0</v>
      </c>
      <c r="M89" s="175">
        <f>IFERROR(V89*데이터입력!$Y$8,"")</f>
        <v>0</v>
      </c>
      <c r="N89" s="594"/>
      <c r="O89" s="184" t="str">
        <f>IF(데이터입력!AP91="","",데이터입력!AP91)</f>
        <v/>
      </c>
      <c r="P89" s="185" t="str">
        <f>IF(데이터입력!AQ91="","",데이터입력!AQ91)</f>
        <v/>
      </c>
      <c r="Q89" s="186">
        <f>IF(데이터입력!AR91="",0,데이터입력!AR91)</f>
        <v>0</v>
      </c>
      <c r="R89" s="187">
        <f>IF(데이터입력!AS91="",0,데이터입력!AS91)</f>
        <v>0</v>
      </c>
      <c r="S89" s="1260">
        <f>IF(데이터입력!AT91="",0,데이터입력!AT91)</f>
        <v>0</v>
      </c>
      <c r="T89" s="187">
        <f>IF(데이터입력!AU91="",0,데이터입력!AU91)</f>
        <v>0</v>
      </c>
      <c r="U89" s="186">
        <f>IF(데이터입력!AV91="",0,데이터입력!AV91)</f>
        <v>0</v>
      </c>
      <c r="V89" s="187">
        <f>IF(데이터입력!AW91="",0,데이터입력!AW91)</f>
        <v>0</v>
      </c>
      <c r="W89" s="1261">
        <f>IF(데이터입력!AX91="",0,데이터입력!AX91)</f>
        <v>0</v>
      </c>
      <c r="X89" s="931">
        <f>IF(데이터입력!AY91="",0,데이터입력!AY91)</f>
        <v>0</v>
      </c>
      <c r="Y89" s="931">
        <f>IF(데이터입력!AZ91="",0,데이터입력!AZ91)</f>
        <v>0</v>
      </c>
      <c r="Z89" s="599">
        <f>IF(데이터입력!BA91="",0,데이터입력!BA91)</f>
        <v>0</v>
      </c>
      <c r="AA89" s="935">
        <f>IF(데이터입력!BB91="",0,데이터입력!BB91)</f>
        <v>0</v>
      </c>
    </row>
    <row r="90" spans="1:27" hidden="1">
      <c r="A90" s="171">
        <f>IF(W90="","",SUBTOTAL(2,$W$11:W90))</f>
        <v>80</v>
      </c>
      <c r="B90" s="198" t="str">
        <f t="shared" si="6"/>
        <v>00</v>
      </c>
      <c r="C90" s="180" t="str">
        <f t="shared" si="7"/>
        <v/>
      </c>
      <c r="D90" s="180" t="str">
        <f t="shared" si="9"/>
        <v/>
      </c>
      <c r="E90" s="180" t="str">
        <f t="shared" si="9"/>
        <v/>
      </c>
      <c r="F90" s="181" t="str">
        <f t="shared" si="8"/>
        <v/>
      </c>
      <c r="G90" s="198" t="s">
        <v>485</v>
      </c>
      <c r="H90" s="198" t="s">
        <v>484</v>
      </c>
      <c r="I90" s="182">
        <f>IF(X90="","",X90*데이터입력!$Y$8)</f>
        <v>0</v>
      </c>
      <c r="J90" s="182">
        <f>R90*데이터입력!$Y$8</f>
        <v>0</v>
      </c>
      <c r="K90" s="182">
        <f>T90*데이터입력!$Y$8</f>
        <v>0</v>
      </c>
      <c r="L90" s="199">
        <f>IFERROR(U90*데이터입력!$Y$8,"")</f>
        <v>0</v>
      </c>
      <c r="M90" s="199">
        <f>IFERROR(V90*데이터입력!$Y$8,"")</f>
        <v>0</v>
      </c>
      <c r="N90" s="594"/>
      <c r="O90" s="184" t="str">
        <f>IF(데이터입력!AP92="","",데이터입력!AP92)</f>
        <v/>
      </c>
      <c r="P90" s="185" t="str">
        <f>IF(데이터입력!AQ92="","",데이터입력!AQ92)</f>
        <v/>
      </c>
      <c r="Q90" s="186">
        <f>IF(데이터입력!AR92="",0,데이터입력!AR92)</f>
        <v>0</v>
      </c>
      <c r="R90" s="187">
        <f>IF(데이터입력!AS92="",0,데이터입력!AS92)</f>
        <v>0</v>
      </c>
      <c r="S90" s="1260">
        <f>IF(데이터입력!AT92="",0,데이터입력!AT92)</f>
        <v>0</v>
      </c>
      <c r="T90" s="187">
        <f>IF(데이터입력!AU92="",0,데이터입력!AU92)</f>
        <v>0</v>
      </c>
      <c r="U90" s="186">
        <f>IF(데이터입력!AV92="",0,데이터입력!AV92)</f>
        <v>0</v>
      </c>
      <c r="V90" s="187">
        <f>IF(데이터입력!AW92="",0,데이터입력!AW92)</f>
        <v>0</v>
      </c>
      <c r="W90" s="1261">
        <f>IF(데이터입력!AX92="",0,데이터입력!AX92)</f>
        <v>0</v>
      </c>
      <c r="X90" s="931">
        <f>IF(데이터입력!AY92="",0,데이터입력!AY92)</f>
        <v>0</v>
      </c>
      <c r="Y90" s="931">
        <f>IF(데이터입력!AZ92="",0,데이터입력!AZ92)</f>
        <v>0</v>
      </c>
      <c r="Z90" s="599">
        <f>IF(데이터입력!BA92="",0,데이터입력!BA92)</f>
        <v>0</v>
      </c>
      <c r="AA90" s="935">
        <f>IF(데이터입력!BB92="",0,데이터입력!BB92)</f>
        <v>0</v>
      </c>
    </row>
    <row r="91" spans="1:27" hidden="1">
      <c r="A91" s="171">
        <f>IF(W91="","",SUBTOTAL(2,$W$11:W91))</f>
        <v>81</v>
      </c>
      <c r="B91" s="200" t="str">
        <f t="shared" si="6"/>
        <v>00</v>
      </c>
      <c r="C91" s="173" t="str">
        <f t="shared" si="7"/>
        <v/>
      </c>
      <c r="D91" s="201" t="str">
        <f t="shared" si="9"/>
        <v/>
      </c>
      <c r="E91" s="201" t="str">
        <f t="shared" si="9"/>
        <v/>
      </c>
      <c r="F91" s="174" t="str">
        <f t="shared" si="8"/>
        <v/>
      </c>
      <c r="G91" s="200" t="s">
        <v>485</v>
      </c>
      <c r="H91" s="200" t="s">
        <v>484</v>
      </c>
      <c r="I91" s="175">
        <f>IF(X91="","",X91*데이터입력!$Y$8)</f>
        <v>0</v>
      </c>
      <c r="J91" s="202">
        <f>R91*데이터입력!$Y$8</f>
        <v>0</v>
      </c>
      <c r="K91" s="202">
        <f>T91*데이터입력!$Y$8</f>
        <v>0</v>
      </c>
      <c r="L91" s="203">
        <f>IFERROR(U91*데이터입력!$Y$8,"")</f>
        <v>0</v>
      </c>
      <c r="M91" s="175">
        <f>IFERROR(V91*데이터입력!$Y$8,"")</f>
        <v>0</v>
      </c>
      <c r="N91" s="594"/>
      <c r="O91" s="184" t="str">
        <f>IF(데이터입력!AP93="","",데이터입력!AP93)</f>
        <v/>
      </c>
      <c r="P91" s="185" t="str">
        <f>IF(데이터입력!AQ93="","",데이터입력!AQ93)</f>
        <v/>
      </c>
      <c r="Q91" s="186">
        <f>IF(데이터입력!AR93="",0,데이터입력!AR93)</f>
        <v>0</v>
      </c>
      <c r="R91" s="187">
        <f>IF(데이터입력!AS93="",0,데이터입력!AS93)</f>
        <v>0</v>
      </c>
      <c r="S91" s="1260">
        <f>IF(데이터입력!AT93="",0,데이터입력!AT93)</f>
        <v>0</v>
      </c>
      <c r="T91" s="187">
        <f>IF(데이터입력!AU93="",0,데이터입력!AU93)</f>
        <v>0</v>
      </c>
      <c r="U91" s="186">
        <f>IF(데이터입력!AV93="",0,데이터입력!AV93)</f>
        <v>0</v>
      </c>
      <c r="V91" s="187">
        <f>IF(데이터입력!AW93="",0,데이터입력!AW93)</f>
        <v>0</v>
      </c>
      <c r="W91" s="1261">
        <f>IF(데이터입력!AX93="",0,데이터입력!AX93)</f>
        <v>0</v>
      </c>
      <c r="X91" s="931">
        <f>IF(데이터입력!AY93="",0,데이터입력!AY93)</f>
        <v>0</v>
      </c>
      <c r="Y91" s="931">
        <f>IF(데이터입력!AZ93="",0,데이터입력!AZ93)</f>
        <v>0</v>
      </c>
      <c r="Z91" s="599">
        <f>IF(데이터입력!BA93="",0,데이터입력!BA93)</f>
        <v>0</v>
      </c>
      <c r="AA91" s="935">
        <f>IF(데이터입력!BB93="",0,데이터입력!BB93)</f>
        <v>0</v>
      </c>
    </row>
    <row r="92" spans="1:27" hidden="1">
      <c r="A92" s="171">
        <f>IF(W92="","",SUBTOTAL(2,$W$11:W92))</f>
        <v>82</v>
      </c>
      <c r="B92" s="198" t="str">
        <f t="shared" si="6"/>
        <v>00</v>
      </c>
      <c r="C92" s="180" t="str">
        <f t="shared" si="7"/>
        <v/>
      </c>
      <c r="D92" s="180" t="str">
        <f t="shared" si="9"/>
        <v/>
      </c>
      <c r="E92" s="180" t="str">
        <f t="shared" si="9"/>
        <v/>
      </c>
      <c r="F92" s="181" t="str">
        <f t="shared" si="8"/>
        <v/>
      </c>
      <c r="G92" s="198" t="s">
        <v>485</v>
      </c>
      <c r="H92" s="198" t="s">
        <v>484</v>
      </c>
      <c r="I92" s="182">
        <f>IF(X92="","",X92*데이터입력!$Y$8)</f>
        <v>0</v>
      </c>
      <c r="J92" s="182">
        <f>R92*데이터입력!$Y$8</f>
        <v>0</v>
      </c>
      <c r="K92" s="182">
        <f>T92*데이터입력!$Y$8</f>
        <v>0</v>
      </c>
      <c r="L92" s="199">
        <f>IFERROR(U92*데이터입력!$Y$8,"")</f>
        <v>0</v>
      </c>
      <c r="M92" s="199">
        <f>IFERROR(V92*데이터입력!$Y$8,"")</f>
        <v>0</v>
      </c>
      <c r="N92" s="594"/>
      <c r="O92" s="184" t="str">
        <f>IF(데이터입력!AP94="","",데이터입력!AP94)</f>
        <v/>
      </c>
      <c r="P92" s="185" t="str">
        <f>IF(데이터입력!AQ94="","",데이터입력!AQ94)</f>
        <v/>
      </c>
      <c r="Q92" s="186">
        <f>IF(데이터입력!AR94="",0,데이터입력!AR94)</f>
        <v>0</v>
      </c>
      <c r="R92" s="187">
        <f>IF(데이터입력!AS94="",0,데이터입력!AS94)</f>
        <v>0</v>
      </c>
      <c r="S92" s="1260">
        <f>IF(데이터입력!AT94="",0,데이터입력!AT94)</f>
        <v>0</v>
      </c>
      <c r="T92" s="187">
        <f>IF(데이터입력!AU94="",0,데이터입력!AU94)</f>
        <v>0</v>
      </c>
      <c r="U92" s="186">
        <f>IF(데이터입력!AV94="",0,데이터입력!AV94)</f>
        <v>0</v>
      </c>
      <c r="V92" s="187">
        <f>IF(데이터입력!AW94="",0,데이터입력!AW94)</f>
        <v>0</v>
      </c>
      <c r="W92" s="1261">
        <f>IF(데이터입력!AX94="",0,데이터입력!AX94)</f>
        <v>0</v>
      </c>
      <c r="X92" s="931">
        <f>IF(데이터입력!AY94="",0,데이터입력!AY94)</f>
        <v>0</v>
      </c>
      <c r="Y92" s="931">
        <f>IF(데이터입력!AZ94="",0,데이터입력!AZ94)</f>
        <v>0</v>
      </c>
      <c r="Z92" s="599">
        <f>IF(데이터입력!BA94="",0,데이터입력!BA94)</f>
        <v>0</v>
      </c>
      <c r="AA92" s="935">
        <f>IF(데이터입력!BB94="",0,데이터입력!BB94)</f>
        <v>0</v>
      </c>
    </row>
    <row r="93" spans="1:27" hidden="1">
      <c r="A93" s="171">
        <f>IF(W93="","",SUBTOTAL(2,$W$11:W93))</f>
        <v>83</v>
      </c>
      <c r="B93" s="200" t="str">
        <f t="shared" si="6"/>
        <v>00</v>
      </c>
      <c r="C93" s="173" t="str">
        <f t="shared" si="7"/>
        <v/>
      </c>
      <c r="D93" s="201" t="str">
        <f t="shared" si="9"/>
        <v/>
      </c>
      <c r="E93" s="201" t="str">
        <f t="shared" si="9"/>
        <v/>
      </c>
      <c r="F93" s="174" t="str">
        <f t="shared" si="8"/>
        <v/>
      </c>
      <c r="G93" s="200" t="s">
        <v>485</v>
      </c>
      <c r="H93" s="200" t="s">
        <v>484</v>
      </c>
      <c r="I93" s="175">
        <f>IF(X93="","",X93*데이터입력!$Y$8)</f>
        <v>0</v>
      </c>
      <c r="J93" s="202">
        <f>R93*데이터입력!$Y$8</f>
        <v>0</v>
      </c>
      <c r="K93" s="202">
        <f>T93*데이터입력!$Y$8</f>
        <v>0</v>
      </c>
      <c r="L93" s="203">
        <f>IFERROR(U93*데이터입력!$Y$8,"")</f>
        <v>0</v>
      </c>
      <c r="M93" s="175">
        <f>IFERROR(V93*데이터입력!$Y$8,"")</f>
        <v>0</v>
      </c>
      <c r="N93" s="594"/>
      <c r="O93" s="184" t="str">
        <f>IF(데이터입력!AP95="","",데이터입력!AP95)</f>
        <v/>
      </c>
      <c r="P93" s="185" t="str">
        <f>IF(데이터입력!AQ95="","",데이터입력!AQ95)</f>
        <v/>
      </c>
      <c r="Q93" s="186">
        <f>IF(데이터입력!AR95="",0,데이터입력!AR95)</f>
        <v>0</v>
      </c>
      <c r="R93" s="187">
        <f>IF(데이터입력!AS95="",0,데이터입력!AS95)</f>
        <v>0</v>
      </c>
      <c r="S93" s="1260">
        <f>IF(데이터입력!AT95="",0,데이터입력!AT95)</f>
        <v>0</v>
      </c>
      <c r="T93" s="187">
        <f>IF(데이터입력!AU95="",0,데이터입력!AU95)</f>
        <v>0</v>
      </c>
      <c r="U93" s="186">
        <f>IF(데이터입력!AV95="",0,데이터입력!AV95)</f>
        <v>0</v>
      </c>
      <c r="V93" s="187">
        <f>IF(데이터입력!AW95="",0,데이터입력!AW95)</f>
        <v>0</v>
      </c>
      <c r="W93" s="1261">
        <f>IF(데이터입력!AX95="",0,데이터입력!AX95)</f>
        <v>0</v>
      </c>
      <c r="X93" s="931">
        <f>IF(데이터입력!AY95="",0,데이터입력!AY95)</f>
        <v>0</v>
      </c>
      <c r="Y93" s="931">
        <f>IF(데이터입력!AZ95="",0,데이터입력!AZ95)</f>
        <v>0</v>
      </c>
      <c r="Z93" s="599">
        <f>IF(데이터입력!BA95="",0,데이터입력!BA95)</f>
        <v>0</v>
      </c>
      <c r="AA93" s="935">
        <f>IF(데이터입력!BB95="",0,데이터입력!BB95)</f>
        <v>0</v>
      </c>
    </row>
    <row r="94" spans="1:27" hidden="1">
      <c r="A94" s="171">
        <f>IF(W94="","",SUBTOTAL(2,$W$11:W94))</f>
        <v>84</v>
      </c>
      <c r="B94" s="198" t="str">
        <f t="shared" si="6"/>
        <v>00</v>
      </c>
      <c r="C94" s="180" t="str">
        <f t="shared" si="7"/>
        <v/>
      </c>
      <c r="D94" s="180" t="str">
        <f t="shared" si="9"/>
        <v/>
      </c>
      <c r="E94" s="180" t="str">
        <f t="shared" si="9"/>
        <v/>
      </c>
      <c r="F94" s="181" t="str">
        <f t="shared" si="8"/>
        <v/>
      </c>
      <c r="G94" s="198" t="s">
        <v>485</v>
      </c>
      <c r="H94" s="198" t="s">
        <v>484</v>
      </c>
      <c r="I94" s="182">
        <f>IF(X94="","",X94*데이터입력!$Y$8)</f>
        <v>0</v>
      </c>
      <c r="J94" s="182">
        <f>R94*데이터입력!$Y$8</f>
        <v>0</v>
      </c>
      <c r="K94" s="182">
        <f>T94*데이터입력!$Y$8</f>
        <v>0</v>
      </c>
      <c r="L94" s="199">
        <f>IFERROR(U94*데이터입력!$Y$8,"")</f>
        <v>0</v>
      </c>
      <c r="M94" s="199">
        <f>IFERROR(V94*데이터입력!$Y$8,"")</f>
        <v>0</v>
      </c>
      <c r="N94" s="594"/>
      <c r="O94" s="184" t="str">
        <f>IF(데이터입력!AP96="","",데이터입력!AP96)</f>
        <v/>
      </c>
      <c r="P94" s="185" t="str">
        <f>IF(데이터입력!AQ96="","",데이터입력!AQ96)</f>
        <v/>
      </c>
      <c r="Q94" s="186">
        <f>IF(데이터입력!AR96="",0,데이터입력!AR96)</f>
        <v>0</v>
      </c>
      <c r="R94" s="187">
        <f>IF(데이터입력!AS96="",0,데이터입력!AS96)</f>
        <v>0</v>
      </c>
      <c r="S94" s="1260">
        <f>IF(데이터입력!AT96="",0,데이터입력!AT96)</f>
        <v>0</v>
      </c>
      <c r="T94" s="187">
        <f>IF(데이터입력!AU96="",0,데이터입력!AU96)</f>
        <v>0</v>
      </c>
      <c r="U94" s="186">
        <f>IF(데이터입력!AV96="",0,데이터입력!AV96)</f>
        <v>0</v>
      </c>
      <c r="V94" s="187">
        <f>IF(데이터입력!AW96="",0,데이터입력!AW96)</f>
        <v>0</v>
      </c>
      <c r="W94" s="1261">
        <f>IF(데이터입력!AX96="",0,데이터입력!AX96)</f>
        <v>0</v>
      </c>
      <c r="X94" s="931">
        <f>IF(데이터입력!AY96="",0,데이터입력!AY96)</f>
        <v>0</v>
      </c>
      <c r="Y94" s="931">
        <f>IF(데이터입력!AZ96="",0,데이터입력!AZ96)</f>
        <v>0</v>
      </c>
      <c r="Z94" s="599">
        <f>IF(데이터입력!BA96="",0,데이터입력!BA96)</f>
        <v>0</v>
      </c>
      <c r="AA94" s="935">
        <f>IF(데이터입력!BB96="",0,데이터입력!BB96)</f>
        <v>0</v>
      </c>
    </row>
    <row r="95" spans="1:27" hidden="1">
      <c r="A95" s="171">
        <f>IF(W95="","",SUBTOTAL(2,$W$11:W95))</f>
        <v>85</v>
      </c>
      <c r="B95" s="200" t="str">
        <f t="shared" si="6"/>
        <v>00</v>
      </c>
      <c r="C95" s="173" t="str">
        <f t="shared" si="7"/>
        <v/>
      </c>
      <c r="D95" s="201" t="str">
        <f t="shared" si="9"/>
        <v/>
      </c>
      <c r="E95" s="201" t="str">
        <f t="shared" si="9"/>
        <v/>
      </c>
      <c r="F95" s="174" t="str">
        <f t="shared" si="8"/>
        <v/>
      </c>
      <c r="G95" s="200" t="s">
        <v>485</v>
      </c>
      <c r="H95" s="200" t="s">
        <v>484</v>
      </c>
      <c r="I95" s="175">
        <f>IF(X95="","",X95*데이터입력!$Y$8)</f>
        <v>0</v>
      </c>
      <c r="J95" s="202">
        <f>R95*데이터입력!$Y$8</f>
        <v>0</v>
      </c>
      <c r="K95" s="202">
        <f>T95*데이터입력!$Y$8</f>
        <v>0</v>
      </c>
      <c r="L95" s="203">
        <f>IFERROR(U95*데이터입력!$Y$8,"")</f>
        <v>0</v>
      </c>
      <c r="M95" s="175">
        <f>IFERROR(V95*데이터입력!$Y$8,"")</f>
        <v>0</v>
      </c>
      <c r="N95" s="594"/>
      <c r="O95" s="184" t="str">
        <f>IF(데이터입력!AP97="","",데이터입력!AP97)</f>
        <v/>
      </c>
      <c r="P95" s="185" t="str">
        <f>IF(데이터입력!AQ97="","",데이터입력!AQ97)</f>
        <v/>
      </c>
      <c r="Q95" s="186">
        <f>IF(데이터입력!AR97="",0,데이터입력!AR97)</f>
        <v>0</v>
      </c>
      <c r="R95" s="187">
        <f>IF(데이터입력!AS97="",0,데이터입력!AS97)</f>
        <v>0</v>
      </c>
      <c r="S95" s="1260">
        <f>IF(데이터입력!AT97="",0,데이터입력!AT97)</f>
        <v>0</v>
      </c>
      <c r="T95" s="187">
        <f>IF(데이터입력!AU97="",0,데이터입력!AU97)</f>
        <v>0</v>
      </c>
      <c r="U95" s="186">
        <f>IF(데이터입력!AV97="",0,데이터입력!AV97)</f>
        <v>0</v>
      </c>
      <c r="V95" s="187">
        <f>IF(데이터입력!AW97="",0,데이터입력!AW97)</f>
        <v>0</v>
      </c>
      <c r="W95" s="1261">
        <f>IF(데이터입력!AX97="",0,데이터입력!AX97)</f>
        <v>0</v>
      </c>
      <c r="X95" s="931">
        <f>IF(데이터입력!AY97="",0,데이터입력!AY97)</f>
        <v>0</v>
      </c>
      <c r="Y95" s="931">
        <f>IF(데이터입력!AZ97="",0,데이터입력!AZ97)</f>
        <v>0</v>
      </c>
      <c r="Z95" s="599">
        <f>IF(데이터입력!BA97="",0,데이터입력!BA97)</f>
        <v>0</v>
      </c>
      <c r="AA95" s="935">
        <f>IF(데이터입력!BB97="",0,데이터입력!BB97)</f>
        <v>0</v>
      </c>
    </row>
    <row r="96" spans="1:27" hidden="1">
      <c r="A96" s="171">
        <f>IF(W96="","",SUBTOTAL(2,$W$11:W96))</f>
        <v>86</v>
      </c>
      <c r="B96" s="198" t="str">
        <f t="shared" si="6"/>
        <v>00</v>
      </c>
      <c r="C96" s="180" t="str">
        <f t="shared" si="7"/>
        <v/>
      </c>
      <c r="D96" s="180" t="str">
        <f t="shared" si="9"/>
        <v/>
      </c>
      <c r="E96" s="180" t="str">
        <f t="shared" si="9"/>
        <v/>
      </c>
      <c r="F96" s="181" t="str">
        <f t="shared" si="8"/>
        <v/>
      </c>
      <c r="G96" s="198" t="s">
        <v>485</v>
      </c>
      <c r="H96" s="198" t="s">
        <v>484</v>
      </c>
      <c r="I96" s="182">
        <f>IF(X96="","",X96*데이터입력!$Y$8)</f>
        <v>0</v>
      </c>
      <c r="J96" s="182">
        <f>R96*데이터입력!$Y$8</f>
        <v>0</v>
      </c>
      <c r="K96" s="182">
        <f>T96*데이터입력!$Y$8</f>
        <v>0</v>
      </c>
      <c r="L96" s="199">
        <f>IFERROR(U96*데이터입력!$Y$8,"")</f>
        <v>0</v>
      </c>
      <c r="M96" s="199">
        <f>IFERROR(V96*데이터입력!$Y$8,"")</f>
        <v>0</v>
      </c>
      <c r="N96" s="594"/>
      <c r="O96" s="184" t="str">
        <f>IF(데이터입력!AP98="","",데이터입력!AP98)</f>
        <v/>
      </c>
      <c r="P96" s="185" t="str">
        <f>IF(데이터입력!AQ98="","",데이터입력!AQ98)</f>
        <v/>
      </c>
      <c r="Q96" s="186">
        <f>IF(데이터입력!AR98="",0,데이터입력!AR98)</f>
        <v>0</v>
      </c>
      <c r="R96" s="187">
        <f>IF(데이터입력!AS98="",0,데이터입력!AS98)</f>
        <v>0</v>
      </c>
      <c r="S96" s="1260">
        <f>IF(데이터입력!AT98="",0,데이터입력!AT98)</f>
        <v>0</v>
      </c>
      <c r="T96" s="187">
        <f>IF(데이터입력!AU98="",0,데이터입력!AU98)</f>
        <v>0</v>
      </c>
      <c r="U96" s="186">
        <f>IF(데이터입력!AV98="",0,데이터입력!AV98)</f>
        <v>0</v>
      </c>
      <c r="V96" s="187">
        <f>IF(데이터입력!AW98="",0,데이터입력!AW98)</f>
        <v>0</v>
      </c>
      <c r="W96" s="1261">
        <f>IF(데이터입력!AX98="",0,데이터입력!AX98)</f>
        <v>0</v>
      </c>
      <c r="X96" s="931">
        <f>IF(데이터입력!AY98="",0,데이터입력!AY98)</f>
        <v>0</v>
      </c>
      <c r="Y96" s="931">
        <f>IF(데이터입력!AZ98="",0,데이터입력!AZ98)</f>
        <v>0</v>
      </c>
      <c r="Z96" s="599">
        <f>IF(데이터입력!BA98="",0,데이터입력!BA98)</f>
        <v>0</v>
      </c>
      <c r="AA96" s="935">
        <f>IF(데이터입력!BB98="",0,데이터입력!BB98)</f>
        <v>0</v>
      </c>
    </row>
    <row r="97" spans="1:27" hidden="1">
      <c r="A97" s="171">
        <f>IF(W97="","",SUBTOTAL(2,$W$11:W97))</f>
        <v>87</v>
      </c>
      <c r="B97" s="200" t="str">
        <f t="shared" si="6"/>
        <v>00</v>
      </c>
      <c r="C97" s="173" t="str">
        <f t="shared" si="7"/>
        <v/>
      </c>
      <c r="D97" s="201" t="str">
        <f t="shared" si="9"/>
        <v/>
      </c>
      <c r="E97" s="201" t="str">
        <f t="shared" si="9"/>
        <v/>
      </c>
      <c r="F97" s="174" t="str">
        <f t="shared" si="8"/>
        <v/>
      </c>
      <c r="G97" s="200" t="s">
        <v>485</v>
      </c>
      <c r="H97" s="200" t="s">
        <v>484</v>
      </c>
      <c r="I97" s="175">
        <f>IF(X97="","",X97*데이터입력!$Y$8)</f>
        <v>0</v>
      </c>
      <c r="J97" s="202">
        <f>R97*데이터입력!$Y$8</f>
        <v>0</v>
      </c>
      <c r="K97" s="202">
        <f>T97*데이터입력!$Y$8</f>
        <v>0</v>
      </c>
      <c r="L97" s="203">
        <f>IFERROR(U97*데이터입력!$Y$8,"")</f>
        <v>0</v>
      </c>
      <c r="M97" s="175">
        <f>IFERROR(V97*데이터입력!$Y$8,"")</f>
        <v>0</v>
      </c>
      <c r="N97" s="594"/>
      <c r="O97" s="184" t="str">
        <f>IF(데이터입력!AP99="","",데이터입력!AP99)</f>
        <v/>
      </c>
      <c r="P97" s="185" t="str">
        <f>IF(데이터입력!AQ99="","",데이터입력!AQ99)</f>
        <v/>
      </c>
      <c r="Q97" s="186">
        <f>IF(데이터입력!AR99="",0,데이터입력!AR99)</f>
        <v>0</v>
      </c>
      <c r="R97" s="187">
        <f>IF(데이터입력!AS99="",0,데이터입력!AS99)</f>
        <v>0</v>
      </c>
      <c r="S97" s="1260">
        <f>IF(데이터입력!AT99="",0,데이터입력!AT99)</f>
        <v>0</v>
      </c>
      <c r="T97" s="187">
        <f>IF(데이터입력!AU99="",0,데이터입력!AU99)</f>
        <v>0</v>
      </c>
      <c r="U97" s="186">
        <f>IF(데이터입력!AV99="",0,데이터입력!AV99)</f>
        <v>0</v>
      </c>
      <c r="V97" s="187">
        <f>IF(데이터입력!AW99="",0,데이터입력!AW99)</f>
        <v>0</v>
      </c>
      <c r="W97" s="1261">
        <f>IF(데이터입력!AX99="",0,데이터입력!AX99)</f>
        <v>0</v>
      </c>
      <c r="X97" s="931">
        <f>IF(데이터입력!AY99="",0,데이터입력!AY99)</f>
        <v>0</v>
      </c>
      <c r="Y97" s="931">
        <f>IF(데이터입력!AZ99="",0,데이터입력!AZ99)</f>
        <v>0</v>
      </c>
      <c r="Z97" s="599">
        <f>IF(데이터입력!BA99="",0,데이터입력!BA99)</f>
        <v>0</v>
      </c>
      <c r="AA97" s="935">
        <f>IF(데이터입력!BB99="",0,데이터입력!BB99)</f>
        <v>0</v>
      </c>
    </row>
    <row r="98" spans="1:27" hidden="1">
      <c r="A98" s="171">
        <f>IF(W98="","",SUBTOTAL(2,$W$11:W98))</f>
        <v>88</v>
      </c>
      <c r="B98" s="198" t="str">
        <f t="shared" si="6"/>
        <v>00</v>
      </c>
      <c r="C98" s="180" t="str">
        <f t="shared" si="7"/>
        <v/>
      </c>
      <c r="D98" s="180" t="str">
        <f t="shared" si="9"/>
        <v/>
      </c>
      <c r="E98" s="180" t="str">
        <f t="shared" si="9"/>
        <v/>
      </c>
      <c r="F98" s="181" t="str">
        <f t="shared" si="8"/>
        <v/>
      </c>
      <c r="G98" s="198" t="s">
        <v>485</v>
      </c>
      <c r="H98" s="198" t="s">
        <v>484</v>
      </c>
      <c r="I98" s="182">
        <f>IF(X98="","",X98*데이터입력!$Y$8)</f>
        <v>0</v>
      </c>
      <c r="J98" s="182">
        <f>R98*데이터입력!$Y$8</f>
        <v>0</v>
      </c>
      <c r="K98" s="182">
        <f>T98*데이터입력!$Y$8</f>
        <v>0</v>
      </c>
      <c r="L98" s="199">
        <f>IFERROR(U98*데이터입력!$Y$8,"")</f>
        <v>0</v>
      </c>
      <c r="M98" s="199">
        <f>IFERROR(V98*데이터입력!$Y$8,"")</f>
        <v>0</v>
      </c>
      <c r="N98" s="594"/>
      <c r="O98" s="184" t="str">
        <f>IF(데이터입력!AP100="","",데이터입력!AP100)</f>
        <v/>
      </c>
      <c r="P98" s="185" t="str">
        <f>IF(데이터입력!AQ100="","",데이터입력!AQ100)</f>
        <v/>
      </c>
      <c r="Q98" s="186">
        <f>IF(데이터입력!AR100="",0,데이터입력!AR100)</f>
        <v>0</v>
      </c>
      <c r="R98" s="187">
        <f>IF(데이터입력!AS100="",0,데이터입력!AS100)</f>
        <v>0</v>
      </c>
      <c r="S98" s="1260">
        <f>IF(데이터입력!AT100="",0,데이터입력!AT100)</f>
        <v>0</v>
      </c>
      <c r="T98" s="187">
        <f>IF(데이터입력!AU100="",0,데이터입력!AU100)</f>
        <v>0</v>
      </c>
      <c r="U98" s="186">
        <f>IF(데이터입력!AV100="",0,데이터입력!AV100)</f>
        <v>0</v>
      </c>
      <c r="V98" s="187">
        <f>IF(데이터입력!AW100="",0,데이터입력!AW100)</f>
        <v>0</v>
      </c>
      <c r="W98" s="1261">
        <f>IF(데이터입력!AX100="",0,데이터입력!AX100)</f>
        <v>0</v>
      </c>
      <c r="X98" s="931">
        <f>IF(데이터입력!AY100="",0,데이터입력!AY100)</f>
        <v>0</v>
      </c>
      <c r="Y98" s="931">
        <f>IF(데이터입력!AZ100="",0,데이터입력!AZ100)</f>
        <v>0</v>
      </c>
      <c r="Z98" s="599">
        <f>IF(데이터입력!BA100="",0,데이터입력!BA100)</f>
        <v>0</v>
      </c>
      <c r="AA98" s="935">
        <f>IF(데이터입력!BB100="",0,데이터입력!BB100)</f>
        <v>0</v>
      </c>
    </row>
    <row r="99" spans="1:27" hidden="1">
      <c r="A99" s="171">
        <f>IF(W99="","",SUBTOTAL(2,$W$11:W99))</f>
        <v>89</v>
      </c>
      <c r="B99" s="200" t="str">
        <f t="shared" si="6"/>
        <v>00</v>
      </c>
      <c r="C99" s="173" t="str">
        <f t="shared" si="7"/>
        <v/>
      </c>
      <c r="D99" s="201" t="str">
        <f t="shared" si="9"/>
        <v/>
      </c>
      <c r="E99" s="201" t="str">
        <f t="shared" si="9"/>
        <v/>
      </c>
      <c r="F99" s="174" t="str">
        <f t="shared" si="8"/>
        <v/>
      </c>
      <c r="G99" s="200" t="s">
        <v>485</v>
      </c>
      <c r="H99" s="200" t="s">
        <v>484</v>
      </c>
      <c r="I99" s="175">
        <f>IF(X99="","",X99*데이터입력!$Y$8)</f>
        <v>0</v>
      </c>
      <c r="J99" s="202">
        <f>R99*데이터입력!$Y$8</f>
        <v>0</v>
      </c>
      <c r="K99" s="202">
        <f>T99*데이터입력!$Y$8</f>
        <v>0</v>
      </c>
      <c r="L99" s="203">
        <f>IFERROR(U99*데이터입력!$Y$8,"")</f>
        <v>0</v>
      </c>
      <c r="M99" s="175">
        <f>IFERROR(V99*데이터입력!$Y$8,"")</f>
        <v>0</v>
      </c>
      <c r="N99" s="594"/>
      <c r="O99" s="184" t="str">
        <f>IF(데이터입력!AP101="","",데이터입력!AP101)</f>
        <v/>
      </c>
      <c r="P99" s="185" t="str">
        <f>IF(데이터입력!AQ101="","",데이터입력!AQ101)</f>
        <v/>
      </c>
      <c r="Q99" s="186">
        <f>IF(데이터입력!AR101="",0,데이터입력!AR101)</f>
        <v>0</v>
      </c>
      <c r="R99" s="187">
        <f>IF(데이터입력!AS101="",0,데이터입력!AS101)</f>
        <v>0</v>
      </c>
      <c r="S99" s="1260">
        <f>IF(데이터입력!AT101="",0,데이터입력!AT101)</f>
        <v>0</v>
      </c>
      <c r="T99" s="187">
        <f>IF(데이터입력!AU101="",0,데이터입력!AU101)</f>
        <v>0</v>
      </c>
      <c r="U99" s="186">
        <f>IF(데이터입력!AV101="",0,데이터입력!AV101)</f>
        <v>0</v>
      </c>
      <c r="V99" s="187">
        <f>IF(데이터입력!AW101="",0,데이터입력!AW101)</f>
        <v>0</v>
      </c>
      <c r="W99" s="1261">
        <f>IF(데이터입력!AX101="",0,데이터입력!AX101)</f>
        <v>0</v>
      </c>
      <c r="X99" s="931">
        <f>IF(데이터입력!AY101="",0,데이터입력!AY101)</f>
        <v>0</v>
      </c>
      <c r="Y99" s="931">
        <f>IF(데이터입력!AZ101="",0,데이터입력!AZ101)</f>
        <v>0</v>
      </c>
      <c r="Z99" s="599">
        <f>IF(데이터입력!BA101="",0,데이터입력!BA101)</f>
        <v>0</v>
      </c>
      <c r="AA99" s="935">
        <f>IF(데이터입력!BB101="",0,데이터입력!BB101)</f>
        <v>0</v>
      </c>
    </row>
    <row r="100" spans="1:27" hidden="1">
      <c r="A100" s="171">
        <f>IF(W100="","",SUBTOTAL(2,$W$11:W100))</f>
        <v>90</v>
      </c>
      <c r="B100" s="198" t="str">
        <f t="shared" si="6"/>
        <v>00</v>
      </c>
      <c r="C100" s="180" t="str">
        <f t="shared" si="7"/>
        <v/>
      </c>
      <c r="D100" s="180" t="str">
        <f t="shared" si="9"/>
        <v/>
      </c>
      <c r="E100" s="180" t="str">
        <f t="shared" si="9"/>
        <v/>
      </c>
      <c r="F100" s="181" t="str">
        <f t="shared" si="8"/>
        <v/>
      </c>
      <c r="G100" s="198" t="s">
        <v>485</v>
      </c>
      <c r="H100" s="198" t="s">
        <v>484</v>
      </c>
      <c r="I100" s="182">
        <f>IF(X100="","",X100*데이터입력!$Y$8)</f>
        <v>0</v>
      </c>
      <c r="J100" s="182">
        <f>R100*데이터입력!$Y$8</f>
        <v>0</v>
      </c>
      <c r="K100" s="182">
        <f>T100*데이터입력!$Y$8</f>
        <v>0</v>
      </c>
      <c r="L100" s="199">
        <f>IFERROR(U100*데이터입력!$Y$8,"")</f>
        <v>0</v>
      </c>
      <c r="M100" s="199">
        <f>IFERROR(V100*데이터입력!$Y$8,"")</f>
        <v>0</v>
      </c>
      <c r="N100" s="594"/>
      <c r="O100" s="184" t="str">
        <f>IF(데이터입력!AP102="","",데이터입력!AP102)</f>
        <v/>
      </c>
      <c r="P100" s="185" t="str">
        <f>IF(데이터입력!AQ102="","",데이터입력!AQ102)</f>
        <v/>
      </c>
      <c r="Q100" s="186">
        <f>IF(데이터입력!AR102="",0,데이터입력!AR102)</f>
        <v>0</v>
      </c>
      <c r="R100" s="187">
        <f>IF(데이터입력!AS102="",0,데이터입력!AS102)</f>
        <v>0</v>
      </c>
      <c r="S100" s="1260">
        <f>IF(데이터입력!AT102="",0,데이터입력!AT102)</f>
        <v>0</v>
      </c>
      <c r="T100" s="187">
        <f>IF(데이터입력!AU102="",0,데이터입력!AU102)</f>
        <v>0</v>
      </c>
      <c r="U100" s="186">
        <f>IF(데이터입력!AV102="",0,데이터입력!AV102)</f>
        <v>0</v>
      </c>
      <c r="V100" s="187">
        <f>IF(데이터입력!AW102="",0,데이터입력!AW102)</f>
        <v>0</v>
      </c>
      <c r="W100" s="1261">
        <f>IF(데이터입력!AX102="",0,데이터입력!AX102)</f>
        <v>0</v>
      </c>
      <c r="X100" s="931">
        <f>IF(데이터입력!AY102="",0,데이터입력!AY102)</f>
        <v>0</v>
      </c>
      <c r="Y100" s="931">
        <f>IF(데이터입력!AZ102="",0,데이터입력!AZ102)</f>
        <v>0</v>
      </c>
      <c r="Z100" s="599">
        <f>IF(데이터입력!BA102="",0,데이터입력!BA102)</f>
        <v>0</v>
      </c>
      <c r="AA100" s="935">
        <f>IF(데이터입력!BB102="",0,데이터입력!BB102)</f>
        <v>0</v>
      </c>
    </row>
    <row r="101" spans="1:27" hidden="1">
      <c r="A101" s="171">
        <f>IF(W101="","",SUBTOTAL(2,$W$11:W101))</f>
        <v>91</v>
      </c>
      <c r="B101" s="200" t="str">
        <f t="shared" si="6"/>
        <v>00</v>
      </c>
      <c r="C101" s="173" t="str">
        <f t="shared" si="7"/>
        <v/>
      </c>
      <c r="D101" s="201" t="str">
        <f t="shared" si="9"/>
        <v/>
      </c>
      <c r="E101" s="201" t="str">
        <f t="shared" si="9"/>
        <v/>
      </c>
      <c r="F101" s="174" t="str">
        <f t="shared" si="8"/>
        <v/>
      </c>
      <c r="G101" s="200" t="s">
        <v>485</v>
      </c>
      <c r="H101" s="200" t="s">
        <v>484</v>
      </c>
      <c r="I101" s="175">
        <f>IF(X101="","",X101*데이터입력!$Y$8)</f>
        <v>0</v>
      </c>
      <c r="J101" s="202">
        <f>R101*데이터입력!$Y$8</f>
        <v>0</v>
      </c>
      <c r="K101" s="202">
        <f>T101*데이터입력!$Y$8</f>
        <v>0</v>
      </c>
      <c r="L101" s="203">
        <f>IFERROR(U101*데이터입력!$Y$8,"")</f>
        <v>0</v>
      </c>
      <c r="M101" s="175">
        <f>IFERROR(V101*데이터입력!$Y$8,"")</f>
        <v>0</v>
      </c>
      <c r="N101" s="594"/>
      <c r="O101" s="184" t="str">
        <f>IF(데이터입력!AP103="","",데이터입력!AP103)</f>
        <v/>
      </c>
      <c r="P101" s="185" t="str">
        <f>IF(데이터입력!AQ103="","",데이터입력!AQ103)</f>
        <v/>
      </c>
      <c r="Q101" s="186">
        <f>IF(데이터입력!AR103="",0,데이터입력!AR103)</f>
        <v>0</v>
      </c>
      <c r="R101" s="187">
        <f>IF(데이터입력!AS103="",0,데이터입력!AS103)</f>
        <v>0</v>
      </c>
      <c r="S101" s="1260">
        <f>IF(데이터입력!AT103="",0,데이터입력!AT103)</f>
        <v>0</v>
      </c>
      <c r="T101" s="187">
        <f>IF(데이터입력!AU103="",0,데이터입력!AU103)</f>
        <v>0</v>
      </c>
      <c r="U101" s="186">
        <f>IF(데이터입력!AV103="",0,데이터입력!AV103)</f>
        <v>0</v>
      </c>
      <c r="V101" s="187">
        <f>IF(데이터입력!AW103="",0,데이터입력!AW103)</f>
        <v>0</v>
      </c>
      <c r="W101" s="1261">
        <f>IF(데이터입력!AX103="",0,데이터입력!AX103)</f>
        <v>0</v>
      </c>
      <c r="X101" s="931">
        <f>IF(데이터입력!AY103="",0,데이터입력!AY103)</f>
        <v>0</v>
      </c>
      <c r="Y101" s="931">
        <f>IF(데이터입력!AZ103="",0,데이터입력!AZ103)</f>
        <v>0</v>
      </c>
      <c r="Z101" s="599">
        <f>IF(데이터입력!BA103="",0,데이터입력!BA103)</f>
        <v>0</v>
      </c>
      <c r="AA101" s="935">
        <f>IF(데이터입력!BB103="",0,데이터입력!BB103)</f>
        <v>0</v>
      </c>
    </row>
    <row r="102" spans="1:27" hidden="1">
      <c r="A102" s="171">
        <f>IF(W102="","",SUBTOTAL(2,$W$11:W102))</f>
        <v>92</v>
      </c>
      <c r="B102" s="198" t="str">
        <f t="shared" si="6"/>
        <v>00</v>
      </c>
      <c r="C102" s="180" t="str">
        <f t="shared" si="7"/>
        <v/>
      </c>
      <c r="D102" s="180" t="str">
        <f t="shared" si="9"/>
        <v/>
      </c>
      <c r="E102" s="180" t="str">
        <f t="shared" si="9"/>
        <v/>
      </c>
      <c r="F102" s="181" t="str">
        <f t="shared" si="8"/>
        <v/>
      </c>
      <c r="G102" s="198" t="s">
        <v>485</v>
      </c>
      <c r="H102" s="198" t="s">
        <v>484</v>
      </c>
      <c r="I102" s="182">
        <f>IF(X102="","",X102*데이터입력!$Y$8)</f>
        <v>0</v>
      </c>
      <c r="J102" s="182">
        <f>R102*데이터입력!$Y$8</f>
        <v>0</v>
      </c>
      <c r="K102" s="182">
        <f>T102*데이터입력!$Y$8</f>
        <v>0</v>
      </c>
      <c r="L102" s="199">
        <f>IFERROR(U102*데이터입력!$Y$8,"")</f>
        <v>0</v>
      </c>
      <c r="M102" s="199">
        <f>IFERROR(V102*데이터입력!$Y$8,"")</f>
        <v>0</v>
      </c>
      <c r="N102" s="594"/>
      <c r="O102" s="184" t="str">
        <f>IF(데이터입력!AP104="","",데이터입력!AP104)</f>
        <v/>
      </c>
      <c r="P102" s="185" t="str">
        <f>IF(데이터입력!AQ104="","",데이터입력!AQ104)</f>
        <v/>
      </c>
      <c r="Q102" s="186">
        <f>IF(데이터입력!AR104="",0,데이터입력!AR104)</f>
        <v>0</v>
      </c>
      <c r="R102" s="187">
        <f>IF(데이터입력!AS104="",0,데이터입력!AS104)</f>
        <v>0</v>
      </c>
      <c r="S102" s="1260">
        <f>IF(데이터입력!AT104="",0,데이터입력!AT104)</f>
        <v>0</v>
      </c>
      <c r="T102" s="187">
        <f>IF(데이터입력!AU104="",0,데이터입력!AU104)</f>
        <v>0</v>
      </c>
      <c r="U102" s="186">
        <f>IF(데이터입력!AV104="",0,데이터입력!AV104)</f>
        <v>0</v>
      </c>
      <c r="V102" s="187">
        <f>IF(데이터입력!AW104="",0,데이터입력!AW104)</f>
        <v>0</v>
      </c>
      <c r="W102" s="1261">
        <f>IF(데이터입력!AX104="",0,데이터입력!AX104)</f>
        <v>0</v>
      </c>
      <c r="X102" s="931">
        <f>IF(데이터입력!AY104="",0,데이터입력!AY104)</f>
        <v>0</v>
      </c>
      <c r="Y102" s="931">
        <f>IF(데이터입력!AZ104="",0,데이터입력!AZ104)</f>
        <v>0</v>
      </c>
      <c r="Z102" s="599">
        <f>IF(데이터입력!BA104="",0,데이터입력!BA104)</f>
        <v>0</v>
      </c>
      <c r="AA102" s="935">
        <f>IF(데이터입력!BB104="",0,데이터입력!BB104)</f>
        <v>0</v>
      </c>
    </row>
    <row r="103" spans="1:27" hidden="1">
      <c r="A103" s="171">
        <f>IF(W103="","",SUBTOTAL(2,$W$11:W103))</f>
        <v>93</v>
      </c>
      <c r="B103" s="200" t="str">
        <f t="shared" si="6"/>
        <v>00</v>
      </c>
      <c r="C103" s="173" t="str">
        <f t="shared" si="7"/>
        <v/>
      </c>
      <c r="D103" s="201" t="str">
        <f t="shared" si="9"/>
        <v/>
      </c>
      <c r="E103" s="201" t="str">
        <f t="shared" si="9"/>
        <v/>
      </c>
      <c r="F103" s="174" t="str">
        <f t="shared" si="8"/>
        <v/>
      </c>
      <c r="G103" s="200" t="s">
        <v>485</v>
      </c>
      <c r="H103" s="200" t="s">
        <v>484</v>
      </c>
      <c r="I103" s="175">
        <f>IF(X103="","",X103*데이터입력!$Y$8)</f>
        <v>0</v>
      </c>
      <c r="J103" s="202">
        <f>R103*데이터입력!$Y$8</f>
        <v>0</v>
      </c>
      <c r="K103" s="202">
        <f>T103*데이터입력!$Y$8</f>
        <v>0</v>
      </c>
      <c r="L103" s="203">
        <f>IFERROR(U103*데이터입력!$Y$8,"")</f>
        <v>0</v>
      </c>
      <c r="M103" s="175">
        <f>IFERROR(V103*데이터입력!$Y$8,"")</f>
        <v>0</v>
      </c>
      <c r="N103" s="594"/>
      <c r="O103" s="184" t="str">
        <f>IF(데이터입력!AP105="","",데이터입력!AP105)</f>
        <v/>
      </c>
      <c r="P103" s="185" t="str">
        <f>IF(데이터입력!AQ105="","",데이터입력!AQ105)</f>
        <v/>
      </c>
      <c r="Q103" s="186">
        <f>IF(데이터입력!AR105="",0,데이터입력!AR105)</f>
        <v>0</v>
      </c>
      <c r="R103" s="187">
        <f>IF(데이터입력!AS105="",0,데이터입력!AS105)</f>
        <v>0</v>
      </c>
      <c r="S103" s="1260">
        <f>IF(데이터입력!AT105="",0,데이터입력!AT105)</f>
        <v>0</v>
      </c>
      <c r="T103" s="187">
        <f>IF(데이터입력!AU105="",0,데이터입력!AU105)</f>
        <v>0</v>
      </c>
      <c r="U103" s="186">
        <f>IF(데이터입력!AV105="",0,데이터입력!AV105)</f>
        <v>0</v>
      </c>
      <c r="V103" s="187">
        <f>IF(데이터입력!AW105="",0,데이터입력!AW105)</f>
        <v>0</v>
      </c>
      <c r="W103" s="1261">
        <f>IF(데이터입력!AX105="",0,데이터입력!AX105)</f>
        <v>0</v>
      </c>
      <c r="X103" s="931">
        <f>IF(데이터입력!AY105="",0,데이터입력!AY105)</f>
        <v>0</v>
      </c>
      <c r="Y103" s="931">
        <f>IF(데이터입력!AZ105="",0,데이터입력!AZ105)</f>
        <v>0</v>
      </c>
      <c r="Z103" s="599">
        <f>IF(데이터입력!BA105="",0,데이터입력!BA105)</f>
        <v>0</v>
      </c>
      <c r="AA103" s="935">
        <f>IF(데이터입력!BB105="",0,데이터입력!BB105)</f>
        <v>0</v>
      </c>
    </row>
    <row r="104" spans="1:27" hidden="1">
      <c r="A104" s="171">
        <f>IF(W104="","",SUBTOTAL(2,$W$11:W104))</f>
        <v>94</v>
      </c>
      <c r="B104" s="198" t="str">
        <f t="shared" si="6"/>
        <v>00</v>
      </c>
      <c r="C104" s="180" t="str">
        <f t="shared" si="7"/>
        <v/>
      </c>
      <c r="D104" s="180" t="str">
        <f t="shared" si="9"/>
        <v/>
      </c>
      <c r="E104" s="180" t="str">
        <f t="shared" si="9"/>
        <v/>
      </c>
      <c r="F104" s="181" t="str">
        <f t="shared" si="8"/>
        <v/>
      </c>
      <c r="G104" s="198" t="s">
        <v>485</v>
      </c>
      <c r="H104" s="198" t="s">
        <v>484</v>
      </c>
      <c r="I104" s="182">
        <f>IF(X104="","",X104*데이터입력!$Y$8)</f>
        <v>0</v>
      </c>
      <c r="J104" s="182">
        <f>R104*데이터입력!$Y$8</f>
        <v>0</v>
      </c>
      <c r="K104" s="182">
        <f>T104*데이터입력!$Y$8</f>
        <v>0</v>
      </c>
      <c r="L104" s="199">
        <f>IFERROR(U104*데이터입력!$Y$8,"")</f>
        <v>0</v>
      </c>
      <c r="M104" s="199">
        <f>IFERROR(V104*데이터입력!$Y$8,"")</f>
        <v>0</v>
      </c>
      <c r="N104" s="594"/>
      <c r="O104" s="184" t="str">
        <f>IF(데이터입력!AP106="","",데이터입력!AP106)</f>
        <v/>
      </c>
      <c r="P104" s="185" t="str">
        <f>IF(데이터입력!AQ106="","",데이터입력!AQ106)</f>
        <v/>
      </c>
      <c r="Q104" s="186">
        <f>IF(데이터입력!AR106="",0,데이터입력!AR106)</f>
        <v>0</v>
      </c>
      <c r="R104" s="187">
        <f>IF(데이터입력!AS106="",0,데이터입력!AS106)</f>
        <v>0</v>
      </c>
      <c r="S104" s="1260">
        <f>IF(데이터입력!AT106="",0,데이터입력!AT106)</f>
        <v>0</v>
      </c>
      <c r="T104" s="187">
        <f>IF(데이터입력!AU106="",0,데이터입력!AU106)</f>
        <v>0</v>
      </c>
      <c r="U104" s="186">
        <f>IF(데이터입력!AV106="",0,데이터입력!AV106)</f>
        <v>0</v>
      </c>
      <c r="V104" s="187">
        <f>IF(데이터입력!AW106="",0,데이터입력!AW106)</f>
        <v>0</v>
      </c>
      <c r="W104" s="1261">
        <f>IF(데이터입력!AX106="",0,데이터입력!AX106)</f>
        <v>0</v>
      </c>
      <c r="X104" s="931">
        <f>IF(데이터입력!AY106="",0,데이터입력!AY106)</f>
        <v>0</v>
      </c>
      <c r="Y104" s="931">
        <f>IF(데이터입력!AZ106="",0,데이터입력!AZ106)</f>
        <v>0</v>
      </c>
      <c r="Z104" s="599">
        <f>IF(데이터입력!BA106="",0,데이터입력!BA106)</f>
        <v>0</v>
      </c>
      <c r="AA104" s="935">
        <f>IF(데이터입력!BB106="",0,데이터입력!BB106)</f>
        <v>0</v>
      </c>
    </row>
    <row r="105" spans="1:27" hidden="1">
      <c r="A105" s="171">
        <f>IF(W105="","",SUBTOTAL(2,$W$11:W105))</f>
        <v>95</v>
      </c>
      <c r="B105" s="200" t="str">
        <f t="shared" si="6"/>
        <v>00</v>
      </c>
      <c r="C105" s="173" t="str">
        <f t="shared" si="7"/>
        <v/>
      </c>
      <c r="D105" s="201" t="str">
        <f t="shared" si="9"/>
        <v/>
      </c>
      <c r="E105" s="201" t="str">
        <f t="shared" si="9"/>
        <v/>
      </c>
      <c r="F105" s="174" t="str">
        <f t="shared" si="8"/>
        <v/>
      </c>
      <c r="G105" s="200" t="s">
        <v>485</v>
      </c>
      <c r="H105" s="200" t="s">
        <v>484</v>
      </c>
      <c r="I105" s="175">
        <f>IF(X105="","",X105*데이터입력!$Y$8)</f>
        <v>0</v>
      </c>
      <c r="J105" s="202">
        <f>R105*데이터입력!$Y$8</f>
        <v>0</v>
      </c>
      <c r="K105" s="202">
        <f>T105*데이터입력!$Y$8</f>
        <v>0</v>
      </c>
      <c r="L105" s="203">
        <f>IFERROR(U105*데이터입력!$Y$8,"")</f>
        <v>0</v>
      </c>
      <c r="M105" s="175">
        <f>IFERROR(V105*데이터입력!$Y$8,"")</f>
        <v>0</v>
      </c>
      <c r="N105" s="594"/>
      <c r="O105" s="184" t="str">
        <f>IF(데이터입력!AP107="","",데이터입력!AP107)</f>
        <v/>
      </c>
      <c r="P105" s="185" t="str">
        <f>IF(데이터입력!AQ107="","",데이터입력!AQ107)</f>
        <v/>
      </c>
      <c r="Q105" s="186">
        <f>IF(데이터입력!AR107="",0,데이터입력!AR107)</f>
        <v>0</v>
      </c>
      <c r="R105" s="187">
        <f>IF(데이터입력!AS107="",0,데이터입력!AS107)</f>
        <v>0</v>
      </c>
      <c r="S105" s="1260">
        <f>IF(데이터입력!AT107="",0,데이터입력!AT107)</f>
        <v>0</v>
      </c>
      <c r="T105" s="187">
        <f>IF(데이터입력!AU107="",0,데이터입력!AU107)</f>
        <v>0</v>
      </c>
      <c r="U105" s="186">
        <f>IF(데이터입력!AV107="",0,데이터입력!AV107)</f>
        <v>0</v>
      </c>
      <c r="V105" s="187">
        <f>IF(데이터입력!AW107="",0,데이터입력!AW107)</f>
        <v>0</v>
      </c>
      <c r="W105" s="1261">
        <f>IF(데이터입력!AX107="",0,데이터입력!AX107)</f>
        <v>0</v>
      </c>
      <c r="X105" s="931">
        <f>IF(데이터입력!AY107="",0,데이터입력!AY107)</f>
        <v>0</v>
      </c>
      <c r="Y105" s="931">
        <f>IF(데이터입력!AZ107="",0,데이터입력!AZ107)</f>
        <v>0</v>
      </c>
      <c r="Z105" s="599">
        <f>IF(데이터입력!BA107="",0,데이터입력!BA107)</f>
        <v>0</v>
      </c>
      <c r="AA105" s="935">
        <f>IF(데이터입력!BB107="",0,데이터입력!BB107)</f>
        <v>0</v>
      </c>
    </row>
    <row r="106" spans="1:27" hidden="1">
      <c r="A106" s="171">
        <f>IF(W106="","",SUBTOTAL(2,$W$11:W106))</f>
        <v>96</v>
      </c>
      <c r="B106" s="198" t="str">
        <f t="shared" si="6"/>
        <v>00</v>
      </c>
      <c r="C106" s="180" t="str">
        <f t="shared" si="7"/>
        <v/>
      </c>
      <c r="D106" s="180" t="str">
        <f t="shared" si="9"/>
        <v/>
      </c>
      <c r="E106" s="180" t="str">
        <f t="shared" si="9"/>
        <v/>
      </c>
      <c r="F106" s="181" t="str">
        <f t="shared" si="8"/>
        <v/>
      </c>
      <c r="G106" s="198" t="s">
        <v>485</v>
      </c>
      <c r="H106" s="198" t="s">
        <v>484</v>
      </c>
      <c r="I106" s="182">
        <f>IF(X106="","",X106*데이터입력!$Y$8)</f>
        <v>0</v>
      </c>
      <c r="J106" s="182">
        <f>R106*데이터입력!$Y$8</f>
        <v>0</v>
      </c>
      <c r="K106" s="182">
        <f>T106*데이터입력!$Y$8</f>
        <v>0</v>
      </c>
      <c r="L106" s="199">
        <f>IFERROR(U106*데이터입력!$Y$8,"")</f>
        <v>0</v>
      </c>
      <c r="M106" s="199">
        <f>IFERROR(V106*데이터입력!$Y$8,"")</f>
        <v>0</v>
      </c>
      <c r="N106" s="594"/>
      <c r="O106" s="184" t="str">
        <f>IF(데이터입력!AP108="","",데이터입력!AP108)</f>
        <v/>
      </c>
      <c r="P106" s="185" t="str">
        <f>IF(데이터입력!AQ108="","",데이터입력!AQ108)</f>
        <v/>
      </c>
      <c r="Q106" s="186">
        <f>IF(데이터입력!AR108="",0,데이터입력!AR108)</f>
        <v>0</v>
      </c>
      <c r="R106" s="187">
        <f>IF(데이터입력!AS108="",0,데이터입력!AS108)</f>
        <v>0</v>
      </c>
      <c r="S106" s="1260">
        <f>IF(데이터입력!AT108="",0,데이터입력!AT108)</f>
        <v>0</v>
      </c>
      <c r="T106" s="187">
        <f>IF(데이터입력!AU108="",0,데이터입력!AU108)</f>
        <v>0</v>
      </c>
      <c r="U106" s="186">
        <f>IF(데이터입력!AV108="",0,데이터입력!AV108)</f>
        <v>0</v>
      </c>
      <c r="V106" s="187">
        <f>IF(데이터입력!AW108="",0,데이터입력!AW108)</f>
        <v>0</v>
      </c>
      <c r="W106" s="1261">
        <f>IF(데이터입력!AX108="",0,데이터입력!AX108)</f>
        <v>0</v>
      </c>
      <c r="X106" s="931">
        <f>IF(데이터입력!AY108="",0,데이터입력!AY108)</f>
        <v>0</v>
      </c>
      <c r="Y106" s="931">
        <f>IF(데이터입력!AZ108="",0,데이터입력!AZ108)</f>
        <v>0</v>
      </c>
      <c r="Z106" s="599">
        <f>IF(데이터입력!BA108="",0,데이터입력!BA108)</f>
        <v>0</v>
      </c>
      <c r="AA106" s="935">
        <f>IF(데이터입력!BB108="",0,데이터입력!BB108)</f>
        <v>0</v>
      </c>
    </row>
    <row r="107" spans="1:27" hidden="1">
      <c r="A107" s="171">
        <f>IF(W107="","",SUBTOTAL(2,$W$11:W107))</f>
        <v>97</v>
      </c>
      <c r="B107" s="200" t="str">
        <f t="shared" si="6"/>
        <v>00</v>
      </c>
      <c r="C107" s="173" t="str">
        <f t="shared" si="7"/>
        <v/>
      </c>
      <c r="D107" s="201" t="str">
        <f t="shared" si="9"/>
        <v/>
      </c>
      <c r="E107" s="201" t="str">
        <f t="shared" si="9"/>
        <v/>
      </c>
      <c r="F107" s="174" t="str">
        <f t="shared" si="8"/>
        <v/>
      </c>
      <c r="G107" s="200" t="s">
        <v>485</v>
      </c>
      <c r="H107" s="200" t="s">
        <v>484</v>
      </c>
      <c r="I107" s="175">
        <f>IF(X107="","",X107*데이터입력!$Y$8)</f>
        <v>0</v>
      </c>
      <c r="J107" s="202">
        <f>R107*데이터입력!$Y$8</f>
        <v>0</v>
      </c>
      <c r="K107" s="202">
        <f>T107*데이터입력!$Y$8</f>
        <v>0</v>
      </c>
      <c r="L107" s="203">
        <f>IFERROR(U107*데이터입력!$Y$8,"")</f>
        <v>0</v>
      </c>
      <c r="M107" s="175">
        <f>IFERROR(V107*데이터입력!$Y$8,"")</f>
        <v>0</v>
      </c>
      <c r="N107" s="594"/>
      <c r="O107" s="184" t="str">
        <f>IF(데이터입력!AP109="","",데이터입력!AP109)</f>
        <v/>
      </c>
      <c r="P107" s="185" t="str">
        <f>IF(데이터입력!AQ109="","",데이터입력!AQ109)</f>
        <v/>
      </c>
      <c r="Q107" s="186">
        <f>IF(데이터입력!AR109="",0,데이터입력!AR109)</f>
        <v>0</v>
      </c>
      <c r="R107" s="187">
        <f>IF(데이터입력!AS109="",0,데이터입력!AS109)</f>
        <v>0</v>
      </c>
      <c r="S107" s="1260">
        <f>IF(데이터입력!AT109="",0,데이터입력!AT109)</f>
        <v>0</v>
      </c>
      <c r="T107" s="187">
        <f>IF(데이터입력!AU109="",0,데이터입력!AU109)</f>
        <v>0</v>
      </c>
      <c r="U107" s="186">
        <f>IF(데이터입력!AV109="",0,데이터입력!AV109)</f>
        <v>0</v>
      </c>
      <c r="V107" s="187">
        <f>IF(데이터입력!AW109="",0,데이터입력!AW109)</f>
        <v>0</v>
      </c>
      <c r="W107" s="1261">
        <f>IF(데이터입력!AX109="",0,데이터입력!AX109)</f>
        <v>0</v>
      </c>
      <c r="X107" s="931">
        <f>IF(데이터입력!AY109="",0,데이터입력!AY109)</f>
        <v>0</v>
      </c>
      <c r="Y107" s="931">
        <f>IF(데이터입력!AZ109="",0,데이터입력!AZ109)</f>
        <v>0</v>
      </c>
      <c r="Z107" s="599">
        <f>IF(데이터입력!BA109="",0,데이터입력!BA109)</f>
        <v>0</v>
      </c>
      <c r="AA107" s="935">
        <f>IF(데이터입력!BB109="",0,데이터입력!BB109)</f>
        <v>0</v>
      </c>
    </row>
    <row r="108" spans="1:27" hidden="1">
      <c r="A108" s="171">
        <f>IF(W108="","",SUBTOTAL(2,$W$11:W108))</f>
        <v>98</v>
      </c>
      <c r="B108" s="198" t="str">
        <f t="shared" si="6"/>
        <v>00</v>
      </c>
      <c r="C108" s="180" t="str">
        <f t="shared" si="7"/>
        <v/>
      </c>
      <c r="D108" s="180" t="str">
        <f t="shared" si="9"/>
        <v/>
      </c>
      <c r="E108" s="180" t="str">
        <f t="shared" si="9"/>
        <v/>
      </c>
      <c r="F108" s="181" t="str">
        <f t="shared" si="8"/>
        <v/>
      </c>
      <c r="G108" s="198" t="s">
        <v>485</v>
      </c>
      <c r="H108" s="198" t="s">
        <v>484</v>
      </c>
      <c r="I108" s="182">
        <f>IF(X108="","",X108*데이터입력!$Y$8)</f>
        <v>0</v>
      </c>
      <c r="J108" s="182">
        <f>R108*데이터입력!$Y$8</f>
        <v>0</v>
      </c>
      <c r="K108" s="182">
        <f>T108*데이터입력!$Y$8</f>
        <v>0</v>
      </c>
      <c r="L108" s="199">
        <f>IFERROR(U108*데이터입력!$Y$8,"")</f>
        <v>0</v>
      </c>
      <c r="M108" s="199">
        <f>IFERROR(V108*데이터입력!$Y$8,"")</f>
        <v>0</v>
      </c>
      <c r="N108" s="594"/>
      <c r="O108" s="184" t="str">
        <f>IF(데이터입력!AP110="","",데이터입력!AP110)</f>
        <v/>
      </c>
      <c r="P108" s="185" t="str">
        <f>IF(데이터입력!AQ110="","",데이터입력!AQ110)</f>
        <v/>
      </c>
      <c r="Q108" s="186">
        <f>IF(데이터입력!AR110="",0,데이터입력!AR110)</f>
        <v>0</v>
      </c>
      <c r="R108" s="187">
        <f>IF(데이터입력!AS110="",0,데이터입력!AS110)</f>
        <v>0</v>
      </c>
      <c r="S108" s="1260">
        <f>IF(데이터입력!AT110="",0,데이터입력!AT110)</f>
        <v>0</v>
      </c>
      <c r="T108" s="187">
        <f>IF(데이터입력!AU110="",0,데이터입력!AU110)</f>
        <v>0</v>
      </c>
      <c r="U108" s="186">
        <f>IF(데이터입력!AV110="",0,데이터입력!AV110)</f>
        <v>0</v>
      </c>
      <c r="V108" s="187">
        <f>IF(데이터입력!AW110="",0,데이터입력!AW110)</f>
        <v>0</v>
      </c>
      <c r="W108" s="1261">
        <f>IF(데이터입력!AX110="",0,데이터입력!AX110)</f>
        <v>0</v>
      </c>
      <c r="X108" s="931">
        <f>IF(데이터입력!AY110="",0,데이터입력!AY110)</f>
        <v>0</v>
      </c>
      <c r="Y108" s="931">
        <f>IF(데이터입력!AZ110="",0,데이터입력!AZ110)</f>
        <v>0</v>
      </c>
      <c r="Z108" s="599">
        <f>IF(데이터입력!BA110="",0,데이터입력!BA110)</f>
        <v>0</v>
      </c>
      <c r="AA108" s="935">
        <f>IF(데이터입력!BB110="",0,데이터입력!BB110)</f>
        <v>0</v>
      </c>
    </row>
    <row r="109" spans="1:27" hidden="1">
      <c r="A109" s="171">
        <f>IF(W109="","",SUBTOTAL(2,$W$11:W109))</f>
        <v>99</v>
      </c>
      <c r="B109" s="200" t="str">
        <f t="shared" si="6"/>
        <v>00</v>
      </c>
      <c r="C109" s="173" t="str">
        <f t="shared" si="7"/>
        <v/>
      </c>
      <c r="D109" s="201" t="str">
        <f t="shared" si="9"/>
        <v/>
      </c>
      <c r="E109" s="201" t="str">
        <f t="shared" si="9"/>
        <v/>
      </c>
      <c r="F109" s="174" t="str">
        <f t="shared" si="8"/>
        <v/>
      </c>
      <c r="G109" s="200" t="s">
        <v>485</v>
      </c>
      <c r="H109" s="200" t="s">
        <v>484</v>
      </c>
      <c r="I109" s="175">
        <f>IF(X109="","",X109*데이터입력!$Y$8)</f>
        <v>0</v>
      </c>
      <c r="J109" s="202">
        <f>R109*데이터입력!$Y$8</f>
        <v>0</v>
      </c>
      <c r="K109" s="202">
        <f>T109*데이터입력!$Y$8</f>
        <v>0</v>
      </c>
      <c r="L109" s="203">
        <f>IFERROR(U109*데이터입력!$Y$8,"")</f>
        <v>0</v>
      </c>
      <c r="M109" s="175">
        <f>IFERROR(V109*데이터입력!$Y$8,"")</f>
        <v>0</v>
      </c>
      <c r="N109" s="594"/>
      <c r="O109" s="184" t="str">
        <f>IF(데이터입력!AP111="","",데이터입력!AP111)</f>
        <v/>
      </c>
      <c r="P109" s="185" t="str">
        <f>IF(데이터입력!AQ111="","",데이터입력!AQ111)</f>
        <v/>
      </c>
      <c r="Q109" s="186">
        <f>IF(데이터입력!AR111="",0,데이터입력!AR111)</f>
        <v>0</v>
      </c>
      <c r="R109" s="187">
        <f>IF(데이터입력!AS111="",0,데이터입력!AS111)</f>
        <v>0</v>
      </c>
      <c r="S109" s="1260">
        <f>IF(데이터입력!AT111="",0,데이터입력!AT111)</f>
        <v>0</v>
      </c>
      <c r="T109" s="187">
        <f>IF(데이터입력!AU111="",0,데이터입력!AU111)</f>
        <v>0</v>
      </c>
      <c r="U109" s="186">
        <f>IF(데이터입력!AV111="",0,데이터입력!AV111)</f>
        <v>0</v>
      </c>
      <c r="V109" s="187">
        <f>IF(데이터입력!AW111="",0,데이터입력!AW111)</f>
        <v>0</v>
      </c>
      <c r="W109" s="1261">
        <f>IF(데이터입력!AX111="",0,데이터입력!AX111)</f>
        <v>0</v>
      </c>
      <c r="X109" s="931">
        <f>IF(데이터입력!AY111="",0,데이터입력!AY111)</f>
        <v>0</v>
      </c>
      <c r="Y109" s="931">
        <f>IF(데이터입력!AZ111="",0,데이터입력!AZ111)</f>
        <v>0</v>
      </c>
      <c r="Z109" s="599">
        <f>IF(데이터입력!BA111="",0,데이터입력!BA111)</f>
        <v>0</v>
      </c>
      <c r="AA109" s="935">
        <f>IF(데이터입력!BB111="",0,데이터입력!BB111)</f>
        <v>0</v>
      </c>
    </row>
    <row r="110" spans="1:27" hidden="1">
      <c r="A110" s="171">
        <f>IF(W110="","",SUBTOTAL(2,$W$11:W110))</f>
        <v>100</v>
      </c>
      <c r="B110" s="198" t="str">
        <f t="shared" si="6"/>
        <v>00</v>
      </c>
      <c r="C110" s="180" t="str">
        <f t="shared" si="7"/>
        <v/>
      </c>
      <c r="D110" s="180" t="str">
        <f t="shared" si="9"/>
        <v/>
      </c>
      <c r="E110" s="180" t="str">
        <f t="shared" si="9"/>
        <v/>
      </c>
      <c r="F110" s="181" t="str">
        <f t="shared" si="8"/>
        <v/>
      </c>
      <c r="G110" s="198" t="s">
        <v>485</v>
      </c>
      <c r="H110" s="198" t="s">
        <v>484</v>
      </c>
      <c r="I110" s="182">
        <f>IF(X110="","",X110*데이터입력!$Y$8)</f>
        <v>0</v>
      </c>
      <c r="J110" s="182">
        <f>R110*데이터입력!$Y$8</f>
        <v>0</v>
      </c>
      <c r="K110" s="182">
        <f>T110*데이터입력!$Y$8</f>
        <v>0</v>
      </c>
      <c r="L110" s="199">
        <f>IFERROR(U110*데이터입력!$Y$8,"")</f>
        <v>0</v>
      </c>
      <c r="M110" s="199">
        <f>IFERROR(V110*데이터입력!$Y$8,"")</f>
        <v>0</v>
      </c>
      <c r="N110" s="594"/>
      <c r="O110" s="184" t="str">
        <f>IF(데이터입력!AP112="","",데이터입력!AP112)</f>
        <v/>
      </c>
      <c r="P110" s="185" t="str">
        <f>IF(데이터입력!AQ112="","",데이터입력!AQ112)</f>
        <v/>
      </c>
      <c r="Q110" s="186">
        <f>IF(데이터입력!AR112="",0,데이터입력!AR112)</f>
        <v>0</v>
      </c>
      <c r="R110" s="187">
        <f>IF(데이터입력!AS112="",0,데이터입력!AS112)</f>
        <v>0</v>
      </c>
      <c r="S110" s="1260">
        <f>IF(데이터입력!AT112="",0,데이터입력!AT112)</f>
        <v>0</v>
      </c>
      <c r="T110" s="187">
        <f>IF(데이터입력!AU112="",0,데이터입력!AU112)</f>
        <v>0</v>
      </c>
      <c r="U110" s="186">
        <f>IF(데이터입력!AV112="",0,데이터입력!AV112)</f>
        <v>0</v>
      </c>
      <c r="V110" s="187">
        <f>IF(데이터입력!AW112="",0,데이터입력!AW112)</f>
        <v>0</v>
      </c>
      <c r="W110" s="1261">
        <f>IF(데이터입력!AX112="",0,데이터입력!AX112)</f>
        <v>0</v>
      </c>
      <c r="X110" s="931">
        <f>IF(데이터입력!AY112="",0,데이터입력!AY112)</f>
        <v>0</v>
      </c>
      <c r="Y110" s="931">
        <f>IF(데이터입력!AZ112="",0,데이터입력!AZ112)</f>
        <v>0</v>
      </c>
      <c r="Z110" s="599">
        <f>IF(데이터입력!BA112="",0,데이터입력!BA112)</f>
        <v>0</v>
      </c>
      <c r="AA110" s="935">
        <f>IF(데이터입력!BB112="",0,데이터입력!BB112)</f>
        <v>0</v>
      </c>
    </row>
    <row r="111" spans="1:27" hidden="1">
      <c r="A111" s="171">
        <f>IF(W111="","",SUBTOTAL(2,$W$11:W111))</f>
        <v>101</v>
      </c>
      <c r="B111" s="200" t="str">
        <f t="shared" si="6"/>
        <v>00</v>
      </c>
      <c r="C111" s="173" t="str">
        <f t="shared" si="7"/>
        <v/>
      </c>
      <c r="D111" s="201" t="str">
        <f t="shared" si="9"/>
        <v/>
      </c>
      <c r="E111" s="201" t="str">
        <f t="shared" si="9"/>
        <v/>
      </c>
      <c r="F111" s="174" t="str">
        <f t="shared" si="8"/>
        <v/>
      </c>
      <c r="G111" s="200" t="s">
        <v>485</v>
      </c>
      <c r="H111" s="200" t="s">
        <v>484</v>
      </c>
      <c r="I111" s="175">
        <f>IF(X111="","",X111*데이터입력!$Y$8)</f>
        <v>0</v>
      </c>
      <c r="J111" s="202">
        <f>R111*데이터입력!$Y$8</f>
        <v>0</v>
      </c>
      <c r="K111" s="202">
        <f>T111*데이터입력!$Y$8</f>
        <v>0</v>
      </c>
      <c r="L111" s="203">
        <f>IFERROR(U111*데이터입력!$Y$8,"")</f>
        <v>0</v>
      </c>
      <c r="M111" s="175">
        <f>IFERROR(V111*데이터입력!$Y$8,"")</f>
        <v>0</v>
      </c>
      <c r="N111" s="594"/>
      <c r="O111" s="184" t="str">
        <f>IF(데이터입력!AP113="","",데이터입력!AP113)</f>
        <v/>
      </c>
      <c r="P111" s="185" t="str">
        <f>IF(데이터입력!AQ113="","",데이터입력!AQ113)</f>
        <v/>
      </c>
      <c r="Q111" s="186">
        <f>IF(데이터입력!AR113="",0,데이터입력!AR113)</f>
        <v>0</v>
      </c>
      <c r="R111" s="187">
        <f>IF(데이터입력!AS113="",0,데이터입력!AS113)</f>
        <v>0</v>
      </c>
      <c r="S111" s="1260">
        <f>IF(데이터입력!AT113="",0,데이터입력!AT113)</f>
        <v>0</v>
      </c>
      <c r="T111" s="187">
        <f>IF(데이터입력!AU113="",0,데이터입력!AU113)</f>
        <v>0</v>
      </c>
      <c r="U111" s="186">
        <f>IF(데이터입력!AV113="",0,데이터입력!AV113)</f>
        <v>0</v>
      </c>
      <c r="V111" s="187">
        <f>IF(데이터입력!AW113="",0,데이터입력!AW113)</f>
        <v>0</v>
      </c>
      <c r="W111" s="1261">
        <f>IF(데이터입력!AX113="",0,데이터입력!AX113)</f>
        <v>0</v>
      </c>
      <c r="X111" s="931">
        <f>IF(데이터입력!AY113="",0,데이터입력!AY113)</f>
        <v>0</v>
      </c>
      <c r="Y111" s="931">
        <f>IF(데이터입력!AZ113="",0,데이터입력!AZ113)</f>
        <v>0</v>
      </c>
      <c r="Z111" s="599">
        <f>IF(데이터입력!BA113="",0,데이터입력!BA113)</f>
        <v>0</v>
      </c>
      <c r="AA111" s="935">
        <f>IF(데이터입력!BB113="",0,데이터입력!BB113)</f>
        <v>0</v>
      </c>
    </row>
    <row r="112" spans="1:27" hidden="1">
      <c r="A112" s="171">
        <f>IF(W112="","",SUBTOTAL(2,$W$11:W112))</f>
        <v>102</v>
      </c>
      <c r="B112" s="198" t="str">
        <f t="shared" si="6"/>
        <v>00</v>
      </c>
      <c r="C112" s="180" t="str">
        <f t="shared" si="7"/>
        <v/>
      </c>
      <c r="D112" s="180" t="str">
        <f t="shared" si="9"/>
        <v/>
      </c>
      <c r="E112" s="180" t="str">
        <f t="shared" si="9"/>
        <v/>
      </c>
      <c r="F112" s="181" t="str">
        <f t="shared" si="8"/>
        <v/>
      </c>
      <c r="G112" s="198" t="s">
        <v>485</v>
      </c>
      <c r="H112" s="198" t="s">
        <v>484</v>
      </c>
      <c r="I112" s="182">
        <f>IF(X112="","",X112*데이터입력!$Y$8)</f>
        <v>0</v>
      </c>
      <c r="J112" s="182">
        <f>R112*데이터입력!$Y$8</f>
        <v>0</v>
      </c>
      <c r="K112" s="182">
        <f>T112*데이터입력!$Y$8</f>
        <v>0</v>
      </c>
      <c r="L112" s="199">
        <f>IFERROR(U112*데이터입력!$Y$8,"")</f>
        <v>0</v>
      </c>
      <c r="M112" s="199">
        <f>IFERROR(V112*데이터입력!$Y$8,"")</f>
        <v>0</v>
      </c>
      <c r="N112" s="594"/>
      <c r="O112" s="184" t="str">
        <f>IF(데이터입력!AP114="","",데이터입력!AP114)</f>
        <v/>
      </c>
      <c r="P112" s="185" t="str">
        <f>IF(데이터입력!AQ114="","",데이터입력!AQ114)</f>
        <v/>
      </c>
      <c r="Q112" s="186">
        <f>IF(데이터입력!AR114="",0,데이터입력!AR114)</f>
        <v>0</v>
      </c>
      <c r="R112" s="187">
        <f>IF(데이터입력!AS114="",0,데이터입력!AS114)</f>
        <v>0</v>
      </c>
      <c r="S112" s="1260">
        <f>IF(데이터입력!AT114="",0,데이터입력!AT114)</f>
        <v>0</v>
      </c>
      <c r="T112" s="187">
        <f>IF(데이터입력!AU114="",0,데이터입력!AU114)</f>
        <v>0</v>
      </c>
      <c r="U112" s="186">
        <f>IF(데이터입력!AV114="",0,데이터입력!AV114)</f>
        <v>0</v>
      </c>
      <c r="V112" s="187">
        <f>IF(데이터입력!AW114="",0,데이터입력!AW114)</f>
        <v>0</v>
      </c>
      <c r="W112" s="1261">
        <f>IF(데이터입력!AX114="",0,데이터입력!AX114)</f>
        <v>0</v>
      </c>
      <c r="X112" s="931">
        <f>IF(데이터입력!AY114="",0,데이터입력!AY114)</f>
        <v>0</v>
      </c>
      <c r="Y112" s="931">
        <f>IF(데이터입력!AZ114="",0,데이터입력!AZ114)</f>
        <v>0</v>
      </c>
      <c r="Z112" s="599">
        <f>IF(데이터입력!BA114="",0,데이터입력!BA114)</f>
        <v>0</v>
      </c>
      <c r="AA112" s="935">
        <f>IF(데이터입력!BB114="",0,데이터입력!BB114)</f>
        <v>0</v>
      </c>
    </row>
    <row r="113" spans="1:27" hidden="1">
      <c r="A113" s="171">
        <f>IF(W113="","",SUBTOTAL(2,$W$11:W113))</f>
        <v>103</v>
      </c>
      <c r="B113" s="200" t="str">
        <f t="shared" si="6"/>
        <v>00</v>
      </c>
      <c r="C113" s="173" t="str">
        <f t="shared" si="7"/>
        <v/>
      </c>
      <c r="D113" s="201" t="str">
        <f t="shared" si="9"/>
        <v/>
      </c>
      <c r="E113" s="201" t="str">
        <f t="shared" si="9"/>
        <v/>
      </c>
      <c r="F113" s="174" t="str">
        <f t="shared" si="8"/>
        <v/>
      </c>
      <c r="G113" s="200" t="s">
        <v>485</v>
      </c>
      <c r="H113" s="200" t="s">
        <v>484</v>
      </c>
      <c r="I113" s="175">
        <f>IF(X113="","",X113*데이터입력!$Y$8)</f>
        <v>0</v>
      </c>
      <c r="J113" s="202">
        <f>R113*데이터입력!$Y$8</f>
        <v>0</v>
      </c>
      <c r="K113" s="202">
        <f>T113*데이터입력!$Y$8</f>
        <v>0</v>
      </c>
      <c r="L113" s="203">
        <f>IFERROR(U113*데이터입력!$Y$8,"")</f>
        <v>0</v>
      </c>
      <c r="M113" s="175">
        <f>IFERROR(V113*데이터입력!$Y$8,"")</f>
        <v>0</v>
      </c>
      <c r="N113" s="594"/>
      <c r="O113" s="184" t="str">
        <f>IF(데이터입력!AP115="","",데이터입력!AP115)</f>
        <v/>
      </c>
      <c r="P113" s="185" t="str">
        <f>IF(데이터입력!AQ115="","",데이터입력!AQ115)</f>
        <v/>
      </c>
      <c r="Q113" s="186">
        <f>IF(데이터입력!AR115="",0,데이터입력!AR115)</f>
        <v>0</v>
      </c>
      <c r="R113" s="187">
        <f>IF(데이터입력!AS115="",0,데이터입력!AS115)</f>
        <v>0</v>
      </c>
      <c r="S113" s="1260">
        <f>IF(데이터입력!AT115="",0,데이터입력!AT115)</f>
        <v>0</v>
      </c>
      <c r="T113" s="187">
        <f>IF(데이터입력!AU115="",0,데이터입력!AU115)</f>
        <v>0</v>
      </c>
      <c r="U113" s="186">
        <f>IF(데이터입력!AV115="",0,데이터입력!AV115)</f>
        <v>0</v>
      </c>
      <c r="V113" s="187">
        <f>IF(데이터입력!AW115="",0,데이터입력!AW115)</f>
        <v>0</v>
      </c>
      <c r="W113" s="1261">
        <f>IF(데이터입력!AX115="",0,데이터입력!AX115)</f>
        <v>0</v>
      </c>
      <c r="X113" s="931">
        <f>IF(데이터입력!AY115="",0,데이터입력!AY115)</f>
        <v>0</v>
      </c>
      <c r="Y113" s="931">
        <f>IF(데이터입력!AZ115="",0,데이터입력!AZ115)</f>
        <v>0</v>
      </c>
      <c r="Z113" s="599">
        <f>IF(데이터입력!BA115="",0,데이터입력!BA115)</f>
        <v>0</v>
      </c>
      <c r="AA113" s="935">
        <f>IF(데이터입력!BB115="",0,데이터입력!BB115)</f>
        <v>0</v>
      </c>
    </row>
    <row r="114" spans="1:27" hidden="1">
      <c r="A114" s="171">
        <f>IF(W114="","",SUBTOTAL(2,$W$11:W114))</f>
        <v>104</v>
      </c>
      <c r="B114" s="198" t="str">
        <f t="shared" si="6"/>
        <v>00</v>
      </c>
      <c r="C114" s="180" t="str">
        <f t="shared" si="7"/>
        <v/>
      </c>
      <c r="D114" s="180" t="str">
        <f t="shared" si="9"/>
        <v/>
      </c>
      <c r="E114" s="180" t="str">
        <f t="shared" si="9"/>
        <v/>
      </c>
      <c r="F114" s="181" t="str">
        <f t="shared" si="8"/>
        <v/>
      </c>
      <c r="G114" s="198" t="s">
        <v>485</v>
      </c>
      <c r="H114" s="198" t="s">
        <v>484</v>
      </c>
      <c r="I114" s="182">
        <f>IF(X114="","",X114*데이터입력!$Y$8)</f>
        <v>0</v>
      </c>
      <c r="J114" s="182">
        <f>R114*데이터입력!$Y$8</f>
        <v>0</v>
      </c>
      <c r="K114" s="182">
        <f>T114*데이터입력!$Y$8</f>
        <v>0</v>
      </c>
      <c r="L114" s="199">
        <f>IFERROR(U114*데이터입력!$Y$8,"")</f>
        <v>0</v>
      </c>
      <c r="M114" s="199">
        <f>IFERROR(V114*데이터입력!$Y$8,"")</f>
        <v>0</v>
      </c>
      <c r="N114" s="594"/>
      <c r="O114" s="184" t="str">
        <f>IF(데이터입력!AP116="","",데이터입력!AP116)</f>
        <v/>
      </c>
      <c r="P114" s="185" t="str">
        <f>IF(데이터입력!AQ116="","",데이터입력!AQ116)</f>
        <v/>
      </c>
      <c r="Q114" s="186">
        <f>IF(데이터입력!AR116="",0,데이터입력!AR116)</f>
        <v>0</v>
      </c>
      <c r="R114" s="187">
        <f>IF(데이터입력!AS116="",0,데이터입력!AS116)</f>
        <v>0</v>
      </c>
      <c r="S114" s="1260">
        <f>IF(데이터입력!AT116="",0,데이터입력!AT116)</f>
        <v>0</v>
      </c>
      <c r="T114" s="187">
        <f>IF(데이터입력!AU116="",0,데이터입력!AU116)</f>
        <v>0</v>
      </c>
      <c r="U114" s="186">
        <f>IF(데이터입력!AV116="",0,데이터입력!AV116)</f>
        <v>0</v>
      </c>
      <c r="V114" s="187">
        <f>IF(데이터입력!AW116="",0,데이터입력!AW116)</f>
        <v>0</v>
      </c>
      <c r="W114" s="1261">
        <f>IF(데이터입력!AX116="",0,데이터입력!AX116)</f>
        <v>0</v>
      </c>
      <c r="X114" s="931">
        <f>IF(데이터입력!AY116="",0,데이터입력!AY116)</f>
        <v>0</v>
      </c>
      <c r="Y114" s="931">
        <f>IF(데이터입력!AZ116="",0,데이터입력!AZ116)</f>
        <v>0</v>
      </c>
      <c r="Z114" s="599">
        <f>IF(데이터입력!BA116="",0,데이터입력!BA116)</f>
        <v>0</v>
      </c>
      <c r="AA114" s="935">
        <f>IF(데이터입력!BB116="",0,데이터입력!BB116)</f>
        <v>0</v>
      </c>
    </row>
    <row r="115" spans="1:27" hidden="1">
      <c r="A115" s="171">
        <f>IF(W115="","",SUBTOTAL(2,$W$11:W115))</f>
        <v>105</v>
      </c>
      <c r="B115" s="200" t="str">
        <f t="shared" si="6"/>
        <v>00</v>
      </c>
      <c r="C115" s="173" t="str">
        <f t="shared" si="7"/>
        <v/>
      </c>
      <c r="D115" s="201" t="str">
        <f t="shared" si="9"/>
        <v/>
      </c>
      <c r="E115" s="201" t="str">
        <f t="shared" si="9"/>
        <v/>
      </c>
      <c r="F115" s="174" t="str">
        <f t="shared" si="8"/>
        <v/>
      </c>
      <c r="G115" s="200" t="s">
        <v>485</v>
      </c>
      <c r="H115" s="200" t="s">
        <v>484</v>
      </c>
      <c r="I115" s="175">
        <f>IF(X115="","",X115*데이터입력!$Y$8)</f>
        <v>0</v>
      </c>
      <c r="J115" s="202">
        <f>R115*데이터입력!$Y$8</f>
        <v>0</v>
      </c>
      <c r="K115" s="202">
        <f>T115*데이터입력!$Y$8</f>
        <v>0</v>
      </c>
      <c r="L115" s="203">
        <f>IFERROR(U115*데이터입력!$Y$8,"")</f>
        <v>0</v>
      </c>
      <c r="M115" s="175">
        <f>IFERROR(V115*데이터입력!$Y$8,"")</f>
        <v>0</v>
      </c>
      <c r="N115" s="594"/>
      <c r="O115" s="184" t="str">
        <f>IF(데이터입력!AP117="","",데이터입력!AP117)</f>
        <v/>
      </c>
      <c r="P115" s="185" t="str">
        <f>IF(데이터입력!AQ117="","",데이터입력!AQ117)</f>
        <v/>
      </c>
      <c r="Q115" s="186">
        <f>IF(데이터입력!AR117="",0,데이터입력!AR117)</f>
        <v>0</v>
      </c>
      <c r="R115" s="187">
        <f>IF(데이터입력!AS117="",0,데이터입력!AS117)</f>
        <v>0</v>
      </c>
      <c r="S115" s="1260">
        <f>IF(데이터입력!AT117="",0,데이터입력!AT117)</f>
        <v>0</v>
      </c>
      <c r="T115" s="187">
        <f>IF(데이터입력!AU117="",0,데이터입력!AU117)</f>
        <v>0</v>
      </c>
      <c r="U115" s="186">
        <f>IF(데이터입력!AV117="",0,데이터입력!AV117)</f>
        <v>0</v>
      </c>
      <c r="V115" s="187">
        <f>IF(데이터입력!AW117="",0,데이터입력!AW117)</f>
        <v>0</v>
      </c>
      <c r="W115" s="1261">
        <f>IF(데이터입력!AX117="",0,데이터입력!AX117)</f>
        <v>0</v>
      </c>
      <c r="X115" s="931">
        <f>IF(데이터입력!AY117="",0,데이터입력!AY117)</f>
        <v>0</v>
      </c>
      <c r="Y115" s="931">
        <f>IF(데이터입력!AZ117="",0,데이터입력!AZ117)</f>
        <v>0</v>
      </c>
      <c r="Z115" s="599">
        <f>IF(데이터입력!BA117="",0,데이터입력!BA117)</f>
        <v>0</v>
      </c>
      <c r="AA115" s="935">
        <f>IF(데이터입력!BB117="",0,데이터입력!BB117)</f>
        <v>0</v>
      </c>
    </row>
    <row r="116" spans="1:27" hidden="1">
      <c r="A116" s="171">
        <f>IF(W116="","",SUBTOTAL(2,$W$11:W116))</f>
        <v>106</v>
      </c>
      <c r="B116" s="198" t="str">
        <f t="shared" si="6"/>
        <v>00</v>
      </c>
      <c r="C116" s="180" t="str">
        <f t="shared" si="7"/>
        <v/>
      </c>
      <c r="D116" s="180" t="str">
        <f t="shared" si="9"/>
        <v/>
      </c>
      <c r="E116" s="180" t="str">
        <f t="shared" si="9"/>
        <v/>
      </c>
      <c r="F116" s="181" t="str">
        <f t="shared" si="8"/>
        <v/>
      </c>
      <c r="G116" s="198" t="s">
        <v>485</v>
      </c>
      <c r="H116" s="198" t="s">
        <v>484</v>
      </c>
      <c r="I116" s="182">
        <f>IF(X116="","",X116*데이터입력!$Y$8)</f>
        <v>0</v>
      </c>
      <c r="J116" s="182">
        <f>R116*데이터입력!$Y$8</f>
        <v>0</v>
      </c>
      <c r="K116" s="182">
        <f>T116*데이터입력!$Y$8</f>
        <v>0</v>
      </c>
      <c r="L116" s="199">
        <f>IFERROR(U116*데이터입력!$Y$8,"")</f>
        <v>0</v>
      </c>
      <c r="M116" s="199">
        <f>IFERROR(V116*데이터입력!$Y$8,"")</f>
        <v>0</v>
      </c>
      <c r="N116" s="594"/>
      <c r="O116" s="184" t="str">
        <f>IF(데이터입력!AP118="","",데이터입력!AP118)</f>
        <v/>
      </c>
      <c r="P116" s="185" t="str">
        <f>IF(데이터입력!AQ118="","",데이터입력!AQ118)</f>
        <v/>
      </c>
      <c r="Q116" s="186">
        <f>IF(데이터입력!AR118="",0,데이터입력!AR118)</f>
        <v>0</v>
      </c>
      <c r="R116" s="187">
        <f>IF(데이터입력!AS118="",0,데이터입력!AS118)</f>
        <v>0</v>
      </c>
      <c r="S116" s="1260">
        <f>IF(데이터입력!AT118="",0,데이터입력!AT118)</f>
        <v>0</v>
      </c>
      <c r="T116" s="187">
        <f>IF(데이터입력!AU118="",0,데이터입력!AU118)</f>
        <v>0</v>
      </c>
      <c r="U116" s="186">
        <f>IF(데이터입력!AV118="",0,데이터입력!AV118)</f>
        <v>0</v>
      </c>
      <c r="V116" s="187">
        <f>IF(데이터입력!AW118="",0,데이터입력!AW118)</f>
        <v>0</v>
      </c>
      <c r="W116" s="1261">
        <f>IF(데이터입력!AX118="",0,데이터입력!AX118)</f>
        <v>0</v>
      </c>
      <c r="X116" s="931">
        <f>IF(데이터입력!AY118="",0,데이터입력!AY118)</f>
        <v>0</v>
      </c>
      <c r="Y116" s="931">
        <f>IF(데이터입력!AZ118="",0,데이터입력!AZ118)</f>
        <v>0</v>
      </c>
      <c r="Z116" s="599">
        <f>IF(데이터입력!BA118="",0,데이터입력!BA118)</f>
        <v>0</v>
      </c>
      <c r="AA116" s="935">
        <f>IF(데이터입력!BB118="",0,데이터입력!BB118)</f>
        <v>0</v>
      </c>
    </row>
    <row r="117" spans="1:27" hidden="1">
      <c r="A117" s="171">
        <f>IF(W117="","",SUBTOTAL(2,$W$11:W117))</f>
        <v>107</v>
      </c>
      <c r="B117" s="200" t="str">
        <f t="shared" si="6"/>
        <v>00</v>
      </c>
      <c r="C117" s="173" t="str">
        <f t="shared" si="7"/>
        <v/>
      </c>
      <c r="D117" s="201" t="str">
        <f t="shared" si="9"/>
        <v/>
      </c>
      <c r="E117" s="201" t="str">
        <f t="shared" si="9"/>
        <v/>
      </c>
      <c r="F117" s="174" t="str">
        <f t="shared" si="8"/>
        <v/>
      </c>
      <c r="G117" s="200" t="s">
        <v>485</v>
      </c>
      <c r="H117" s="200" t="s">
        <v>484</v>
      </c>
      <c r="I117" s="175">
        <f>IF(X117="","",X117*데이터입력!$Y$8)</f>
        <v>0</v>
      </c>
      <c r="J117" s="202">
        <f>R117*데이터입력!$Y$8</f>
        <v>0</v>
      </c>
      <c r="K117" s="202">
        <f>T117*데이터입력!$Y$8</f>
        <v>0</v>
      </c>
      <c r="L117" s="203">
        <f>IFERROR(U117*데이터입력!$Y$8,"")</f>
        <v>0</v>
      </c>
      <c r="M117" s="175">
        <f>IFERROR(V117*데이터입력!$Y$8,"")</f>
        <v>0</v>
      </c>
      <c r="N117" s="594"/>
      <c r="O117" s="184" t="str">
        <f>IF(데이터입력!AP119="","",데이터입력!AP119)</f>
        <v/>
      </c>
      <c r="P117" s="185" t="str">
        <f>IF(데이터입력!AQ119="","",데이터입력!AQ119)</f>
        <v/>
      </c>
      <c r="Q117" s="186">
        <f>IF(데이터입력!AR119="",0,데이터입력!AR119)</f>
        <v>0</v>
      </c>
      <c r="R117" s="187">
        <f>IF(데이터입력!AS119="",0,데이터입력!AS119)</f>
        <v>0</v>
      </c>
      <c r="S117" s="1260">
        <f>IF(데이터입력!AT119="",0,데이터입력!AT119)</f>
        <v>0</v>
      </c>
      <c r="T117" s="187">
        <f>IF(데이터입력!AU119="",0,데이터입력!AU119)</f>
        <v>0</v>
      </c>
      <c r="U117" s="186">
        <f>IF(데이터입력!AV119="",0,데이터입력!AV119)</f>
        <v>0</v>
      </c>
      <c r="V117" s="187">
        <f>IF(데이터입력!AW119="",0,데이터입력!AW119)</f>
        <v>0</v>
      </c>
      <c r="W117" s="1261">
        <f>IF(데이터입력!AX119="",0,데이터입력!AX119)</f>
        <v>0</v>
      </c>
      <c r="X117" s="931">
        <f>IF(데이터입력!AY119="",0,데이터입력!AY119)</f>
        <v>0</v>
      </c>
      <c r="Y117" s="931">
        <f>IF(데이터입력!AZ119="",0,데이터입력!AZ119)</f>
        <v>0</v>
      </c>
      <c r="Z117" s="599">
        <f>IF(데이터입력!BA119="",0,데이터입력!BA119)</f>
        <v>0</v>
      </c>
      <c r="AA117" s="935">
        <f>IF(데이터입력!BB119="",0,데이터입력!BB119)</f>
        <v>0</v>
      </c>
    </row>
    <row r="118" spans="1:27" hidden="1">
      <c r="A118" s="171">
        <f>IF(W118="","",SUBTOTAL(2,$W$11:W118))</f>
        <v>108</v>
      </c>
      <c r="B118" s="198" t="str">
        <f t="shared" si="6"/>
        <v>00</v>
      </c>
      <c r="C118" s="180" t="str">
        <f t="shared" si="7"/>
        <v/>
      </c>
      <c r="D118" s="180" t="str">
        <f t="shared" si="9"/>
        <v/>
      </c>
      <c r="E118" s="180" t="str">
        <f t="shared" si="9"/>
        <v/>
      </c>
      <c r="F118" s="181" t="str">
        <f t="shared" si="8"/>
        <v/>
      </c>
      <c r="G118" s="198" t="s">
        <v>485</v>
      </c>
      <c r="H118" s="198" t="s">
        <v>484</v>
      </c>
      <c r="I118" s="182">
        <f>IF(X118="","",X118*데이터입력!$Y$8)</f>
        <v>0</v>
      </c>
      <c r="J118" s="182">
        <f>R118*데이터입력!$Y$8</f>
        <v>0</v>
      </c>
      <c r="K118" s="182">
        <f>T118*데이터입력!$Y$8</f>
        <v>0</v>
      </c>
      <c r="L118" s="199">
        <f>IFERROR(U118*데이터입력!$Y$8,"")</f>
        <v>0</v>
      </c>
      <c r="M118" s="199">
        <f>IFERROR(V118*데이터입력!$Y$8,"")</f>
        <v>0</v>
      </c>
      <c r="N118" s="594"/>
      <c r="O118" s="184" t="str">
        <f>IF(데이터입력!AP120="","",데이터입력!AP120)</f>
        <v/>
      </c>
      <c r="P118" s="185" t="str">
        <f>IF(데이터입력!AQ120="","",데이터입력!AQ120)</f>
        <v/>
      </c>
      <c r="Q118" s="186">
        <f>IF(데이터입력!AR120="",0,데이터입력!AR120)</f>
        <v>0</v>
      </c>
      <c r="R118" s="187">
        <f>IF(데이터입력!AS120="",0,데이터입력!AS120)</f>
        <v>0</v>
      </c>
      <c r="S118" s="1260">
        <f>IF(데이터입력!AT120="",0,데이터입력!AT120)</f>
        <v>0</v>
      </c>
      <c r="T118" s="187">
        <f>IF(데이터입력!AU120="",0,데이터입력!AU120)</f>
        <v>0</v>
      </c>
      <c r="U118" s="186">
        <f>IF(데이터입력!AV120="",0,데이터입력!AV120)</f>
        <v>0</v>
      </c>
      <c r="V118" s="187">
        <f>IF(데이터입력!AW120="",0,데이터입력!AW120)</f>
        <v>0</v>
      </c>
      <c r="W118" s="1261">
        <f>IF(데이터입력!AX120="",0,데이터입력!AX120)</f>
        <v>0</v>
      </c>
      <c r="X118" s="931">
        <f>IF(데이터입력!AY120="",0,데이터입력!AY120)</f>
        <v>0</v>
      </c>
      <c r="Y118" s="931">
        <f>IF(데이터입력!AZ120="",0,데이터입력!AZ120)</f>
        <v>0</v>
      </c>
      <c r="Z118" s="599">
        <f>IF(데이터입력!BA120="",0,데이터입력!BA120)</f>
        <v>0</v>
      </c>
      <c r="AA118" s="935">
        <f>IF(데이터입력!BB120="",0,데이터입력!BB120)</f>
        <v>0</v>
      </c>
    </row>
    <row r="119" spans="1:27" hidden="1">
      <c r="A119" s="171">
        <f>IF(W119="","",SUBTOTAL(2,$W$11:W119))</f>
        <v>109</v>
      </c>
      <c r="B119" s="200" t="str">
        <f t="shared" si="6"/>
        <v>00</v>
      </c>
      <c r="C119" s="173" t="str">
        <f t="shared" si="7"/>
        <v/>
      </c>
      <c r="D119" s="201" t="str">
        <f t="shared" si="9"/>
        <v/>
      </c>
      <c r="E119" s="201" t="str">
        <f t="shared" si="9"/>
        <v/>
      </c>
      <c r="F119" s="174" t="str">
        <f t="shared" si="8"/>
        <v/>
      </c>
      <c r="G119" s="200" t="s">
        <v>485</v>
      </c>
      <c r="H119" s="200" t="s">
        <v>484</v>
      </c>
      <c r="I119" s="175">
        <f>IF(X119="","",X119*데이터입력!$Y$8)</f>
        <v>0</v>
      </c>
      <c r="J119" s="202">
        <f>R119*데이터입력!$Y$8</f>
        <v>0</v>
      </c>
      <c r="K119" s="202">
        <f>T119*데이터입력!$Y$8</f>
        <v>0</v>
      </c>
      <c r="L119" s="203">
        <f>IFERROR(U119*데이터입력!$Y$8,"")</f>
        <v>0</v>
      </c>
      <c r="M119" s="175">
        <f>IFERROR(V119*데이터입력!$Y$8,"")</f>
        <v>0</v>
      </c>
      <c r="N119" s="594"/>
      <c r="O119" s="184" t="str">
        <f>IF(데이터입력!AP121="","",데이터입력!AP121)</f>
        <v/>
      </c>
      <c r="P119" s="185" t="str">
        <f>IF(데이터입력!AQ121="","",데이터입력!AQ121)</f>
        <v/>
      </c>
      <c r="Q119" s="186">
        <f>IF(데이터입력!AR121="",0,데이터입력!AR121)</f>
        <v>0</v>
      </c>
      <c r="R119" s="187">
        <f>IF(데이터입력!AS121="",0,데이터입력!AS121)</f>
        <v>0</v>
      </c>
      <c r="S119" s="1260">
        <f>IF(데이터입력!AT121="",0,데이터입력!AT121)</f>
        <v>0</v>
      </c>
      <c r="T119" s="187">
        <f>IF(데이터입력!AU121="",0,데이터입력!AU121)</f>
        <v>0</v>
      </c>
      <c r="U119" s="186">
        <f>IF(데이터입력!AV121="",0,데이터입력!AV121)</f>
        <v>0</v>
      </c>
      <c r="V119" s="187">
        <f>IF(데이터입력!AW121="",0,데이터입력!AW121)</f>
        <v>0</v>
      </c>
      <c r="W119" s="1261">
        <f>IF(데이터입력!AX121="",0,데이터입력!AX121)</f>
        <v>0</v>
      </c>
      <c r="X119" s="931">
        <f>IF(데이터입력!AY121="",0,데이터입력!AY121)</f>
        <v>0</v>
      </c>
      <c r="Y119" s="931">
        <f>IF(데이터입력!AZ121="",0,데이터입력!AZ121)</f>
        <v>0</v>
      </c>
      <c r="Z119" s="599">
        <f>IF(데이터입력!BA121="",0,데이터입력!BA121)</f>
        <v>0</v>
      </c>
      <c r="AA119" s="935">
        <f>IF(데이터입력!BB121="",0,데이터입력!BB121)</f>
        <v>0</v>
      </c>
    </row>
    <row r="120" spans="1:27" hidden="1">
      <c r="A120" s="171">
        <f>IF(W120="","",SUBTOTAL(2,$W$11:W120))</f>
        <v>110</v>
      </c>
      <c r="B120" s="198" t="str">
        <f t="shared" si="6"/>
        <v>00</v>
      </c>
      <c r="C120" s="180" t="str">
        <f t="shared" si="7"/>
        <v/>
      </c>
      <c r="D120" s="180" t="str">
        <f t="shared" si="9"/>
        <v/>
      </c>
      <c r="E120" s="180" t="str">
        <f t="shared" si="9"/>
        <v/>
      </c>
      <c r="F120" s="181" t="str">
        <f t="shared" si="8"/>
        <v/>
      </c>
      <c r="G120" s="198" t="s">
        <v>485</v>
      </c>
      <c r="H120" s="198" t="s">
        <v>484</v>
      </c>
      <c r="I120" s="182">
        <f>IF(X120="","",X120*데이터입력!$Y$8)</f>
        <v>0</v>
      </c>
      <c r="J120" s="182">
        <f>R120*데이터입력!$Y$8</f>
        <v>0</v>
      </c>
      <c r="K120" s="182">
        <f>T120*데이터입력!$Y$8</f>
        <v>0</v>
      </c>
      <c r="L120" s="199">
        <f>IFERROR(U120*데이터입력!$Y$8,"")</f>
        <v>0</v>
      </c>
      <c r="M120" s="199">
        <f>IFERROR(V120*데이터입력!$Y$8,"")</f>
        <v>0</v>
      </c>
      <c r="N120" s="594"/>
      <c r="O120" s="184" t="str">
        <f>IF(데이터입력!AP122="","",데이터입력!AP122)</f>
        <v/>
      </c>
      <c r="P120" s="185" t="str">
        <f>IF(데이터입력!AQ122="","",데이터입력!AQ122)</f>
        <v/>
      </c>
      <c r="Q120" s="186">
        <f>IF(데이터입력!AR122="",0,데이터입력!AR122)</f>
        <v>0</v>
      </c>
      <c r="R120" s="187">
        <f>IF(데이터입력!AS122="",0,데이터입력!AS122)</f>
        <v>0</v>
      </c>
      <c r="S120" s="1260">
        <f>IF(데이터입력!AT122="",0,데이터입력!AT122)</f>
        <v>0</v>
      </c>
      <c r="T120" s="187">
        <f>IF(데이터입력!AU122="",0,데이터입력!AU122)</f>
        <v>0</v>
      </c>
      <c r="U120" s="186">
        <f>IF(데이터입력!AV122="",0,데이터입력!AV122)</f>
        <v>0</v>
      </c>
      <c r="V120" s="187">
        <f>IF(데이터입력!AW122="",0,데이터입력!AW122)</f>
        <v>0</v>
      </c>
      <c r="W120" s="1261">
        <f>IF(데이터입력!AX122="",0,데이터입력!AX122)</f>
        <v>0</v>
      </c>
      <c r="X120" s="931">
        <f>IF(데이터입력!AY122="",0,데이터입력!AY122)</f>
        <v>0</v>
      </c>
      <c r="Y120" s="931">
        <f>IF(데이터입력!AZ122="",0,데이터입력!AZ122)</f>
        <v>0</v>
      </c>
      <c r="Z120" s="599">
        <f>IF(데이터입력!BA122="",0,데이터입력!BA122)</f>
        <v>0</v>
      </c>
      <c r="AA120" s="935">
        <f>IF(데이터입력!BB122="",0,데이터입력!BB122)</f>
        <v>0</v>
      </c>
    </row>
    <row r="121" spans="1:27" hidden="1">
      <c r="A121" s="171">
        <f>IF(W121="","",SUBTOTAL(2,$W$11:W121))</f>
        <v>111</v>
      </c>
      <c r="B121" s="200" t="str">
        <f t="shared" si="6"/>
        <v>00</v>
      </c>
      <c r="C121" s="173" t="str">
        <f t="shared" si="7"/>
        <v/>
      </c>
      <c r="D121" s="201" t="str">
        <f t="shared" si="9"/>
        <v/>
      </c>
      <c r="E121" s="201" t="str">
        <f t="shared" si="9"/>
        <v/>
      </c>
      <c r="F121" s="174" t="str">
        <f t="shared" si="8"/>
        <v/>
      </c>
      <c r="G121" s="200" t="s">
        <v>485</v>
      </c>
      <c r="H121" s="200" t="s">
        <v>484</v>
      </c>
      <c r="I121" s="175">
        <f>IF(X121="","",X121*데이터입력!$Y$8)</f>
        <v>0</v>
      </c>
      <c r="J121" s="202">
        <f>R121*데이터입력!$Y$8</f>
        <v>0</v>
      </c>
      <c r="K121" s="202">
        <f>T121*데이터입력!$Y$8</f>
        <v>0</v>
      </c>
      <c r="L121" s="203">
        <f>IFERROR(U121*데이터입력!$Y$8,"")</f>
        <v>0</v>
      </c>
      <c r="M121" s="175">
        <f>IFERROR(V121*데이터입력!$Y$8,"")</f>
        <v>0</v>
      </c>
      <c r="N121" s="594"/>
      <c r="O121" s="184" t="str">
        <f>IF(데이터입력!AP123="","",데이터입력!AP123)</f>
        <v/>
      </c>
      <c r="P121" s="185" t="str">
        <f>IF(데이터입력!AQ123="","",데이터입력!AQ123)</f>
        <v/>
      </c>
      <c r="Q121" s="186">
        <f>IF(데이터입력!AR123="",0,데이터입력!AR123)</f>
        <v>0</v>
      </c>
      <c r="R121" s="187">
        <f>IF(데이터입력!AS123="",0,데이터입력!AS123)</f>
        <v>0</v>
      </c>
      <c r="S121" s="1260">
        <f>IF(데이터입력!AT123="",0,데이터입력!AT123)</f>
        <v>0</v>
      </c>
      <c r="T121" s="187">
        <f>IF(데이터입력!AU123="",0,데이터입력!AU123)</f>
        <v>0</v>
      </c>
      <c r="U121" s="186">
        <f>IF(데이터입력!AV123="",0,데이터입력!AV123)</f>
        <v>0</v>
      </c>
      <c r="V121" s="187">
        <f>IF(데이터입력!AW123="",0,데이터입력!AW123)</f>
        <v>0</v>
      </c>
      <c r="W121" s="1261">
        <f>IF(데이터입력!AX123="",0,데이터입력!AX123)</f>
        <v>0</v>
      </c>
      <c r="X121" s="931">
        <f>IF(데이터입력!AY123="",0,데이터입력!AY123)</f>
        <v>0</v>
      </c>
      <c r="Y121" s="931">
        <f>IF(데이터입력!AZ123="",0,데이터입력!AZ123)</f>
        <v>0</v>
      </c>
      <c r="Z121" s="599">
        <f>IF(데이터입력!BA123="",0,데이터입력!BA123)</f>
        <v>0</v>
      </c>
      <c r="AA121" s="935">
        <f>IF(데이터입력!BB123="",0,데이터입력!BB123)</f>
        <v>0</v>
      </c>
    </row>
    <row r="122" spans="1:27" hidden="1">
      <c r="A122" s="171">
        <f>IF(W122="","",SUBTOTAL(2,$W$11:W122))</f>
        <v>112</v>
      </c>
      <c r="B122" s="198" t="str">
        <f t="shared" si="6"/>
        <v>00</v>
      </c>
      <c r="C122" s="180" t="str">
        <f t="shared" si="7"/>
        <v/>
      </c>
      <c r="D122" s="180" t="str">
        <f t="shared" si="9"/>
        <v/>
      </c>
      <c r="E122" s="180" t="str">
        <f t="shared" si="9"/>
        <v/>
      </c>
      <c r="F122" s="181" t="str">
        <f t="shared" si="8"/>
        <v/>
      </c>
      <c r="G122" s="198" t="s">
        <v>485</v>
      </c>
      <c r="H122" s="198" t="s">
        <v>484</v>
      </c>
      <c r="I122" s="182">
        <f>IF(X122="","",X122*데이터입력!$Y$8)</f>
        <v>0</v>
      </c>
      <c r="J122" s="182">
        <f>R122*데이터입력!$Y$8</f>
        <v>0</v>
      </c>
      <c r="K122" s="182">
        <f>T122*데이터입력!$Y$8</f>
        <v>0</v>
      </c>
      <c r="L122" s="199">
        <f>IFERROR(U122*데이터입력!$Y$8,"")</f>
        <v>0</v>
      </c>
      <c r="M122" s="199">
        <f>IFERROR(V122*데이터입력!$Y$8,"")</f>
        <v>0</v>
      </c>
      <c r="N122" s="594"/>
      <c r="O122" s="184" t="str">
        <f>IF(데이터입력!AP124="","",데이터입력!AP124)</f>
        <v/>
      </c>
      <c r="P122" s="185" t="str">
        <f>IF(데이터입력!AQ124="","",데이터입력!AQ124)</f>
        <v/>
      </c>
      <c r="Q122" s="186">
        <f>IF(데이터입력!AR124="",0,데이터입력!AR124)</f>
        <v>0</v>
      </c>
      <c r="R122" s="187">
        <f>IF(데이터입력!AS124="",0,데이터입력!AS124)</f>
        <v>0</v>
      </c>
      <c r="S122" s="1260">
        <f>IF(데이터입력!AT124="",0,데이터입력!AT124)</f>
        <v>0</v>
      </c>
      <c r="T122" s="187">
        <f>IF(데이터입력!AU124="",0,데이터입력!AU124)</f>
        <v>0</v>
      </c>
      <c r="U122" s="186">
        <f>IF(데이터입력!AV124="",0,데이터입력!AV124)</f>
        <v>0</v>
      </c>
      <c r="V122" s="187">
        <f>IF(데이터입력!AW124="",0,데이터입력!AW124)</f>
        <v>0</v>
      </c>
      <c r="W122" s="1261">
        <f>IF(데이터입력!AX124="",0,데이터입력!AX124)</f>
        <v>0</v>
      </c>
      <c r="X122" s="931">
        <f>IF(데이터입력!AY124="",0,데이터입력!AY124)</f>
        <v>0</v>
      </c>
      <c r="Y122" s="931">
        <f>IF(데이터입력!AZ124="",0,데이터입력!AZ124)</f>
        <v>0</v>
      </c>
      <c r="Z122" s="599">
        <f>IF(데이터입력!BA124="",0,데이터입력!BA124)</f>
        <v>0</v>
      </c>
      <c r="AA122" s="935">
        <f>IF(데이터입력!BB124="",0,데이터입력!BB124)</f>
        <v>0</v>
      </c>
    </row>
    <row r="123" spans="1:27" hidden="1">
      <c r="A123" s="171">
        <f>IF(W123="","",SUBTOTAL(2,$W$11:W123))</f>
        <v>113</v>
      </c>
      <c r="B123" s="200" t="str">
        <f t="shared" si="6"/>
        <v>00</v>
      </c>
      <c r="C123" s="173" t="str">
        <f t="shared" si="7"/>
        <v/>
      </c>
      <c r="D123" s="201" t="str">
        <f t="shared" si="9"/>
        <v/>
      </c>
      <c r="E123" s="201" t="str">
        <f t="shared" si="9"/>
        <v/>
      </c>
      <c r="F123" s="174" t="str">
        <f t="shared" si="8"/>
        <v/>
      </c>
      <c r="G123" s="200" t="s">
        <v>485</v>
      </c>
      <c r="H123" s="200" t="s">
        <v>484</v>
      </c>
      <c r="I123" s="175">
        <f>IF(X123="","",X123*데이터입력!$Y$8)</f>
        <v>0</v>
      </c>
      <c r="J123" s="202">
        <f>R123*데이터입력!$Y$8</f>
        <v>0</v>
      </c>
      <c r="K123" s="202">
        <f>T123*데이터입력!$Y$8</f>
        <v>0</v>
      </c>
      <c r="L123" s="203">
        <f>IFERROR(U123*데이터입력!$Y$8,"")</f>
        <v>0</v>
      </c>
      <c r="M123" s="175">
        <f>IFERROR(V123*데이터입력!$Y$8,"")</f>
        <v>0</v>
      </c>
      <c r="N123" s="594"/>
      <c r="O123" s="184" t="str">
        <f>IF(데이터입력!AP125="","",데이터입력!AP125)</f>
        <v/>
      </c>
      <c r="P123" s="185" t="str">
        <f>IF(데이터입력!AQ125="","",데이터입력!AQ125)</f>
        <v/>
      </c>
      <c r="Q123" s="186">
        <f>IF(데이터입력!AR125="",0,데이터입력!AR125)</f>
        <v>0</v>
      </c>
      <c r="R123" s="187">
        <f>IF(데이터입력!AS125="",0,데이터입력!AS125)</f>
        <v>0</v>
      </c>
      <c r="S123" s="1260">
        <f>IF(데이터입력!AT125="",0,데이터입력!AT125)</f>
        <v>0</v>
      </c>
      <c r="T123" s="187">
        <f>IF(데이터입력!AU125="",0,데이터입력!AU125)</f>
        <v>0</v>
      </c>
      <c r="U123" s="186">
        <f>IF(데이터입력!AV125="",0,데이터입력!AV125)</f>
        <v>0</v>
      </c>
      <c r="V123" s="187">
        <f>IF(데이터입력!AW125="",0,데이터입력!AW125)</f>
        <v>0</v>
      </c>
      <c r="W123" s="1261">
        <f>IF(데이터입력!AX125="",0,데이터입력!AX125)</f>
        <v>0</v>
      </c>
      <c r="X123" s="931">
        <f>IF(데이터입력!AY125="",0,데이터입력!AY125)</f>
        <v>0</v>
      </c>
      <c r="Y123" s="931">
        <f>IF(데이터입력!AZ125="",0,데이터입력!AZ125)</f>
        <v>0</v>
      </c>
      <c r="Z123" s="599">
        <f>IF(데이터입력!BA125="",0,데이터입력!BA125)</f>
        <v>0</v>
      </c>
      <c r="AA123" s="935">
        <f>IF(데이터입력!BB125="",0,데이터입력!BB125)</f>
        <v>0</v>
      </c>
    </row>
    <row r="124" spans="1:27" hidden="1">
      <c r="A124" s="171">
        <f>IF(W124="","",SUBTOTAL(2,$W$11:W124))</f>
        <v>114</v>
      </c>
      <c r="B124" s="198" t="str">
        <f t="shared" si="6"/>
        <v>00</v>
      </c>
      <c r="C124" s="180" t="str">
        <f t="shared" si="7"/>
        <v/>
      </c>
      <c r="D124" s="180" t="str">
        <f t="shared" si="9"/>
        <v/>
      </c>
      <c r="E124" s="180" t="str">
        <f t="shared" si="9"/>
        <v/>
      </c>
      <c r="F124" s="181" t="str">
        <f t="shared" si="8"/>
        <v/>
      </c>
      <c r="G124" s="198" t="s">
        <v>485</v>
      </c>
      <c r="H124" s="198" t="s">
        <v>484</v>
      </c>
      <c r="I124" s="182">
        <f>IF(X124="","",X124*데이터입력!$Y$8)</f>
        <v>0</v>
      </c>
      <c r="J124" s="182">
        <f>R124*데이터입력!$Y$8</f>
        <v>0</v>
      </c>
      <c r="K124" s="182">
        <f>T124*데이터입력!$Y$8</f>
        <v>0</v>
      </c>
      <c r="L124" s="199">
        <f>IFERROR(U124*데이터입력!$Y$8,"")</f>
        <v>0</v>
      </c>
      <c r="M124" s="199">
        <f>IFERROR(V124*데이터입력!$Y$8,"")</f>
        <v>0</v>
      </c>
      <c r="N124" s="594"/>
      <c r="O124" s="184" t="str">
        <f>IF(데이터입력!AP126="","",데이터입력!AP126)</f>
        <v/>
      </c>
      <c r="P124" s="185" t="str">
        <f>IF(데이터입력!AQ126="","",데이터입력!AQ126)</f>
        <v/>
      </c>
      <c r="Q124" s="186">
        <f>IF(데이터입력!AR126="",0,데이터입력!AR126)</f>
        <v>0</v>
      </c>
      <c r="R124" s="187">
        <f>IF(데이터입력!AS126="",0,데이터입력!AS126)</f>
        <v>0</v>
      </c>
      <c r="S124" s="1260">
        <f>IF(데이터입력!AT126="",0,데이터입력!AT126)</f>
        <v>0</v>
      </c>
      <c r="T124" s="187">
        <f>IF(데이터입력!AU126="",0,데이터입력!AU126)</f>
        <v>0</v>
      </c>
      <c r="U124" s="186">
        <f>IF(데이터입력!AV126="",0,데이터입력!AV126)</f>
        <v>0</v>
      </c>
      <c r="V124" s="187">
        <f>IF(데이터입력!AW126="",0,데이터입력!AW126)</f>
        <v>0</v>
      </c>
      <c r="W124" s="1261">
        <f>IF(데이터입력!AX126="",0,데이터입력!AX126)</f>
        <v>0</v>
      </c>
      <c r="X124" s="931">
        <f>IF(데이터입력!AY126="",0,데이터입력!AY126)</f>
        <v>0</v>
      </c>
      <c r="Y124" s="931">
        <f>IF(데이터입력!AZ126="",0,데이터입력!AZ126)</f>
        <v>0</v>
      </c>
      <c r="Z124" s="599">
        <f>IF(데이터입력!BA126="",0,데이터입력!BA126)</f>
        <v>0</v>
      </c>
      <c r="AA124" s="935">
        <f>IF(데이터입력!BB126="",0,데이터입력!BB126)</f>
        <v>0</v>
      </c>
    </row>
    <row r="125" spans="1:27" hidden="1">
      <c r="A125" s="171">
        <f>IF(W125="","",SUBTOTAL(2,$W$11:W125))</f>
        <v>115</v>
      </c>
      <c r="B125" s="200" t="str">
        <f t="shared" si="6"/>
        <v>00</v>
      </c>
      <c r="C125" s="173" t="str">
        <f t="shared" si="7"/>
        <v/>
      </c>
      <c r="D125" s="201" t="str">
        <f t="shared" si="9"/>
        <v/>
      </c>
      <c r="E125" s="201" t="str">
        <f t="shared" si="9"/>
        <v/>
      </c>
      <c r="F125" s="174" t="str">
        <f t="shared" si="8"/>
        <v/>
      </c>
      <c r="G125" s="200" t="s">
        <v>485</v>
      </c>
      <c r="H125" s="200" t="s">
        <v>484</v>
      </c>
      <c r="I125" s="175">
        <f>IF(X125="","",X125*데이터입력!$Y$8)</f>
        <v>0</v>
      </c>
      <c r="J125" s="202">
        <f>R125*데이터입력!$Y$8</f>
        <v>0</v>
      </c>
      <c r="K125" s="202">
        <f>T125*데이터입력!$Y$8</f>
        <v>0</v>
      </c>
      <c r="L125" s="203">
        <f>IFERROR(U125*데이터입력!$Y$8,"")</f>
        <v>0</v>
      </c>
      <c r="M125" s="175">
        <f>IFERROR(V125*데이터입력!$Y$8,"")</f>
        <v>0</v>
      </c>
      <c r="N125" s="594"/>
      <c r="O125" s="184" t="str">
        <f>IF(데이터입력!AP127="","",데이터입력!AP127)</f>
        <v/>
      </c>
      <c r="P125" s="185" t="str">
        <f>IF(데이터입력!AQ127="","",데이터입력!AQ127)</f>
        <v/>
      </c>
      <c r="Q125" s="186">
        <f>IF(데이터입력!AR127="",0,데이터입력!AR127)</f>
        <v>0</v>
      </c>
      <c r="R125" s="187">
        <f>IF(데이터입력!AS127="",0,데이터입력!AS127)</f>
        <v>0</v>
      </c>
      <c r="S125" s="1260">
        <f>IF(데이터입력!AT127="",0,데이터입력!AT127)</f>
        <v>0</v>
      </c>
      <c r="T125" s="187">
        <f>IF(데이터입력!AU127="",0,데이터입력!AU127)</f>
        <v>0</v>
      </c>
      <c r="U125" s="186">
        <f>IF(데이터입력!AV127="",0,데이터입력!AV127)</f>
        <v>0</v>
      </c>
      <c r="V125" s="187">
        <f>IF(데이터입력!AW127="",0,데이터입력!AW127)</f>
        <v>0</v>
      </c>
      <c r="W125" s="1261">
        <f>IF(데이터입력!AX127="",0,데이터입력!AX127)</f>
        <v>0</v>
      </c>
      <c r="X125" s="931">
        <f>IF(데이터입력!AY127="",0,데이터입력!AY127)</f>
        <v>0</v>
      </c>
      <c r="Y125" s="931">
        <f>IF(데이터입력!AZ127="",0,데이터입력!AZ127)</f>
        <v>0</v>
      </c>
      <c r="Z125" s="599">
        <f>IF(데이터입력!BA127="",0,데이터입력!BA127)</f>
        <v>0</v>
      </c>
      <c r="AA125" s="935">
        <f>IF(데이터입력!BB127="",0,데이터입력!BB127)</f>
        <v>0</v>
      </c>
    </row>
    <row r="126" spans="1:27" hidden="1">
      <c r="A126" s="171">
        <f>IF(W126="","",SUBTOTAL(2,$W$11:W126))</f>
        <v>116</v>
      </c>
      <c r="B126" s="198" t="str">
        <f t="shared" si="6"/>
        <v>00</v>
      </c>
      <c r="C126" s="180" t="str">
        <f t="shared" si="7"/>
        <v/>
      </c>
      <c r="D126" s="180" t="str">
        <f t="shared" si="9"/>
        <v/>
      </c>
      <c r="E126" s="180" t="str">
        <f t="shared" si="9"/>
        <v/>
      </c>
      <c r="F126" s="181" t="str">
        <f t="shared" si="8"/>
        <v/>
      </c>
      <c r="G126" s="198" t="s">
        <v>485</v>
      </c>
      <c r="H126" s="198" t="s">
        <v>484</v>
      </c>
      <c r="I126" s="182">
        <f>IF(X126="","",X126*데이터입력!$Y$8)</f>
        <v>0</v>
      </c>
      <c r="J126" s="182">
        <f>R126*데이터입력!$Y$8</f>
        <v>0</v>
      </c>
      <c r="K126" s="182">
        <f>T126*데이터입력!$Y$8</f>
        <v>0</v>
      </c>
      <c r="L126" s="199">
        <f>IFERROR(U126*데이터입력!$Y$8,"")</f>
        <v>0</v>
      </c>
      <c r="M126" s="199">
        <f>IFERROR(V126*데이터입력!$Y$8,"")</f>
        <v>0</v>
      </c>
      <c r="N126" s="594"/>
      <c r="O126" s="184" t="str">
        <f>IF(데이터입력!AP128="","",데이터입력!AP128)</f>
        <v/>
      </c>
      <c r="P126" s="185" t="str">
        <f>IF(데이터입력!AQ128="","",데이터입력!AQ128)</f>
        <v/>
      </c>
      <c r="Q126" s="186">
        <f>IF(데이터입력!AR128="",0,데이터입력!AR128)</f>
        <v>0</v>
      </c>
      <c r="R126" s="187">
        <f>IF(데이터입력!AS128="",0,데이터입력!AS128)</f>
        <v>0</v>
      </c>
      <c r="S126" s="1260">
        <f>IF(데이터입력!AT128="",0,데이터입력!AT128)</f>
        <v>0</v>
      </c>
      <c r="T126" s="187">
        <f>IF(데이터입력!AU128="",0,데이터입력!AU128)</f>
        <v>0</v>
      </c>
      <c r="U126" s="186">
        <f>IF(데이터입력!AV128="",0,데이터입력!AV128)</f>
        <v>0</v>
      </c>
      <c r="V126" s="187">
        <f>IF(데이터입력!AW128="",0,데이터입력!AW128)</f>
        <v>0</v>
      </c>
      <c r="W126" s="1261">
        <f>IF(데이터입력!AX128="",0,데이터입력!AX128)</f>
        <v>0</v>
      </c>
      <c r="X126" s="931">
        <f>IF(데이터입력!AY128="",0,데이터입력!AY128)</f>
        <v>0</v>
      </c>
      <c r="Y126" s="931">
        <f>IF(데이터입력!AZ128="",0,데이터입력!AZ128)</f>
        <v>0</v>
      </c>
      <c r="Z126" s="599">
        <f>IF(데이터입력!BA128="",0,데이터입력!BA128)</f>
        <v>0</v>
      </c>
      <c r="AA126" s="935">
        <f>IF(데이터입력!BB128="",0,데이터입력!BB128)</f>
        <v>0</v>
      </c>
    </row>
    <row r="127" spans="1:27" hidden="1">
      <c r="A127" s="171">
        <f>IF(W127="","",SUBTOTAL(2,$W$11:W127))</f>
        <v>117</v>
      </c>
      <c r="B127" s="200" t="str">
        <f t="shared" si="6"/>
        <v>00</v>
      </c>
      <c r="C127" s="173" t="str">
        <f t="shared" si="7"/>
        <v/>
      </c>
      <c r="D127" s="201" t="str">
        <f t="shared" si="9"/>
        <v/>
      </c>
      <c r="E127" s="201" t="str">
        <f t="shared" si="9"/>
        <v/>
      </c>
      <c r="F127" s="174" t="str">
        <f t="shared" si="8"/>
        <v/>
      </c>
      <c r="G127" s="200" t="s">
        <v>485</v>
      </c>
      <c r="H127" s="200" t="s">
        <v>484</v>
      </c>
      <c r="I127" s="175">
        <f>IF(X127="","",X127*데이터입력!$Y$8)</f>
        <v>0</v>
      </c>
      <c r="J127" s="202">
        <f>R127*데이터입력!$Y$8</f>
        <v>0</v>
      </c>
      <c r="K127" s="202">
        <f>T127*데이터입력!$Y$8</f>
        <v>0</v>
      </c>
      <c r="L127" s="203">
        <f>IFERROR(U127*데이터입력!$Y$8,"")</f>
        <v>0</v>
      </c>
      <c r="M127" s="175">
        <f>IFERROR(V127*데이터입력!$Y$8,"")</f>
        <v>0</v>
      </c>
      <c r="N127" s="594"/>
      <c r="O127" s="184" t="str">
        <f>IF(데이터입력!AP129="","",데이터입력!AP129)</f>
        <v/>
      </c>
      <c r="P127" s="185" t="str">
        <f>IF(데이터입력!AQ129="","",데이터입력!AQ129)</f>
        <v/>
      </c>
      <c r="Q127" s="186">
        <f>IF(데이터입력!AR129="",0,데이터입력!AR129)</f>
        <v>0</v>
      </c>
      <c r="R127" s="187">
        <f>IF(데이터입력!AS129="",0,데이터입력!AS129)</f>
        <v>0</v>
      </c>
      <c r="S127" s="1260">
        <f>IF(데이터입력!AT129="",0,데이터입력!AT129)</f>
        <v>0</v>
      </c>
      <c r="T127" s="187">
        <f>IF(데이터입력!AU129="",0,데이터입력!AU129)</f>
        <v>0</v>
      </c>
      <c r="U127" s="186">
        <f>IF(데이터입력!AV129="",0,데이터입력!AV129)</f>
        <v>0</v>
      </c>
      <c r="V127" s="187">
        <f>IF(데이터입력!AW129="",0,데이터입력!AW129)</f>
        <v>0</v>
      </c>
      <c r="W127" s="1261">
        <f>IF(데이터입력!AX129="",0,데이터입력!AX129)</f>
        <v>0</v>
      </c>
      <c r="X127" s="931">
        <f>IF(데이터입력!AY129="",0,데이터입력!AY129)</f>
        <v>0</v>
      </c>
      <c r="Y127" s="931">
        <f>IF(데이터입력!AZ129="",0,데이터입력!AZ129)</f>
        <v>0</v>
      </c>
      <c r="Z127" s="599">
        <f>IF(데이터입력!BA129="",0,데이터입력!BA129)</f>
        <v>0</v>
      </c>
      <c r="AA127" s="935">
        <f>IF(데이터입력!BB129="",0,데이터입력!BB129)</f>
        <v>0</v>
      </c>
    </row>
    <row r="128" spans="1:27" hidden="1">
      <c r="A128" s="171">
        <f>IF(W128="","",SUBTOTAL(2,$W$11:W128))</f>
        <v>118</v>
      </c>
      <c r="B128" s="198" t="str">
        <f t="shared" si="6"/>
        <v>00</v>
      </c>
      <c r="C128" s="180" t="str">
        <f t="shared" si="7"/>
        <v/>
      </c>
      <c r="D128" s="180" t="str">
        <f t="shared" si="9"/>
        <v/>
      </c>
      <c r="E128" s="180" t="str">
        <f t="shared" si="9"/>
        <v/>
      </c>
      <c r="F128" s="181" t="str">
        <f t="shared" si="8"/>
        <v/>
      </c>
      <c r="G128" s="198" t="s">
        <v>485</v>
      </c>
      <c r="H128" s="198" t="s">
        <v>484</v>
      </c>
      <c r="I128" s="182">
        <f>IF(X128="","",X128*데이터입력!$Y$8)</f>
        <v>0</v>
      </c>
      <c r="J128" s="182">
        <f>R128*데이터입력!$Y$8</f>
        <v>0</v>
      </c>
      <c r="K128" s="182">
        <f>T128*데이터입력!$Y$8</f>
        <v>0</v>
      </c>
      <c r="L128" s="199">
        <f>IFERROR(U128*데이터입력!$Y$8,"")</f>
        <v>0</v>
      </c>
      <c r="M128" s="199">
        <f>IFERROR(V128*데이터입력!$Y$8,"")</f>
        <v>0</v>
      </c>
      <c r="N128" s="594"/>
      <c r="O128" s="184" t="str">
        <f>IF(데이터입력!AP130="","",데이터입력!AP130)</f>
        <v/>
      </c>
      <c r="P128" s="185" t="str">
        <f>IF(데이터입력!AQ130="","",데이터입력!AQ130)</f>
        <v/>
      </c>
      <c r="Q128" s="186">
        <f>IF(데이터입력!AR130="",0,데이터입력!AR130)</f>
        <v>0</v>
      </c>
      <c r="R128" s="187">
        <f>IF(데이터입력!AS130="",0,데이터입력!AS130)</f>
        <v>0</v>
      </c>
      <c r="S128" s="1260">
        <f>IF(데이터입력!AT130="",0,데이터입력!AT130)</f>
        <v>0</v>
      </c>
      <c r="T128" s="187">
        <f>IF(데이터입력!AU130="",0,데이터입력!AU130)</f>
        <v>0</v>
      </c>
      <c r="U128" s="186">
        <f>IF(데이터입력!AV130="",0,데이터입력!AV130)</f>
        <v>0</v>
      </c>
      <c r="V128" s="187">
        <f>IF(데이터입력!AW130="",0,데이터입력!AW130)</f>
        <v>0</v>
      </c>
      <c r="W128" s="1261">
        <f>IF(데이터입력!AX130="",0,데이터입력!AX130)</f>
        <v>0</v>
      </c>
      <c r="X128" s="931">
        <f>IF(데이터입력!AY130="",0,데이터입력!AY130)</f>
        <v>0</v>
      </c>
      <c r="Y128" s="931">
        <f>IF(데이터입력!AZ130="",0,데이터입력!AZ130)</f>
        <v>0</v>
      </c>
      <c r="Z128" s="599">
        <f>IF(데이터입력!BA130="",0,데이터입력!BA130)</f>
        <v>0</v>
      </c>
      <c r="AA128" s="935">
        <f>IF(데이터입력!BB130="",0,데이터입력!BB130)</f>
        <v>0</v>
      </c>
    </row>
    <row r="129" spans="1:27" hidden="1">
      <c r="A129" s="171">
        <f>IF(W129="","",SUBTOTAL(2,$W$11:W129))</f>
        <v>119</v>
      </c>
      <c r="B129" s="200" t="str">
        <f t="shared" si="6"/>
        <v>00</v>
      </c>
      <c r="C129" s="173" t="str">
        <f t="shared" si="7"/>
        <v/>
      </c>
      <c r="D129" s="201" t="str">
        <f t="shared" si="9"/>
        <v/>
      </c>
      <c r="E129" s="201" t="str">
        <f t="shared" si="9"/>
        <v/>
      </c>
      <c r="F129" s="174" t="str">
        <f t="shared" si="8"/>
        <v/>
      </c>
      <c r="G129" s="200" t="s">
        <v>485</v>
      </c>
      <c r="H129" s="200" t="s">
        <v>484</v>
      </c>
      <c r="I129" s="175">
        <f>IF(X129="","",X129*데이터입력!$Y$8)</f>
        <v>0</v>
      </c>
      <c r="J129" s="202">
        <f>R129*데이터입력!$Y$8</f>
        <v>0</v>
      </c>
      <c r="K129" s="202">
        <f>T129*데이터입력!$Y$8</f>
        <v>0</v>
      </c>
      <c r="L129" s="203">
        <f>IFERROR(U129*데이터입력!$Y$8,"")</f>
        <v>0</v>
      </c>
      <c r="M129" s="175">
        <f>IFERROR(V129*데이터입력!$Y$8,"")</f>
        <v>0</v>
      </c>
      <c r="N129" s="594"/>
      <c r="O129" s="184" t="str">
        <f>IF(데이터입력!AP131="","",데이터입력!AP131)</f>
        <v/>
      </c>
      <c r="P129" s="185" t="str">
        <f>IF(데이터입력!AQ131="","",데이터입력!AQ131)</f>
        <v/>
      </c>
      <c r="Q129" s="186">
        <f>IF(데이터입력!AR131="",0,데이터입력!AR131)</f>
        <v>0</v>
      </c>
      <c r="R129" s="187">
        <f>IF(데이터입력!AS131="",0,데이터입력!AS131)</f>
        <v>0</v>
      </c>
      <c r="S129" s="1260">
        <f>IF(데이터입력!AT131="",0,데이터입력!AT131)</f>
        <v>0</v>
      </c>
      <c r="T129" s="187">
        <f>IF(데이터입력!AU131="",0,데이터입력!AU131)</f>
        <v>0</v>
      </c>
      <c r="U129" s="186">
        <f>IF(데이터입력!AV131="",0,데이터입력!AV131)</f>
        <v>0</v>
      </c>
      <c r="V129" s="187">
        <f>IF(데이터입력!AW131="",0,데이터입력!AW131)</f>
        <v>0</v>
      </c>
      <c r="W129" s="1261">
        <f>IF(데이터입력!AX131="",0,데이터입력!AX131)</f>
        <v>0</v>
      </c>
      <c r="X129" s="931">
        <f>IF(데이터입력!AY131="",0,데이터입력!AY131)</f>
        <v>0</v>
      </c>
      <c r="Y129" s="931">
        <f>IF(데이터입력!AZ131="",0,데이터입력!AZ131)</f>
        <v>0</v>
      </c>
      <c r="Z129" s="599">
        <f>IF(데이터입력!BA131="",0,데이터입력!BA131)</f>
        <v>0</v>
      </c>
      <c r="AA129" s="935">
        <f>IF(데이터입력!BB131="",0,데이터입력!BB131)</f>
        <v>0</v>
      </c>
    </row>
    <row r="130" spans="1:27" hidden="1">
      <c r="A130" s="171">
        <f>IF(W130="","",SUBTOTAL(2,$W$11:W130))</f>
        <v>120</v>
      </c>
      <c r="B130" s="198" t="str">
        <f t="shared" si="6"/>
        <v>00</v>
      </c>
      <c r="C130" s="180" t="str">
        <f t="shared" si="7"/>
        <v/>
      </c>
      <c r="D130" s="180" t="str">
        <f t="shared" si="9"/>
        <v/>
      </c>
      <c r="E130" s="180" t="str">
        <f t="shared" si="9"/>
        <v/>
      </c>
      <c r="F130" s="181" t="str">
        <f t="shared" si="8"/>
        <v/>
      </c>
      <c r="G130" s="198" t="s">
        <v>485</v>
      </c>
      <c r="H130" s="198" t="s">
        <v>484</v>
      </c>
      <c r="I130" s="182">
        <f>IF(X130="","",X130*데이터입력!$Y$8)</f>
        <v>0</v>
      </c>
      <c r="J130" s="182">
        <f>R130*데이터입력!$Y$8</f>
        <v>0</v>
      </c>
      <c r="K130" s="182">
        <f>T130*데이터입력!$Y$8</f>
        <v>0</v>
      </c>
      <c r="L130" s="199">
        <f>IFERROR(U130*데이터입력!$Y$8,"")</f>
        <v>0</v>
      </c>
      <c r="M130" s="199">
        <f>IFERROR(V130*데이터입력!$Y$8,"")</f>
        <v>0</v>
      </c>
      <c r="N130" s="594"/>
      <c r="O130" s="184" t="str">
        <f>IF(데이터입력!AP132="","",데이터입력!AP132)</f>
        <v/>
      </c>
      <c r="P130" s="185" t="str">
        <f>IF(데이터입력!AQ132="","",데이터입력!AQ132)</f>
        <v/>
      </c>
      <c r="Q130" s="186">
        <f>IF(데이터입력!AR132="",0,데이터입력!AR132)</f>
        <v>0</v>
      </c>
      <c r="R130" s="187">
        <f>IF(데이터입력!AS132="",0,데이터입력!AS132)</f>
        <v>0</v>
      </c>
      <c r="S130" s="1260">
        <f>IF(데이터입력!AT132="",0,데이터입력!AT132)</f>
        <v>0</v>
      </c>
      <c r="T130" s="187">
        <f>IF(데이터입력!AU132="",0,데이터입력!AU132)</f>
        <v>0</v>
      </c>
      <c r="U130" s="186">
        <f>IF(데이터입력!AV132="",0,데이터입력!AV132)</f>
        <v>0</v>
      </c>
      <c r="V130" s="187">
        <f>IF(데이터입력!AW132="",0,데이터입력!AW132)</f>
        <v>0</v>
      </c>
      <c r="W130" s="1261">
        <f>IF(데이터입력!AX132="",0,데이터입력!AX132)</f>
        <v>0</v>
      </c>
      <c r="X130" s="931">
        <f>IF(데이터입력!AY132="",0,데이터입력!AY132)</f>
        <v>0</v>
      </c>
      <c r="Y130" s="931">
        <f>IF(데이터입력!AZ132="",0,데이터입력!AZ132)</f>
        <v>0</v>
      </c>
      <c r="Z130" s="599">
        <f>IF(데이터입력!BA132="",0,데이터입력!BA132)</f>
        <v>0</v>
      </c>
      <c r="AA130" s="935">
        <f>IF(데이터입력!BB132="",0,데이터입력!BB132)</f>
        <v>0</v>
      </c>
    </row>
    <row r="131" spans="1:27" hidden="1">
      <c r="A131" s="171">
        <f>IF(W131="","",SUBTOTAL(2,$W$11:W131))</f>
        <v>121</v>
      </c>
      <c r="B131" s="200" t="str">
        <f t="shared" si="6"/>
        <v>00</v>
      </c>
      <c r="C131" s="173" t="str">
        <f t="shared" si="7"/>
        <v/>
      </c>
      <c r="D131" s="201" t="str">
        <f t="shared" si="9"/>
        <v/>
      </c>
      <c r="E131" s="201" t="str">
        <f t="shared" si="9"/>
        <v/>
      </c>
      <c r="F131" s="174" t="str">
        <f t="shared" si="8"/>
        <v/>
      </c>
      <c r="G131" s="200" t="s">
        <v>485</v>
      </c>
      <c r="H131" s="200" t="s">
        <v>484</v>
      </c>
      <c r="I131" s="175">
        <f>IF(X131="","",X131*데이터입력!$Y$8)</f>
        <v>0</v>
      </c>
      <c r="J131" s="202">
        <f>R131*데이터입력!$Y$8</f>
        <v>0</v>
      </c>
      <c r="K131" s="202">
        <f>T131*데이터입력!$Y$8</f>
        <v>0</v>
      </c>
      <c r="L131" s="203">
        <f>IFERROR(U131*데이터입력!$Y$8,"")</f>
        <v>0</v>
      </c>
      <c r="M131" s="175">
        <f>IFERROR(V131*데이터입력!$Y$8,"")</f>
        <v>0</v>
      </c>
      <c r="N131" s="594"/>
      <c r="O131" s="184" t="str">
        <f>IF(데이터입력!AP133="","",데이터입력!AP133)</f>
        <v/>
      </c>
      <c r="P131" s="185" t="str">
        <f>IF(데이터입력!AQ133="","",데이터입력!AQ133)</f>
        <v/>
      </c>
      <c r="Q131" s="186">
        <f>IF(데이터입력!AR133="",0,데이터입력!AR133)</f>
        <v>0</v>
      </c>
      <c r="R131" s="187">
        <f>IF(데이터입력!AS133="",0,데이터입력!AS133)</f>
        <v>0</v>
      </c>
      <c r="S131" s="1260">
        <f>IF(데이터입력!AT133="",0,데이터입력!AT133)</f>
        <v>0</v>
      </c>
      <c r="T131" s="187">
        <f>IF(데이터입력!AU133="",0,데이터입력!AU133)</f>
        <v>0</v>
      </c>
      <c r="U131" s="186">
        <f>IF(데이터입력!AV133="",0,데이터입력!AV133)</f>
        <v>0</v>
      </c>
      <c r="V131" s="187">
        <f>IF(데이터입력!AW133="",0,데이터입력!AW133)</f>
        <v>0</v>
      </c>
      <c r="W131" s="1261">
        <f>IF(데이터입력!AX133="",0,데이터입력!AX133)</f>
        <v>0</v>
      </c>
      <c r="X131" s="931">
        <f>IF(데이터입력!AY133="",0,데이터입력!AY133)</f>
        <v>0</v>
      </c>
      <c r="Y131" s="931">
        <f>IF(데이터입력!AZ133="",0,데이터입력!AZ133)</f>
        <v>0</v>
      </c>
      <c r="Z131" s="599">
        <f>IF(데이터입력!BA133="",0,데이터입력!BA133)</f>
        <v>0</v>
      </c>
      <c r="AA131" s="935">
        <f>IF(데이터입력!BB133="",0,데이터입력!BB133)</f>
        <v>0</v>
      </c>
    </row>
    <row r="132" spans="1:27" hidden="1">
      <c r="A132" s="171">
        <f>IF(W132="","",SUBTOTAL(2,$W$11:W132))</f>
        <v>122</v>
      </c>
      <c r="B132" s="198" t="str">
        <f t="shared" si="6"/>
        <v>00</v>
      </c>
      <c r="C132" s="180" t="str">
        <f t="shared" si="7"/>
        <v/>
      </c>
      <c r="D132" s="180" t="str">
        <f t="shared" si="9"/>
        <v/>
      </c>
      <c r="E132" s="180" t="str">
        <f t="shared" si="9"/>
        <v/>
      </c>
      <c r="F132" s="181" t="str">
        <f t="shared" si="8"/>
        <v/>
      </c>
      <c r="G132" s="198" t="s">
        <v>485</v>
      </c>
      <c r="H132" s="198" t="s">
        <v>484</v>
      </c>
      <c r="I132" s="182">
        <f>IF(X132="","",X132*데이터입력!$Y$8)</f>
        <v>0</v>
      </c>
      <c r="J132" s="182">
        <f>R132*데이터입력!$Y$8</f>
        <v>0</v>
      </c>
      <c r="K132" s="182">
        <f>T132*데이터입력!$Y$8</f>
        <v>0</v>
      </c>
      <c r="L132" s="199">
        <f>IFERROR(U132*데이터입력!$Y$8,"")</f>
        <v>0</v>
      </c>
      <c r="M132" s="199">
        <f>IFERROR(V132*데이터입력!$Y$8,"")</f>
        <v>0</v>
      </c>
      <c r="N132" s="594"/>
      <c r="O132" s="184" t="str">
        <f>IF(데이터입력!AP134="","",데이터입력!AP134)</f>
        <v/>
      </c>
      <c r="P132" s="185" t="str">
        <f>IF(데이터입력!AQ134="","",데이터입력!AQ134)</f>
        <v/>
      </c>
      <c r="Q132" s="186">
        <f>IF(데이터입력!AR134="",0,데이터입력!AR134)</f>
        <v>0</v>
      </c>
      <c r="R132" s="187">
        <f>IF(데이터입력!AS134="",0,데이터입력!AS134)</f>
        <v>0</v>
      </c>
      <c r="S132" s="1260">
        <f>IF(데이터입력!AT134="",0,데이터입력!AT134)</f>
        <v>0</v>
      </c>
      <c r="T132" s="187">
        <f>IF(데이터입력!AU134="",0,데이터입력!AU134)</f>
        <v>0</v>
      </c>
      <c r="U132" s="186">
        <f>IF(데이터입력!AV134="",0,데이터입력!AV134)</f>
        <v>0</v>
      </c>
      <c r="V132" s="187">
        <f>IF(데이터입력!AW134="",0,데이터입력!AW134)</f>
        <v>0</v>
      </c>
      <c r="W132" s="1261">
        <f>IF(데이터입력!AX134="",0,데이터입력!AX134)</f>
        <v>0</v>
      </c>
      <c r="X132" s="931">
        <f>IF(데이터입력!AY134="",0,데이터입력!AY134)</f>
        <v>0</v>
      </c>
      <c r="Y132" s="931">
        <f>IF(데이터입력!AZ134="",0,데이터입력!AZ134)</f>
        <v>0</v>
      </c>
      <c r="Z132" s="599">
        <f>IF(데이터입력!BA134="",0,데이터입력!BA134)</f>
        <v>0</v>
      </c>
      <c r="AA132" s="935">
        <f>IF(데이터입력!BB134="",0,데이터입력!BB134)</f>
        <v>0</v>
      </c>
    </row>
    <row r="133" spans="1:27" hidden="1">
      <c r="A133" s="171">
        <f>IF(W133="","",SUBTOTAL(2,$W$11:W133))</f>
        <v>123</v>
      </c>
      <c r="B133" s="200" t="str">
        <f t="shared" si="6"/>
        <v>00</v>
      </c>
      <c r="C133" s="173" t="str">
        <f t="shared" si="7"/>
        <v/>
      </c>
      <c r="D133" s="201" t="str">
        <f t="shared" si="9"/>
        <v/>
      </c>
      <c r="E133" s="201" t="str">
        <f t="shared" si="9"/>
        <v/>
      </c>
      <c r="F133" s="174" t="str">
        <f t="shared" si="8"/>
        <v/>
      </c>
      <c r="G133" s="200" t="s">
        <v>485</v>
      </c>
      <c r="H133" s="200" t="s">
        <v>484</v>
      </c>
      <c r="I133" s="175">
        <f>IF(X133="","",X133*데이터입력!$Y$8)</f>
        <v>0</v>
      </c>
      <c r="J133" s="202">
        <f>R133*데이터입력!$Y$8</f>
        <v>0</v>
      </c>
      <c r="K133" s="202">
        <f>T133*데이터입력!$Y$8</f>
        <v>0</v>
      </c>
      <c r="L133" s="203">
        <f>IFERROR(U133*데이터입력!$Y$8,"")</f>
        <v>0</v>
      </c>
      <c r="M133" s="175">
        <f>IFERROR(V133*데이터입력!$Y$8,"")</f>
        <v>0</v>
      </c>
      <c r="N133" s="594"/>
      <c r="O133" s="184" t="str">
        <f>IF(데이터입력!AP135="","",데이터입력!AP135)</f>
        <v/>
      </c>
      <c r="P133" s="185" t="str">
        <f>IF(데이터입력!AQ135="","",데이터입력!AQ135)</f>
        <v/>
      </c>
      <c r="Q133" s="186">
        <f>IF(데이터입력!AR135="",0,데이터입력!AR135)</f>
        <v>0</v>
      </c>
      <c r="R133" s="187">
        <f>IF(데이터입력!AS135="",0,데이터입력!AS135)</f>
        <v>0</v>
      </c>
      <c r="S133" s="1260">
        <f>IF(데이터입력!AT135="",0,데이터입력!AT135)</f>
        <v>0</v>
      </c>
      <c r="T133" s="187">
        <f>IF(데이터입력!AU135="",0,데이터입력!AU135)</f>
        <v>0</v>
      </c>
      <c r="U133" s="186">
        <f>IF(데이터입력!AV135="",0,데이터입력!AV135)</f>
        <v>0</v>
      </c>
      <c r="V133" s="187">
        <f>IF(데이터입력!AW135="",0,데이터입력!AW135)</f>
        <v>0</v>
      </c>
      <c r="W133" s="1261">
        <f>IF(데이터입력!AX135="",0,데이터입력!AX135)</f>
        <v>0</v>
      </c>
      <c r="X133" s="931">
        <f>IF(데이터입력!AY135="",0,데이터입력!AY135)</f>
        <v>0</v>
      </c>
      <c r="Y133" s="931">
        <f>IF(데이터입력!AZ135="",0,데이터입력!AZ135)</f>
        <v>0</v>
      </c>
      <c r="Z133" s="599">
        <f>IF(데이터입력!BA135="",0,데이터입력!BA135)</f>
        <v>0</v>
      </c>
      <c r="AA133" s="935">
        <f>IF(데이터입력!BB135="",0,데이터입력!BB135)</f>
        <v>0</v>
      </c>
    </row>
    <row r="134" spans="1:27" hidden="1">
      <c r="A134" s="171">
        <f>IF(W134="","",SUBTOTAL(2,$W$11:W134))</f>
        <v>124</v>
      </c>
      <c r="B134" s="198" t="str">
        <f t="shared" si="6"/>
        <v>00</v>
      </c>
      <c r="C134" s="180" t="str">
        <f t="shared" si="7"/>
        <v/>
      </c>
      <c r="D134" s="180" t="str">
        <f t="shared" si="9"/>
        <v/>
      </c>
      <c r="E134" s="180" t="str">
        <f t="shared" si="9"/>
        <v/>
      </c>
      <c r="F134" s="181" t="str">
        <f t="shared" si="8"/>
        <v/>
      </c>
      <c r="G134" s="198" t="s">
        <v>485</v>
      </c>
      <c r="H134" s="198" t="s">
        <v>484</v>
      </c>
      <c r="I134" s="182">
        <f>IF(X134="","",X134*데이터입력!$Y$8)</f>
        <v>0</v>
      </c>
      <c r="J134" s="182">
        <f>R134*데이터입력!$Y$8</f>
        <v>0</v>
      </c>
      <c r="K134" s="182">
        <f>T134*데이터입력!$Y$8</f>
        <v>0</v>
      </c>
      <c r="L134" s="199">
        <f>IFERROR(U134*데이터입력!$Y$8,"")</f>
        <v>0</v>
      </c>
      <c r="M134" s="199">
        <f>IFERROR(V134*데이터입력!$Y$8,"")</f>
        <v>0</v>
      </c>
      <c r="N134" s="594"/>
      <c r="O134" s="184" t="str">
        <f>IF(데이터입력!AP136="","",데이터입력!AP136)</f>
        <v/>
      </c>
      <c r="P134" s="185" t="str">
        <f>IF(데이터입력!AQ136="","",데이터입력!AQ136)</f>
        <v/>
      </c>
      <c r="Q134" s="186">
        <f>IF(데이터입력!AR136="",0,데이터입력!AR136)</f>
        <v>0</v>
      </c>
      <c r="R134" s="187">
        <f>IF(데이터입력!AS136="",0,데이터입력!AS136)</f>
        <v>0</v>
      </c>
      <c r="S134" s="1260">
        <f>IF(데이터입력!AT136="",0,데이터입력!AT136)</f>
        <v>0</v>
      </c>
      <c r="T134" s="187">
        <f>IF(데이터입력!AU136="",0,데이터입력!AU136)</f>
        <v>0</v>
      </c>
      <c r="U134" s="186">
        <f>IF(데이터입력!AV136="",0,데이터입력!AV136)</f>
        <v>0</v>
      </c>
      <c r="V134" s="187">
        <f>IF(데이터입력!AW136="",0,데이터입력!AW136)</f>
        <v>0</v>
      </c>
      <c r="W134" s="1261">
        <f>IF(데이터입력!AX136="",0,데이터입력!AX136)</f>
        <v>0</v>
      </c>
      <c r="X134" s="931">
        <f>IF(데이터입력!AY136="",0,데이터입력!AY136)</f>
        <v>0</v>
      </c>
      <c r="Y134" s="931">
        <f>IF(데이터입력!AZ136="",0,데이터입력!AZ136)</f>
        <v>0</v>
      </c>
      <c r="Z134" s="599">
        <f>IF(데이터입력!BA136="",0,데이터입력!BA136)</f>
        <v>0</v>
      </c>
      <c r="AA134" s="935">
        <f>IF(데이터입력!BB136="",0,데이터입력!BB136)</f>
        <v>0</v>
      </c>
    </row>
    <row r="135" spans="1:27" hidden="1">
      <c r="A135" s="171">
        <f>IF(W135="","",SUBTOTAL(2,$W$11:W135))</f>
        <v>125</v>
      </c>
      <c r="B135" s="200" t="str">
        <f t="shared" si="6"/>
        <v>00</v>
      </c>
      <c r="C135" s="173" t="str">
        <f t="shared" si="7"/>
        <v/>
      </c>
      <c r="D135" s="201" t="str">
        <f t="shared" si="9"/>
        <v/>
      </c>
      <c r="E135" s="201" t="str">
        <f t="shared" si="9"/>
        <v/>
      </c>
      <c r="F135" s="174" t="str">
        <f t="shared" si="8"/>
        <v/>
      </c>
      <c r="G135" s="200" t="s">
        <v>485</v>
      </c>
      <c r="H135" s="200" t="s">
        <v>484</v>
      </c>
      <c r="I135" s="175">
        <f>IF(X135="","",X135*데이터입력!$Y$8)</f>
        <v>0</v>
      </c>
      <c r="J135" s="202">
        <f>R135*데이터입력!$Y$8</f>
        <v>0</v>
      </c>
      <c r="K135" s="202">
        <f>T135*데이터입력!$Y$8</f>
        <v>0</v>
      </c>
      <c r="L135" s="203">
        <f>IFERROR(U135*데이터입력!$Y$8,"")</f>
        <v>0</v>
      </c>
      <c r="M135" s="175">
        <f>IFERROR(V135*데이터입력!$Y$8,"")</f>
        <v>0</v>
      </c>
      <c r="N135" s="594"/>
      <c r="O135" s="184" t="str">
        <f>IF(데이터입력!AP137="","",데이터입력!AP137)</f>
        <v/>
      </c>
      <c r="P135" s="185" t="str">
        <f>IF(데이터입력!AQ137="","",데이터입력!AQ137)</f>
        <v/>
      </c>
      <c r="Q135" s="186">
        <f>IF(데이터입력!AR137="",0,데이터입력!AR137)</f>
        <v>0</v>
      </c>
      <c r="R135" s="187">
        <f>IF(데이터입력!AS137="",0,데이터입력!AS137)</f>
        <v>0</v>
      </c>
      <c r="S135" s="1260">
        <f>IF(데이터입력!AT137="",0,데이터입력!AT137)</f>
        <v>0</v>
      </c>
      <c r="T135" s="187">
        <f>IF(데이터입력!AU137="",0,데이터입력!AU137)</f>
        <v>0</v>
      </c>
      <c r="U135" s="186">
        <f>IF(데이터입력!AV137="",0,데이터입력!AV137)</f>
        <v>0</v>
      </c>
      <c r="V135" s="187">
        <f>IF(데이터입력!AW137="",0,데이터입력!AW137)</f>
        <v>0</v>
      </c>
      <c r="W135" s="1261">
        <f>IF(데이터입력!AX137="",0,데이터입력!AX137)</f>
        <v>0</v>
      </c>
      <c r="X135" s="931">
        <f>IF(데이터입력!AY137="",0,데이터입력!AY137)</f>
        <v>0</v>
      </c>
      <c r="Y135" s="931">
        <f>IF(데이터입력!AZ137="",0,데이터입력!AZ137)</f>
        <v>0</v>
      </c>
      <c r="Z135" s="599">
        <f>IF(데이터입력!BA137="",0,데이터입력!BA137)</f>
        <v>0</v>
      </c>
      <c r="AA135" s="935">
        <f>IF(데이터입력!BB137="",0,데이터입력!BB137)</f>
        <v>0</v>
      </c>
    </row>
    <row r="136" spans="1:27" hidden="1">
      <c r="A136" s="171">
        <f>IF(W136="","",SUBTOTAL(2,$W$11:W136))</f>
        <v>126</v>
      </c>
      <c r="B136" s="198" t="str">
        <f t="shared" si="6"/>
        <v>00</v>
      </c>
      <c r="C136" s="180" t="str">
        <f t="shared" si="7"/>
        <v/>
      </c>
      <c r="D136" s="180" t="str">
        <f t="shared" si="9"/>
        <v/>
      </c>
      <c r="E136" s="180" t="str">
        <f t="shared" si="9"/>
        <v/>
      </c>
      <c r="F136" s="181" t="str">
        <f t="shared" si="8"/>
        <v/>
      </c>
      <c r="G136" s="198" t="s">
        <v>485</v>
      </c>
      <c r="H136" s="198" t="s">
        <v>484</v>
      </c>
      <c r="I136" s="182">
        <f>IF(X136="","",X136*데이터입력!$Y$8)</f>
        <v>0</v>
      </c>
      <c r="J136" s="182">
        <f>R136*데이터입력!$Y$8</f>
        <v>0</v>
      </c>
      <c r="K136" s="182">
        <f>T136*데이터입력!$Y$8</f>
        <v>0</v>
      </c>
      <c r="L136" s="199">
        <f>IFERROR(U136*데이터입력!$Y$8,"")</f>
        <v>0</v>
      </c>
      <c r="M136" s="199">
        <f>IFERROR(V136*데이터입력!$Y$8,"")</f>
        <v>0</v>
      </c>
      <c r="N136" s="594"/>
      <c r="O136" s="184" t="str">
        <f>IF(데이터입력!AP138="","",데이터입력!AP138)</f>
        <v/>
      </c>
      <c r="P136" s="185" t="str">
        <f>IF(데이터입력!AQ138="","",데이터입력!AQ138)</f>
        <v/>
      </c>
      <c r="Q136" s="186">
        <f>IF(데이터입력!AR138="",0,데이터입력!AR138)</f>
        <v>0</v>
      </c>
      <c r="R136" s="187">
        <f>IF(데이터입력!AS138="",0,데이터입력!AS138)</f>
        <v>0</v>
      </c>
      <c r="S136" s="1260">
        <f>IF(데이터입력!AT138="",0,데이터입력!AT138)</f>
        <v>0</v>
      </c>
      <c r="T136" s="187">
        <f>IF(데이터입력!AU138="",0,데이터입력!AU138)</f>
        <v>0</v>
      </c>
      <c r="U136" s="186">
        <f>IF(데이터입력!AV138="",0,데이터입력!AV138)</f>
        <v>0</v>
      </c>
      <c r="V136" s="187">
        <f>IF(데이터입력!AW138="",0,데이터입력!AW138)</f>
        <v>0</v>
      </c>
      <c r="W136" s="1261">
        <f>IF(데이터입력!AX138="",0,데이터입력!AX138)</f>
        <v>0</v>
      </c>
      <c r="X136" s="931">
        <f>IF(데이터입력!AY138="",0,데이터입력!AY138)</f>
        <v>0</v>
      </c>
      <c r="Y136" s="931">
        <f>IF(데이터입력!AZ138="",0,데이터입력!AZ138)</f>
        <v>0</v>
      </c>
      <c r="Z136" s="599">
        <f>IF(데이터입력!BA138="",0,데이터입력!BA138)</f>
        <v>0</v>
      </c>
      <c r="AA136" s="935">
        <f>IF(데이터입력!BB138="",0,데이터입력!BB138)</f>
        <v>0</v>
      </c>
    </row>
    <row r="137" spans="1:27" hidden="1">
      <c r="A137" s="171">
        <f>IF(W137="","",SUBTOTAL(2,$W$11:W137))</f>
        <v>127</v>
      </c>
      <c r="B137" s="200" t="str">
        <f t="shared" si="6"/>
        <v>00</v>
      </c>
      <c r="C137" s="173" t="str">
        <f t="shared" si="7"/>
        <v/>
      </c>
      <c r="D137" s="201" t="str">
        <f t="shared" si="9"/>
        <v/>
      </c>
      <c r="E137" s="201" t="str">
        <f t="shared" si="9"/>
        <v/>
      </c>
      <c r="F137" s="174" t="str">
        <f t="shared" si="8"/>
        <v/>
      </c>
      <c r="G137" s="200" t="s">
        <v>485</v>
      </c>
      <c r="H137" s="200" t="s">
        <v>484</v>
      </c>
      <c r="I137" s="175">
        <f>IF(X137="","",X137*데이터입력!$Y$8)</f>
        <v>0</v>
      </c>
      <c r="J137" s="202">
        <f>R137*데이터입력!$Y$8</f>
        <v>0</v>
      </c>
      <c r="K137" s="202">
        <f>T137*데이터입력!$Y$8</f>
        <v>0</v>
      </c>
      <c r="L137" s="203">
        <f>IFERROR(U137*데이터입력!$Y$8,"")</f>
        <v>0</v>
      </c>
      <c r="M137" s="175">
        <f>IFERROR(V137*데이터입력!$Y$8,"")</f>
        <v>0</v>
      </c>
      <c r="N137" s="594"/>
      <c r="O137" s="184" t="str">
        <f>IF(데이터입력!AP139="","",데이터입력!AP139)</f>
        <v/>
      </c>
      <c r="P137" s="185" t="str">
        <f>IF(데이터입력!AQ139="","",데이터입력!AQ139)</f>
        <v/>
      </c>
      <c r="Q137" s="186">
        <f>IF(데이터입력!AR139="",0,데이터입력!AR139)</f>
        <v>0</v>
      </c>
      <c r="R137" s="187">
        <f>IF(데이터입력!AS139="",0,데이터입력!AS139)</f>
        <v>0</v>
      </c>
      <c r="S137" s="1260">
        <f>IF(데이터입력!AT139="",0,데이터입력!AT139)</f>
        <v>0</v>
      </c>
      <c r="T137" s="187">
        <f>IF(데이터입력!AU139="",0,데이터입력!AU139)</f>
        <v>0</v>
      </c>
      <c r="U137" s="186">
        <f>IF(데이터입력!AV139="",0,데이터입력!AV139)</f>
        <v>0</v>
      </c>
      <c r="V137" s="187">
        <f>IF(데이터입력!AW139="",0,데이터입력!AW139)</f>
        <v>0</v>
      </c>
      <c r="W137" s="1261">
        <f>IF(데이터입력!AX139="",0,데이터입력!AX139)</f>
        <v>0</v>
      </c>
      <c r="X137" s="931">
        <f>IF(데이터입력!AY139="",0,데이터입력!AY139)</f>
        <v>0</v>
      </c>
      <c r="Y137" s="931">
        <f>IF(데이터입력!AZ139="",0,데이터입력!AZ139)</f>
        <v>0</v>
      </c>
      <c r="Z137" s="599">
        <f>IF(데이터입력!BA139="",0,데이터입력!BA139)</f>
        <v>0</v>
      </c>
      <c r="AA137" s="935">
        <f>IF(데이터입력!BB139="",0,데이터입력!BB139)</f>
        <v>0</v>
      </c>
    </row>
    <row r="138" spans="1:27" hidden="1">
      <c r="A138" s="171">
        <f>IF(W138="","",SUBTOTAL(2,$W$11:W138))</f>
        <v>128</v>
      </c>
      <c r="B138" s="198" t="str">
        <f t="shared" si="6"/>
        <v>00</v>
      </c>
      <c r="C138" s="180" t="str">
        <f t="shared" si="7"/>
        <v/>
      </c>
      <c r="D138" s="180" t="str">
        <f t="shared" si="9"/>
        <v/>
      </c>
      <c r="E138" s="180" t="str">
        <f t="shared" si="9"/>
        <v/>
      </c>
      <c r="F138" s="181" t="str">
        <f t="shared" si="8"/>
        <v/>
      </c>
      <c r="G138" s="198" t="s">
        <v>485</v>
      </c>
      <c r="H138" s="198" t="s">
        <v>484</v>
      </c>
      <c r="I138" s="182">
        <f>IF(X138="","",X138*데이터입력!$Y$8)</f>
        <v>0</v>
      </c>
      <c r="J138" s="182">
        <f>R138*데이터입력!$Y$8</f>
        <v>0</v>
      </c>
      <c r="K138" s="182">
        <f>T138*데이터입력!$Y$8</f>
        <v>0</v>
      </c>
      <c r="L138" s="199">
        <f>IFERROR(U138*데이터입력!$Y$8,"")</f>
        <v>0</v>
      </c>
      <c r="M138" s="199">
        <f>IFERROR(V138*데이터입력!$Y$8,"")</f>
        <v>0</v>
      </c>
      <c r="N138" s="594"/>
      <c r="O138" s="184" t="str">
        <f>IF(데이터입력!AP140="","",데이터입력!AP140)</f>
        <v/>
      </c>
      <c r="P138" s="185" t="str">
        <f>IF(데이터입력!AQ140="","",데이터입력!AQ140)</f>
        <v/>
      </c>
      <c r="Q138" s="186">
        <f>IF(데이터입력!AR140="",0,데이터입력!AR140)</f>
        <v>0</v>
      </c>
      <c r="R138" s="187">
        <f>IF(데이터입력!AS140="",0,데이터입력!AS140)</f>
        <v>0</v>
      </c>
      <c r="S138" s="1260">
        <f>IF(데이터입력!AT140="",0,데이터입력!AT140)</f>
        <v>0</v>
      </c>
      <c r="T138" s="187">
        <f>IF(데이터입력!AU140="",0,데이터입력!AU140)</f>
        <v>0</v>
      </c>
      <c r="U138" s="186">
        <f>IF(데이터입력!AV140="",0,데이터입력!AV140)</f>
        <v>0</v>
      </c>
      <c r="V138" s="187">
        <f>IF(데이터입력!AW140="",0,데이터입력!AW140)</f>
        <v>0</v>
      </c>
      <c r="W138" s="1261">
        <f>IF(데이터입력!AX140="",0,데이터입력!AX140)</f>
        <v>0</v>
      </c>
      <c r="X138" s="931">
        <f>IF(데이터입력!AY140="",0,데이터입력!AY140)</f>
        <v>0</v>
      </c>
      <c r="Y138" s="931">
        <f>IF(데이터입력!AZ140="",0,데이터입력!AZ140)</f>
        <v>0</v>
      </c>
      <c r="Z138" s="599">
        <f>IF(데이터입력!BA140="",0,데이터입력!BA140)</f>
        <v>0</v>
      </c>
      <c r="AA138" s="935">
        <f>IF(데이터입력!BB140="",0,데이터입력!BB140)</f>
        <v>0</v>
      </c>
    </row>
    <row r="139" spans="1:27" hidden="1">
      <c r="A139" s="171">
        <f>IF(W139="","",SUBTOTAL(2,$W$11:W139))</f>
        <v>129</v>
      </c>
      <c r="B139" s="200" t="str">
        <f t="shared" ref="B139:B260" si="10">$P$2</f>
        <v>00</v>
      </c>
      <c r="C139" s="173" t="str">
        <f t="shared" si="7"/>
        <v/>
      </c>
      <c r="D139" s="201" t="str">
        <f t="shared" si="9"/>
        <v/>
      </c>
      <c r="E139" s="201" t="str">
        <f t="shared" si="9"/>
        <v/>
      </c>
      <c r="F139" s="174" t="str">
        <f t="shared" si="8"/>
        <v/>
      </c>
      <c r="G139" s="200" t="s">
        <v>485</v>
      </c>
      <c r="H139" s="200" t="s">
        <v>484</v>
      </c>
      <c r="I139" s="175">
        <f>IF(X139="","",X139*데이터입력!$Y$8)</f>
        <v>0</v>
      </c>
      <c r="J139" s="202">
        <f>R139*데이터입력!$Y$8</f>
        <v>0</v>
      </c>
      <c r="K139" s="202">
        <f>T139*데이터입력!$Y$8</f>
        <v>0</v>
      </c>
      <c r="L139" s="203">
        <f>IFERROR(U139*데이터입력!$Y$8,"")</f>
        <v>0</v>
      </c>
      <c r="M139" s="175">
        <f>IFERROR(V139*데이터입력!$Y$8,"")</f>
        <v>0</v>
      </c>
      <c r="N139" s="594"/>
      <c r="O139" s="184" t="str">
        <f>IF(데이터입력!AP141="","",데이터입력!AP141)</f>
        <v/>
      </c>
      <c r="P139" s="185" t="str">
        <f>IF(데이터입력!AQ141="","",데이터입력!AQ141)</f>
        <v/>
      </c>
      <c r="Q139" s="186">
        <f>IF(데이터입력!AR141="",0,데이터입력!AR141)</f>
        <v>0</v>
      </c>
      <c r="R139" s="187">
        <f>IF(데이터입력!AS141="",0,데이터입력!AS141)</f>
        <v>0</v>
      </c>
      <c r="S139" s="1260">
        <f>IF(데이터입력!AT141="",0,데이터입력!AT141)</f>
        <v>0</v>
      </c>
      <c r="T139" s="187">
        <f>IF(데이터입력!AU141="",0,데이터입력!AU141)</f>
        <v>0</v>
      </c>
      <c r="U139" s="186">
        <f>IF(데이터입력!AV141="",0,데이터입력!AV141)</f>
        <v>0</v>
      </c>
      <c r="V139" s="187">
        <f>IF(데이터입력!AW141="",0,데이터입력!AW141)</f>
        <v>0</v>
      </c>
      <c r="W139" s="1261">
        <f>IF(데이터입력!AX141="",0,데이터입력!AX141)</f>
        <v>0</v>
      </c>
      <c r="X139" s="931">
        <f>IF(데이터입력!AY141="",0,데이터입력!AY141)</f>
        <v>0</v>
      </c>
      <c r="Y139" s="931">
        <f>IF(데이터입력!AZ141="",0,데이터입력!AZ141)</f>
        <v>0</v>
      </c>
      <c r="Z139" s="599">
        <f>IF(데이터입력!BA141="",0,데이터입력!BA141)</f>
        <v>0</v>
      </c>
      <c r="AA139" s="935">
        <f>IF(데이터입력!BB141="",0,데이터입력!BB141)</f>
        <v>0</v>
      </c>
    </row>
    <row r="140" spans="1:27" hidden="1">
      <c r="A140" s="171">
        <f>IF(W140="","",SUBTOTAL(2,$W$11:W140))</f>
        <v>130</v>
      </c>
      <c r="B140" s="198" t="str">
        <f t="shared" si="10"/>
        <v>00</v>
      </c>
      <c r="C140" s="180" t="str">
        <f t="shared" ref="C140:C260" si="11">IF(D140="","",$P$3)</f>
        <v/>
      </c>
      <c r="D140" s="180" t="str">
        <f t="shared" si="9"/>
        <v/>
      </c>
      <c r="E140" s="180" t="str">
        <f t="shared" si="9"/>
        <v/>
      </c>
      <c r="F140" s="181" t="str">
        <f t="shared" ref="F140:F260" si="12">IF(E140="","",$P$4)</f>
        <v/>
      </c>
      <c r="G140" s="198" t="s">
        <v>485</v>
      </c>
      <c r="H140" s="198" t="s">
        <v>484</v>
      </c>
      <c r="I140" s="182">
        <f>IF(X140="","",X140*데이터입력!$Y$8)</f>
        <v>0</v>
      </c>
      <c r="J140" s="182">
        <f>R140*데이터입력!$Y$8</f>
        <v>0</v>
      </c>
      <c r="K140" s="182">
        <f>T140*데이터입력!$Y$8</f>
        <v>0</v>
      </c>
      <c r="L140" s="199">
        <f>IFERROR(U140*데이터입력!$Y$8,"")</f>
        <v>0</v>
      </c>
      <c r="M140" s="199">
        <f>IFERROR(V140*데이터입력!$Y$8,"")</f>
        <v>0</v>
      </c>
      <c r="N140" s="594"/>
      <c r="O140" s="184" t="str">
        <f>IF(데이터입력!AP142="","",데이터입력!AP142)</f>
        <v/>
      </c>
      <c r="P140" s="185" t="str">
        <f>IF(데이터입력!AQ142="","",데이터입력!AQ142)</f>
        <v/>
      </c>
      <c r="Q140" s="186">
        <f>IF(데이터입력!AR142="",0,데이터입력!AR142)</f>
        <v>0</v>
      </c>
      <c r="R140" s="187">
        <f>IF(데이터입력!AS142="",0,데이터입력!AS142)</f>
        <v>0</v>
      </c>
      <c r="S140" s="1260">
        <f>IF(데이터입력!AT142="",0,데이터입력!AT142)</f>
        <v>0</v>
      </c>
      <c r="T140" s="187">
        <f>IF(데이터입력!AU142="",0,데이터입력!AU142)</f>
        <v>0</v>
      </c>
      <c r="U140" s="186">
        <f>IF(데이터입력!AV142="",0,데이터입력!AV142)</f>
        <v>0</v>
      </c>
      <c r="V140" s="187">
        <f>IF(데이터입력!AW142="",0,데이터입력!AW142)</f>
        <v>0</v>
      </c>
      <c r="W140" s="1261">
        <f>IF(데이터입력!AX142="",0,데이터입력!AX142)</f>
        <v>0</v>
      </c>
      <c r="X140" s="931">
        <f>IF(데이터입력!AY142="",0,데이터입력!AY142)</f>
        <v>0</v>
      </c>
      <c r="Y140" s="931">
        <f>IF(데이터입력!AZ142="",0,데이터입력!AZ142)</f>
        <v>0</v>
      </c>
      <c r="Z140" s="599">
        <f>IF(데이터입력!BA142="",0,데이터입력!BA142)</f>
        <v>0</v>
      </c>
      <c r="AA140" s="935">
        <f>IF(데이터입력!BB142="",0,데이터입력!BB142)</f>
        <v>0</v>
      </c>
    </row>
    <row r="141" spans="1:27" hidden="1">
      <c r="A141" s="171">
        <f>IF(W141="","",SUBTOTAL(2,$W$11:W141))</f>
        <v>131</v>
      </c>
      <c r="B141" s="200" t="str">
        <f t="shared" si="10"/>
        <v>00</v>
      </c>
      <c r="C141" s="173" t="str">
        <f t="shared" si="11"/>
        <v/>
      </c>
      <c r="D141" s="201" t="str">
        <f t="shared" ref="D141:E260" si="13">IF(O141="","",O141)</f>
        <v/>
      </c>
      <c r="E141" s="201" t="str">
        <f t="shared" si="13"/>
        <v/>
      </c>
      <c r="F141" s="174" t="str">
        <f t="shared" si="12"/>
        <v/>
      </c>
      <c r="G141" s="200" t="s">
        <v>485</v>
      </c>
      <c r="H141" s="200" t="s">
        <v>484</v>
      </c>
      <c r="I141" s="175">
        <f>IF(X141="","",X141*데이터입력!$Y$8)</f>
        <v>0</v>
      </c>
      <c r="J141" s="202">
        <f>R141*데이터입력!$Y$8</f>
        <v>0</v>
      </c>
      <c r="K141" s="202">
        <f>T141*데이터입력!$Y$8</f>
        <v>0</v>
      </c>
      <c r="L141" s="203">
        <f>IFERROR(U141*데이터입력!$Y$8,"")</f>
        <v>0</v>
      </c>
      <c r="M141" s="175">
        <f>IFERROR(V141*데이터입력!$Y$8,"")</f>
        <v>0</v>
      </c>
      <c r="N141" s="594"/>
      <c r="O141" s="184" t="str">
        <f>IF(데이터입력!AP143="","",데이터입력!AP143)</f>
        <v/>
      </c>
      <c r="P141" s="185" t="str">
        <f>IF(데이터입력!AQ143="","",데이터입력!AQ143)</f>
        <v/>
      </c>
      <c r="Q141" s="186">
        <f>IF(데이터입력!AR143="",0,데이터입력!AR143)</f>
        <v>0</v>
      </c>
      <c r="R141" s="187">
        <f>IF(데이터입력!AS143="",0,데이터입력!AS143)</f>
        <v>0</v>
      </c>
      <c r="S141" s="1260">
        <f>IF(데이터입력!AT143="",0,데이터입력!AT143)</f>
        <v>0</v>
      </c>
      <c r="T141" s="187">
        <f>IF(데이터입력!AU143="",0,데이터입력!AU143)</f>
        <v>0</v>
      </c>
      <c r="U141" s="186">
        <f>IF(데이터입력!AV143="",0,데이터입력!AV143)</f>
        <v>0</v>
      </c>
      <c r="V141" s="187">
        <f>IF(데이터입력!AW143="",0,데이터입력!AW143)</f>
        <v>0</v>
      </c>
      <c r="W141" s="1261">
        <f>IF(데이터입력!AX143="",0,데이터입력!AX143)</f>
        <v>0</v>
      </c>
      <c r="X141" s="931">
        <f>IF(데이터입력!AY143="",0,데이터입력!AY143)</f>
        <v>0</v>
      </c>
      <c r="Y141" s="931">
        <f>IF(데이터입력!AZ143="",0,데이터입력!AZ143)</f>
        <v>0</v>
      </c>
      <c r="Z141" s="599">
        <f>IF(데이터입력!BA143="",0,데이터입력!BA143)</f>
        <v>0</v>
      </c>
      <c r="AA141" s="935">
        <f>IF(데이터입력!BB143="",0,데이터입력!BB143)</f>
        <v>0</v>
      </c>
    </row>
    <row r="142" spans="1:27" hidden="1">
      <c r="A142" s="171">
        <f>IF(W142="","",SUBTOTAL(2,$W$11:W142))</f>
        <v>132</v>
      </c>
      <c r="B142" s="198" t="str">
        <f t="shared" si="10"/>
        <v>00</v>
      </c>
      <c r="C142" s="180" t="str">
        <f t="shared" si="11"/>
        <v/>
      </c>
      <c r="D142" s="180" t="str">
        <f t="shared" si="13"/>
        <v/>
      </c>
      <c r="E142" s="180" t="str">
        <f t="shared" si="13"/>
        <v/>
      </c>
      <c r="F142" s="181" t="str">
        <f t="shared" si="12"/>
        <v/>
      </c>
      <c r="G142" s="198" t="s">
        <v>485</v>
      </c>
      <c r="H142" s="198" t="s">
        <v>484</v>
      </c>
      <c r="I142" s="182">
        <f>IF(X142="","",X142*데이터입력!$Y$8)</f>
        <v>0</v>
      </c>
      <c r="J142" s="182">
        <f>R142*데이터입력!$Y$8</f>
        <v>0</v>
      </c>
      <c r="K142" s="182">
        <f>T142*데이터입력!$Y$8</f>
        <v>0</v>
      </c>
      <c r="L142" s="199">
        <f>IFERROR(U142*데이터입력!$Y$8,"")</f>
        <v>0</v>
      </c>
      <c r="M142" s="199">
        <f>IFERROR(V142*데이터입력!$Y$8,"")</f>
        <v>0</v>
      </c>
      <c r="N142" s="594"/>
      <c r="O142" s="184" t="str">
        <f>IF(데이터입력!AP144="","",데이터입력!AP144)</f>
        <v/>
      </c>
      <c r="P142" s="185" t="str">
        <f>IF(데이터입력!AQ144="","",데이터입력!AQ144)</f>
        <v/>
      </c>
      <c r="Q142" s="186">
        <f>IF(데이터입력!AR144="",0,데이터입력!AR144)</f>
        <v>0</v>
      </c>
      <c r="R142" s="187">
        <f>IF(데이터입력!AS144="",0,데이터입력!AS144)</f>
        <v>0</v>
      </c>
      <c r="S142" s="1260">
        <f>IF(데이터입력!AT144="",0,데이터입력!AT144)</f>
        <v>0</v>
      </c>
      <c r="T142" s="187">
        <f>IF(데이터입력!AU144="",0,데이터입력!AU144)</f>
        <v>0</v>
      </c>
      <c r="U142" s="186">
        <f>IF(데이터입력!AV144="",0,데이터입력!AV144)</f>
        <v>0</v>
      </c>
      <c r="V142" s="187">
        <f>IF(데이터입력!AW144="",0,데이터입력!AW144)</f>
        <v>0</v>
      </c>
      <c r="W142" s="1261">
        <f>IF(데이터입력!AX144="",0,데이터입력!AX144)</f>
        <v>0</v>
      </c>
      <c r="X142" s="931">
        <f>IF(데이터입력!AY144="",0,데이터입력!AY144)</f>
        <v>0</v>
      </c>
      <c r="Y142" s="931">
        <f>IF(데이터입력!AZ144="",0,데이터입력!AZ144)</f>
        <v>0</v>
      </c>
      <c r="Z142" s="599">
        <f>IF(데이터입력!BA144="",0,데이터입력!BA144)</f>
        <v>0</v>
      </c>
      <c r="AA142" s="935">
        <f>IF(데이터입력!BB144="",0,데이터입력!BB144)</f>
        <v>0</v>
      </c>
    </row>
    <row r="143" spans="1:27" hidden="1">
      <c r="A143" s="171">
        <f>IF(W143="","",SUBTOTAL(2,$W$11:W143))</f>
        <v>133</v>
      </c>
      <c r="B143" s="200" t="str">
        <f t="shared" si="10"/>
        <v>00</v>
      </c>
      <c r="C143" s="173" t="str">
        <f t="shared" si="11"/>
        <v/>
      </c>
      <c r="D143" s="201" t="str">
        <f t="shared" si="13"/>
        <v/>
      </c>
      <c r="E143" s="201" t="str">
        <f t="shared" si="13"/>
        <v/>
      </c>
      <c r="F143" s="174" t="str">
        <f t="shared" si="12"/>
        <v/>
      </c>
      <c r="G143" s="200" t="s">
        <v>485</v>
      </c>
      <c r="H143" s="200" t="s">
        <v>484</v>
      </c>
      <c r="I143" s="175">
        <f>IF(X143="","",X143*데이터입력!$Y$8)</f>
        <v>0</v>
      </c>
      <c r="J143" s="202">
        <f>R143*데이터입력!$Y$8</f>
        <v>0</v>
      </c>
      <c r="K143" s="202">
        <f>T143*데이터입력!$Y$8</f>
        <v>0</v>
      </c>
      <c r="L143" s="203">
        <f>IFERROR(U143*데이터입력!$Y$8,"")</f>
        <v>0</v>
      </c>
      <c r="M143" s="175">
        <f>IFERROR(V143*데이터입력!$Y$8,"")</f>
        <v>0</v>
      </c>
      <c r="N143" s="594"/>
      <c r="O143" s="184" t="str">
        <f>IF(데이터입력!AP145="","",데이터입력!AP145)</f>
        <v/>
      </c>
      <c r="P143" s="185" t="str">
        <f>IF(데이터입력!AQ145="","",데이터입력!AQ145)</f>
        <v/>
      </c>
      <c r="Q143" s="186">
        <f>IF(데이터입력!AR145="",0,데이터입력!AR145)</f>
        <v>0</v>
      </c>
      <c r="R143" s="187">
        <f>IF(데이터입력!AS145="",0,데이터입력!AS145)</f>
        <v>0</v>
      </c>
      <c r="S143" s="1260">
        <f>IF(데이터입력!AT145="",0,데이터입력!AT145)</f>
        <v>0</v>
      </c>
      <c r="T143" s="187">
        <f>IF(데이터입력!AU145="",0,데이터입력!AU145)</f>
        <v>0</v>
      </c>
      <c r="U143" s="186">
        <f>IF(데이터입력!AV145="",0,데이터입력!AV145)</f>
        <v>0</v>
      </c>
      <c r="V143" s="187">
        <f>IF(데이터입력!AW145="",0,데이터입력!AW145)</f>
        <v>0</v>
      </c>
      <c r="W143" s="1261">
        <f>IF(데이터입력!AX145="",0,데이터입력!AX145)</f>
        <v>0</v>
      </c>
      <c r="X143" s="931">
        <f>IF(데이터입력!AY145="",0,데이터입력!AY145)</f>
        <v>0</v>
      </c>
      <c r="Y143" s="931">
        <f>IF(데이터입력!AZ145="",0,데이터입력!AZ145)</f>
        <v>0</v>
      </c>
      <c r="Z143" s="599">
        <f>IF(데이터입력!BA145="",0,데이터입력!BA145)</f>
        <v>0</v>
      </c>
      <c r="AA143" s="935">
        <f>IF(데이터입력!BB145="",0,데이터입력!BB145)</f>
        <v>0</v>
      </c>
    </row>
    <row r="144" spans="1:27" hidden="1">
      <c r="A144" s="171">
        <f>IF(W144="","",SUBTOTAL(2,$W$11:W144))</f>
        <v>134</v>
      </c>
      <c r="B144" s="198" t="str">
        <f t="shared" si="10"/>
        <v>00</v>
      </c>
      <c r="C144" s="180" t="str">
        <f t="shared" si="11"/>
        <v/>
      </c>
      <c r="D144" s="180" t="str">
        <f t="shared" si="13"/>
        <v/>
      </c>
      <c r="E144" s="180" t="str">
        <f t="shared" si="13"/>
        <v/>
      </c>
      <c r="F144" s="181" t="str">
        <f t="shared" si="12"/>
        <v/>
      </c>
      <c r="G144" s="198" t="s">
        <v>485</v>
      </c>
      <c r="H144" s="198" t="s">
        <v>484</v>
      </c>
      <c r="I144" s="182">
        <f>IF(X144="","",X144*데이터입력!$Y$8)</f>
        <v>0</v>
      </c>
      <c r="J144" s="182">
        <f>R144*데이터입력!$Y$8</f>
        <v>0</v>
      </c>
      <c r="K144" s="182">
        <f>T144*데이터입력!$Y$8</f>
        <v>0</v>
      </c>
      <c r="L144" s="199">
        <f>IFERROR(U144*데이터입력!$Y$8,"")</f>
        <v>0</v>
      </c>
      <c r="M144" s="199">
        <f>IFERROR(V144*데이터입력!$Y$8,"")</f>
        <v>0</v>
      </c>
      <c r="N144" s="594"/>
      <c r="O144" s="184" t="str">
        <f>IF(데이터입력!AP146="","",데이터입력!AP146)</f>
        <v/>
      </c>
      <c r="P144" s="185" t="str">
        <f>IF(데이터입력!AQ146="","",데이터입력!AQ146)</f>
        <v/>
      </c>
      <c r="Q144" s="186">
        <f>IF(데이터입력!AR146="",0,데이터입력!AR146)</f>
        <v>0</v>
      </c>
      <c r="R144" s="187">
        <f>IF(데이터입력!AS146="",0,데이터입력!AS146)</f>
        <v>0</v>
      </c>
      <c r="S144" s="1260">
        <f>IF(데이터입력!AT146="",0,데이터입력!AT146)</f>
        <v>0</v>
      </c>
      <c r="T144" s="187">
        <f>IF(데이터입력!AU146="",0,데이터입력!AU146)</f>
        <v>0</v>
      </c>
      <c r="U144" s="186">
        <f>IF(데이터입력!AV146="",0,데이터입력!AV146)</f>
        <v>0</v>
      </c>
      <c r="V144" s="187">
        <f>IF(데이터입력!AW146="",0,데이터입력!AW146)</f>
        <v>0</v>
      </c>
      <c r="W144" s="1261">
        <f>IF(데이터입력!AX146="",0,데이터입력!AX146)</f>
        <v>0</v>
      </c>
      <c r="X144" s="931">
        <f>IF(데이터입력!AY146="",0,데이터입력!AY146)</f>
        <v>0</v>
      </c>
      <c r="Y144" s="931">
        <f>IF(데이터입력!AZ146="",0,데이터입력!AZ146)</f>
        <v>0</v>
      </c>
      <c r="Z144" s="599">
        <f>IF(데이터입력!BA146="",0,데이터입력!BA146)</f>
        <v>0</v>
      </c>
      <c r="AA144" s="935">
        <f>IF(데이터입력!BB146="",0,데이터입력!BB146)</f>
        <v>0</v>
      </c>
    </row>
    <row r="145" spans="1:27" hidden="1">
      <c r="A145" s="171">
        <f>IF(W145="","",SUBTOTAL(2,$W$11:W145))</f>
        <v>135</v>
      </c>
      <c r="B145" s="200" t="str">
        <f t="shared" si="10"/>
        <v>00</v>
      </c>
      <c r="C145" s="173" t="str">
        <f t="shared" si="11"/>
        <v/>
      </c>
      <c r="D145" s="201" t="str">
        <f t="shared" si="13"/>
        <v/>
      </c>
      <c r="E145" s="201" t="str">
        <f t="shared" si="13"/>
        <v/>
      </c>
      <c r="F145" s="174" t="str">
        <f t="shared" si="12"/>
        <v/>
      </c>
      <c r="G145" s="200" t="s">
        <v>485</v>
      </c>
      <c r="H145" s="200" t="s">
        <v>484</v>
      </c>
      <c r="I145" s="175">
        <f>IF(X145="","",X145*데이터입력!$Y$8)</f>
        <v>0</v>
      </c>
      <c r="J145" s="202">
        <f>R145*데이터입력!$Y$8</f>
        <v>0</v>
      </c>
      <c r="K145" s="202">
        <f>T145*데이터입력!$Y$8</f>
        <v>0</v>
      </c>
      <c r="L145" s="203">
        <f>IFERROR(U145*데이터입력!$Y$8,"")</f>
        <v>0</v>
      </c>
      <c r="M145" s="175">
        <f>IFERROR(V145*데이터입력!$Y$8,"")</f>
        <v>0</v>
      </c>
      <c r="N145" s="594"/>
      <c r="O145" s="184" t="str">
        <f>IF(데이터입력!AP147="","",데이터입력!AP147)</f>
        <v/>
      </c>
      <c r="P145" s="185" t="str">
        <f>IF(데이터입력!AQ147="","",데이터입력!AQ147)</f>
        <v/>
      </c>
      <c r="Q145" s="186">
        <f>IF(데이터입력!AR147="",0,데이터입력!AR147)</f>
        <v>0</v>
      </c>
      <c r="R145" s="187">
        <f>IF(데이터입력!AS147="",0,데이터입력!AS147)</f>
        <v>0</v>
      </c>
      <c r="S145" s="1260">
        <f>IF(데이터입력!AT147="",0,데이터입력!AT147)</f>
        <v>0</v>
      </c>
      <c r="T145" s="187">
        <f>IF(데이터입력!AU147="",0,데이터입력!AU147)</f>
        <v>0</v>
      </c>
      <c r="U145" s="186">
        <f>IF(데이터입력!AV147="",0,데이터입력!AV147)</f>
        <v>0</v>
      </c>
      <c r="V145" s="187">
        <f>IF(데이터입력!AW147="",0,데이터입력!AW147)</f>
        <v>0</v>
      </c>
      <c r="W145" s="1261">
        <f>IF(데이터입력!AX147="",0,데이터입력!AX147)</f>
        <v>0</v>
      </c>
      <c r="X145" s="931">
        <f>IF(데이터입력!AY147="",0,데이터입력!AY147)</f>
        <v>0</v>
      </c>
      <c r="Y145" s="931">
        <f>IF(데이터입력!AZ147="",0,데이터입력!AZ147)</f>
        <v>0</v>
      </c>
      <c r="Z145" s="599">
        <f>IF(데이터입력!BA147="",0,데이터입력!BA147)</f>
        <v>0</v>
      </c>
      <c r="AA145" s="935">
        <f>IF(데이터입력!BB147="",0,데이터입력!BB147)</f>
        <v>0</v>
      </c>
    </row>
    <row r="146" spans="1:27" hidden="1">
      <c r="A146" s="171">
        <f>IF(W146="","",SUBTOTAL(2,$W$11:W146))</f>
        <v>136</v>
      </c>
      <c r="B146" s="198" t="str">
        <f t="shared" si="10"/>
        <v>00</v>
      </c>
      <c r="C146" s="180" t="str">
        <f t="shared" si="11"/>
        <v/>
      </c>
      <c r="D146" s="180" t="str">
        <f t="shared" si="13"/>
        <v/>
      </c>
      <c r="E146" s="180" t="str">
        <f t="shared" si="13"/>
        <v/>
      </c>
      <c r="F146" s="181" t="str">
        <f t="shared" si="12"/>
        <v/>
      </c>
      <c r="G146" s="198" t="s">
        <v>485</v>
      </c>
      <c r="H146" s="198" t="s">
        <v>484</v>
      </c>
      <c r="I146" s="182">
        <f>IF(X146="","",X146*데이터입력!$Y$8)</f>
        <v>0</v>
      </c>
      <c r="J146" s="182">
        <f>R146*데이터입력!$Y$8</f>
        <v>0</v>
      </c>
      <c r="K146" s="182">
        <f>T146*데이터입력!$Y$8</f>
        <v>0</v>
      </c>
      <c r="L146" s="199">
        <f>IFERROR(U146*데이터입력!$Y$8,"")</f>
        <v>0</v>
      </c>
      <c r="M146" s="199">
        <f>IFERROR(V146*데이터입력!$Y$8,"")</f>
        <v>0</v>
      </c>
      <c r="N146" s="594"/>
      <c r="O146" s="184" t="str">
        <f>IF(데이터입력!AP148="","",데이터입력!AP148)</f>
        <v/>
      </c>
      <c r="P146" s="185" t="str">
        <f>IF(데이터입력!AQ148="","",데이터입력!AQ148)</f>
        <v/>
      </c>
      <c r="Q146" s="186">
        <f>IF(데이터입력!AR148="",0,데이터입력!AR148)</f>
        <v>0</v>
      </c>
      <c r="R146" s="187">
        <f>IF(데이터입력!AS148="",0,데이터입력!AS148)</f>
        <v>0</v>
      </c>
      <c r="S146" s="1260">
        <f>IF(데이터입력!AT148="",0,데이터입력!AT148)</f>
        <v>0</v>
      </c>
      <c r="T146" s="187">
        <f>IF(데이터입력!AU148="",0,데이터입력!AU148)</f>
        <v>0</v>
      </c>
      <c r="U146" s="186">
        <f>IF(데이터입력!AV148="",0,데이터입력!AV148)</f>
        <v>0</v>
      </c>
      <c r="V146" s="187">
        <f>IF(데이터입력!AW148="",0,데이터입력!AW148)</f>
        <v>0</v>
      </c>
      <c r="W146" s="1261">
        <f>IF(데이터입력!AX148="",0,데이터입력!AX148)</f>
        <v>0</v>
      </c>
      <c r="X146" s="931">
        <f>IF(데이터입력!AY148="",0,데이터입력!AY148)</f>
        <v>0</v>
      </c>
      <c r="Y146" s="931">
        <f>IF(데이터입력!AZ148="",0,데이터입력!AZ148)</f>
        <v>0</v>
      </c>
      <c r="Z146" s="599">
        <f>IF(데이터입력!BA148="",0,데이터입력!BA148)</f>
        <v>0</v>
      </c>
      <c r="AA146" s="935">
        <f>IF(데이터입력!BB148="",0,데이터입력!BB148)</f>
        <v>0</v>
      </c>
    </row>
    <row r="147" spans="1:27" hidden="1">
      <c r="A147" s="171">
        <f>IF(W147="","",SUBTOTAL(2,$W$11:W147))</f>
        <v>137</v>
      </c>
      <c r="B147" s="200" t="str">
        <f t="shared" si="10"/>
        <v>00</v>
      </c>
      <c r="C147" s="173" t="str">
        <f t="shared" si="11"/>
        <v/>
      </c>
      <c r="D147" s="201" t="str">
        <f t="shared" si="13"/>
        <v/>
      </c>
      <c r="E147" s="201" t="str">
        <f t="shared" si="13"/>
        <v/>
      </c>
      <c r="F147" s="174" t="str">
        <f t="shared" si="12"/>
        <v/>
      </c>
      <c r="G147" s="200" t="s">
        <v>485</v>
      </c>
      <c r="H147" s="200" t="s">
        <v>484</v>
      </c>
      <c r="I147" s="175">
        <f>IF(X147="","",X147*데이터입력!$Y$8)</f>
        <v>0</v>
      </c>
      <c r="J147" s="202">
        <f>R147*데이터입력!$Y$8</f>
        <v>0</v>
      </c>
      <c r="K147" s="202">
        <f>T147*데이터입력!$Y$8</f>
        <v>0</v>
      </c>
      <c r="L147" s="203">
        <f>IFERROR(U147*데이터입력!$Y$8,"")</f>
        <v>0</v>
      </c>
      <c r="M147" s="175">
        <f>IFERROR(V147*데이터입력!$Y$8,"")</f>
        <v>0</v>
      </c>
      <c r="N147" s="594"/>
      <c r="O147" s="184" t="str">
        <f>IF(데이터입력!AP149="","",데이터입력!AP149)</f>
        <v/>
      </c>
      <c r="P147" s="185" t="str">
        <f>IF(데이터입력!AQ149="","",데이터입력!AQ149)</f>
        <v/>
      </c>
      <c r="Q147" s="186">
        <f>IF(데이터입력!AR149="",0,데이터입력!AR149)</f>
        <v>0</v>
      </c>
      <c r="R147" s="187">
        <f>IF(데이터입력!AS149="",0,데이터입력!AS149)</f>
        <v>0</v>
      </c>
      <c r="S147" s="1260">
        <f>IF(데이터입력!AT149="",0,데이터입력!AT149)</f>
        <v>0</v>
      </c>
      <c r="T147" s="187">
        <f>IF(데이터입력!AU149="",0,데이터입력!AU149)</f>
        <v>0</v>
      </c>
      <c r="U147" s="186">
        <f>IF(데이터입력!AV149="",0,데이터입력!AV149)</f>
        <v>0</v>
      </c>
      <c r="V147" s="187">
        <f>IF(데이터입력!AW149="",0,데이터입력!AW149)</f>
        <v>0</v>
      </c>
      <c r="W147" s="1261">
        <f>IF(데이터입력!AX149="",0,데이터입력!AX149)</f>
        <v>0</v>
      </c>
      <c r="X147" s="931">
        <f>IF(데이터입력!AY149="",0,데이터입력!AY149)</f>
        <v>0</v>
      </c>
      <c r="Y147" s="931">
        <f>IF(데이터입력!AZ149="",0,데이터입력!AZ149)</f>
        <v>0</v>
      </c>
      <c r="Z147" s="599">
        <f>IF(데이터입력!BA149="",0,데이터입력!BA149)</f>
        <v>0</v>
      </c>
      <c r="AA147" s="935">
        <f>IF(데이터입력!BB149="",0,데이터입력!BB149)</f>
        <v>0</v>
      </c>
    </row>
    <row r="148" spans="1:27" hidden="1">
      <c r="A148" s="171">
        <f>IF(W148="","",SUBTOTAL(2,$W$11:W148))</f>
        <v>138</v>
      </c>
      <c r="B148" s="198" t="str">
        <f t="shared" si="10"/>
        <v>00</v>
      </c>
      <c r="C148" s="180" t="str">
        <f t="shared" si="11"/>
        <v/>
      </c>
      <c r="D148" s="180" t="str">
        <f t="shared" si="13"/>
        <v/>
      </c>
      <c r="E148" s="180" t="str">
        <f t="shared" si="13"/>
        <v/>
      </c>
      <c r="F148" s="181" t="str">
        <f t="shared" si="12"/>
        <v/>
      </c>
      <c r="G148" s="198" t="s">
        <v>485</v>
      </c>
      <c r="H148" s="198" t="s">
        <v>484</v>
      </c>
      <c r="I148" s="182">
        <f>IF(X148="","",X148*데이터입력!$Y$8)</f>
        <v>0</v>
      </c>
      <c r="J148" s="182">
        <f>R148*데이터입력!$Y$8</f>
        <v>0</v>
      </c>
      <c r="K148" s="182">
        <f>T148*데이터입력!$Y$8</f>
        <v>0</v>
      </c>
      <c r="L148" s="199">
        <f>IFERROR(U148*데이터입력!$Y$8,"")</f>
        <v>0</v>
      </c>
      <c r="M148" s="199">
        <f>IFERROR(V148*데이터입력!$Y$8,"")</f>
        <v>0</v>
      </c>
      <c r="N148" s="594"/>
      <c r="O148" s="184" t="str">
        <f>IF(데이터입력!AP150="","",데이터입력!AP150)</f>
        <v/>
      </c>
      <c r="P148" s="185" t="str">
        <f>IF(데이터입력!AQ150="","",데이터입력!AQ150)</f>
        <v/>
      </c>
      <c r="Q148" s="186">
        <f>IF(데이터입력!AR150="",0,데이터입력!AR150)</f>
        <v>0</v>
      </c>
      <c r="R148" s="187">
        <f>IF(데이터입력!AS150="",0,데이터입력!AS150)</f>
        <v>0</v>
      </c>
      <c r="S148" s="1260">
        <f>IF(데이터입력!AT150="",0,데이터입력!AT150)</f>
        <v>0</v>
      </c>
      <c r="T148" s="187">
        <f>IF(데이터입력!AU150="",0,데이터입력!AU150)</f>
        <v>0</v>
      </c>
      <c r="U148" s="186">
        <f>IF(데이터입력!AV150="",0,데이터입력!AV150)</f>
        <v>0</v>
      </c>
      <c r="V148" s="187">
        <f>IF(데이터입력!AW150="",0,데이터입력!AW150)</f>
        <v>0</v>
      </c>
      <c r="W148" s="1261">
        <f>IF(데이터입력!AX150="",0,데이터입력!AX150)</f>
        <v>0</v>
      </c>
      <c r="X148" s="931">
        <f>IF(데이터입력!AY150="",0,데이터입력!AY150)</f>
        <v>0</v>
      </c>
      <c r="Y148" s="931">
        <f>IF(데이터입력!AZ150="",0,데이터입력!AZ150)</f>
        <v>0</v>
      </c>
      <c r="Z148" s="599">
        <f>IF(데이터입력!BA150="",0,데이터입력!BA150)</f>
        <v>0</v>
      </c>
      <c r="AA148" s="935">
        <f>IF(데이터입력!BB150="",0,데이터입력!BB150)</f>
        <v>0</v>
      </c>
    </row>
    <row r="149" spans="1:27" hidden="1">
      <c r="A149" s="171">
        <f>IF(W149="","",SUBTOTAL(2,$W$11:W149))</f>
        <v>139</v>
      </c>
      <c r="B149" s="200" t="str">
        <f t="shared" si="10"/>
        <v>00</v>
      </c>
      <c r="C149" s="173" t="str">
        <f t="shared" si="11"/>
        <v/>
      </c>
      <c r="D149" s="201" t="str">
        <f t="shared" si="13"/>
        <v/>
      </c>
      <c r="E149" s="201" t="str">
        <f t="shared" si="13"/>
        <v/>
      </c>
      <c r="F149" s="174" t="str">
        <f t="shared" si="12"/>
        <v/>
      </c>
      <c r="G149" s="200" t="s">
        <v>485</v>
      </c>
      <c r="H149" s="200" t="s">
        <v>484</v>
      </c>
      <c r="I149" s="175">
        <f>IF(X149="","",X149*데이터입력!$Y$8)</f>
        <v>0</v>
      </c>
      <c r="J149" s="202">
        <f>R149*데이터입력!$Y$8</f>
        <v>0</v>
      </c>
      <c r="K149" s="202">
        <f>T149*데이터입력!$Y$8</f>
        <v>0</v>
      </c>
      <c r="L149" s="203">
        <f>IFERROR(U149*데이터입력!$Y$8,"")</f>
        <v>0</v>
      </c>
      <c r="M149" s="175">
        <f>IFERROR(V149*데이터입력!$Y$8,"")</f>
        <v>0</v>
      </c>
      <c r="N149" s="594"/>
      <c r="O149" s="184" t="str">
        <f>IF(데이터입력!AP151="","",데이터입력!AP151)</f>
        <v/>
      </c>
      <c r="P149" s="185" t="str">
        <f>IF(데이터입력!AQ151="","",데이터입력!AQ151)</f>
        <v/>
      </c>
      <c r="Q149" s="186">
        <f>IF(데이터입력!AR151="",0,데이터입력!AR151)</f>
        <v>0</v>
      </c>
      <c r="R149" s="187">
        <f>IF(데이터입력!AS151="",0,데이터입력!AS151)</f>
        <v>0</v>
      </c>
      <c r="S149" s="1260">
        <f>IF(데이터입력!AT151="",0,데이터입력!AT151)</f>
        <v>0</v>
      </c>
      <c r="T149" s="187">
        <f>IF(데이터입력!AU151="",0,데이터입력!AU151)</f>
        <v>0</v>
      </c>
      <c r="U149" s="186">
        <f>IF(데이터입력!AV151="",0,데이터입력!AV151)</f>
        <v>0</v>
      </c>
      <c r="V149" s="187">
        <f>IF(데이터입력!AW151="",0,데이터입력!AW151)</f>
        <v>0</v>
      </c>
      <c r="W149" s="1261">
        <f>IF(데이터입력!AX151="",0,데이터입력!AX151)</f>
        <v>0</v>
      </c>
      <c r="X149" s="931">
        <f>IF(데이터입력!AY151="",0,데이터입력!AY151)</f>
        <v>0</v>
      </c>
      <c r="Y149" s="931">
        <f>IF(데이터입력!AZ151="",0,데이터입력!AZ151)</f>
        <v>0</v>
      </c>
      <c r="Z149" s="599">
        <f>IF(데이터입력!BA151="",0,데이터입력!BA151)</f>
        <v>0</v>
      </c>
      <c r="AA149" s="935">
        <f>IF(데이터입력!BB151="",0,데이터입력!BB151)</f>
        <v>0</v>
      </c>
    </row>
    <row r="150" spans="1:27" hidden="1">
      <c r="A150" s="171">
        <f>IF(W150="","",SUBTOTAL(2,$W$11:W150))</f>
        <v>140</v>
      </c>
      <c r="B150" s="198" t="str">
        <f t="shared" si="10"/>
        <v>00</v>
      </c>
      <c r="C150" s="180" t="str">
        <f t="shared" si="11"/>
        <v/>
      </c>
      <c r="D150" s="180" t="str">
        <f t="shared" si="13"/>
        <v/>
      </c>
      <c r="E150" s="180" t="str">
        <f t="shared" si="13"/>
        <v/>
      </c>
      <c r="F150" s="181" t="str">
        <f t="shared" si="12"/>
        <v/>
      </c>
      <c r="G150" s="198" t="s">
        <v>485</v>
      </c>
      <c r="H150" s="198" t="s">
        <v>484</v>
      </c>
      <c r="I150" s="182">
        <f>IF(X150="","",X150*데이터입력!$Y$8)</f>
        <v>0</v>
      </c>
      <c r="J150" s="182">
        <f>R150*데이터입력!$Y$8</f>
        <v>0</v>
      </c>
      <c r="K150" s="182">
        <f>T150*데이터입력!$Y$8</f>
        <v>0</v>
      </c>
      <c r="L150" s="199">
        <f>IFERROR(U150*데이터입력!$Y$8,"")</f>
        <v>0</v>
      </c>
      <c r="M150" s="199">
        <f>IFERROR(V150*데이터입력!$Y$8,"")</f>
        <v>0</v>
      </c>
      <c r="N150" s="594"/>
      <c r="O150" s="184" t="str">
        <f>IF(데이터입력!AP152="","",데이터입력!AP152)</f>
        <v/>
      </c>
      <c r="P150" s="185" t="str">
        <f>IF(데이터입력!AQ152="","",데이터입력!AQ152)</f>
        <v/>
      </c>
      <c r="Q150" s="186">
        <f>IF(데이터입력!AR152="",0,데이터입력!AR152)</f>
        <v>0</v>
      </c>
      <c r="R150" s="187">
        <f>IF(데이터입력!AS152="",0,데이터입력!AS152)</f>
        <v>0</v>
      </c>
      <c r="S150" s="1260">
        <f>IF(데이터입력!AT152="",0,데이터입력!AT152)</f>
        <v>0</v>
      </c>
      <c r="T150" s="187">
        <f>IF(데이터입력!AU152="",0,데이터입력!AU152)</f>
        <v>0</v>
      </c>
      <c r="U150" s="186">
        <f>IF(데이터입력!AV152="",0,데이터입력!AV152)</f>
        <v>0</v>
      </c>
      <c r="V150" s="187">
        <f>IF(데이터입력!AW152="",0,데이터입력!AW152)</f>
        <v>0</v>
      </c>
      <c r="W150" s="1261">
        <f>IF(데이터입력!AX152="",0,데이터입력!AX152)</f>
        <v>0</v>
      </c>
      <c r="X150" s="931">
        <f>IF(데이터입력!AY152="",0,데이터입력!AY152)</f>
        <v>0</v>
      </c>
      <c r="Y150" s="931">
        <f>IF(데이터입력!AZ152="",0,데이터입력!AZ152)</f>
        <v>0</v>
      </c>
      <c r="Z150" s="599">
        <f>IF(데이터입력!BA152="",0,데이터입력!BA152)</f>
        <v>0</v>
      </c>
      <c r="AA150" s="935">
        <f>IF(데이터입력!BB152="",0,데이터입력!BB152)</f>
        <v>0</v>
      </c>
    </row>
    <row r="151" spans="1:27" hidden="1">
      <c r="A151" s="171">
        <f>IF(W151="","",SUBTOTAL(2,$W$11:W151))</f>
        <v>141</v>
      </c>
      <c r="B151" s="200" t="str">
        <f t="shared" si="10"/>
        <v>00</v>
      </c>
      <c r="C151" s="173" t="str">
        <f t="shared" si="11"/>
        <v/>
      </c>
      <c r="D151" s="201" t="str">
        <f t="shared" si="13"/>
        <v/>
      </c>
      <c r="E151" s="201" t="str">
        <f t="shared" si="13"/>
        <v/>
      </c>
      <c r="F151" s="174" t="str">
        <f t="shared" si="12"/>
        <v/>
      </c>
      <c r="G151" s="200" t="s">
        <v>485</v>
      </c>
      <c r="H151" s="200" t="s">
        <v>484</v>
      </c>
      <c r="I151" s="175">
        <f>IF(X151="","",X151*데이터입력!$Y$8)</f>
        <v>0</v>
      </c>
      <c r="J151" s="202">
        <f>R151*데이터입력!$Y$8</f>
        <v>0</v>
      </c>
      <c r="K151" s="202">
        <f>T151*데이터입력!$Y$8</f>
        <v>0</v>
      </c>
      <c r="L151" s="203">
        <f>IFERROR(U151*데이터입력!$Y$8,"")</f>
        <v>0</v>
      </c>
      <c r="M151" s="175">
        <f>IFERROR(V151*데이터입력!$Y$8,"")</f>
        <v>0</v>
      </c>
      <c r="N151" s="594"/>
      <c r="O151" s="184" t="str">
        <f>IF(데이터입력!AP153="","",데이터입력!AP153)</f>
        <v/>
      </c>
      <c r="P151" s="185" t="str">
        <f>IF(데이터입력!AQ153="","",데이터입력!AQ153)</f>
        <v/>
      </c>
      <c r="Q151" s="186">
        <f>IF(데이터입력!AR153="",0,데이터입력!AR153)</f>
        <v>0</v>
      </c>
      <c r="R151" s="187">
        <f>IF(데이터입력!AS153="",0,데이터입력!AS153)</f>
        <v>0</v>
      </c>
      <c r="S151" s="1260">
        <f>IF(데이터입력!AT153="",0,데이터입력!AT153)</f>
        <v>0</v>
      </c>
      <c r="T151" s="187">
        <f>IF(데이터입력!AU153="",0,데이터입력!AU153)</f>
        <v>0</v>
      </c>
      <c r="U151" s="186">
        <f>IF(데이터입력!AV153="",0,데이터입력!AV153)</f>
        <v>0</v>
      </c>
      <c r="V151" s="187">
        <f>IF(데이터입력!AW153="",0,데이터입력!AW153)</f>
        <v>0</v>
      </c>
      <c r="W151" s="1261">
        <f>IF(데이터입력!AX153="",0,데이터입력!AX153)</f>
        <v>0</v>
      </c>
      <c r="X151" s="931">
        <f>IF(데이터입력!AY153="",0,데이터입력!AY153)</f>
        <v>0</v>
      </c>
      <c r="Y151" s="931">
        <f>IF(데이터입력!AZ153="",0,데이터입력!AZ153)</f>
        <v>0</v>
      </c>
      <c r="Z151" s="599">
        <f>IF(데이터입력!BA153="",0,데이터입력!BA153)</f>
        <v>0</v>
      </c>
      <c r="AA151" s="935">
        <f>IF(데이터입력!BB153="",0,데이터입력!BB153)</f>
        <v>0</v>
      </c>
    </row>
    <row r="152" spans="1:27" hidden="1">
      <c r="A152" s="171">
        <f>IF(W152="","",SUBTOTAL(2,$W$11:W152))</f>
        <v>142</v>
      </c>
      <c r="B152" s="198" t="str">
        <f t="shared" si="10"/>
        <v>00</v>
      </c>
      <c r="C152" s="180" t="str">
        <f t="shared" si="11"/>
        <v/>
      </c>
      <c r="D152" s="180" t="str">
        <f t="shared" si="13"/>
        <v/>
      </c>
      <c r="E152" s="180" t="str">
        <f t="shared" si="13"/>
        <v/>
      </c>
      <c r="F152" s="181" t="str">
        <f t="shared" si="12"/>
        <v/>
      </c>
      <c r="G152" s="198" t="s">
        <v>485</v>
      </c>
      <c r="H152" s="198" t="s">
        <v>484</v>
      </c>
      <c r="I152" s="182">
        <f>IF(X152="","",X152*데이터입력!$Y$8)</f>
        <v>0</v>
      </c>
      <c r="J152" s="182">
        <f>R152*데이터입력!$Y$8</f>
        <v>0</v>
      </c>
      <c r="K152" s="182">
        <f>T152*데이터입력!$Y$8</f>
        <v>0</v>
      </c>
      <c r="L152" s="199">
        <f>IFERROR(U152*데이터입력!$Y$8,"")</f>
        <v>0</v>
      </c>
      <c r="M152" s="199">
        <f>IFERROR(V152*데이터입력!$Y$8,"")</f>
        <v>0</v>
      </c>
      <c r="N152" s="594"/>
      <c r="O152" s="184" t="str">
        <f>IF(데이터입력!AP154="","",데이터입력!AP154)</f>
        <v/>
      </c>
      <c r="P152" s="185" t="str">
        <f>IF(데이터입력!AQ154="","",데이터입력!AQ154)</f>
        <v/>
      </c>
      <c r="Q152" s="186">
        <f>IF(데이터입력!AR154="",0,데이터입력!AR154)</f>
        <v>0</v>
      </c>
      <c r="R152" s="187">
        <f>IF(데이터입력!AS154="",0,데이터입력!AS154)</f>
        <v>0</v>
      </c>
      <c r="S152" s="1260">
        <f>IF(데이터입력!AT154="",0,데이터입력!AT154)</f>
        <v>0</v>
      </c>
      <c r="T152" s="187">
        <f>IF(데이터입력!AU154="",0,데이터입력!AU154)</f>
        <v>0</v>
      </c>
      <c r="U152" s="186">
        <f>IF(데이터입력!AV154="",0,데이터입력!AV154)</f>
        <v>0</v>
      </c>
      <c r="V152" s="187">
        <f>IF(데이터입력!AW154="",0,데이터입력!AW154)</f>
        <v>0</v>
      </c>
      <c r="W152" s="1261">
        <f>IF(데이터입력!AX154="",0,데이터입력!AX154)</f>
        <v>0</v>
      </c>
      <c r="X152" s="931">
        <f>IF(데이터입력!AY154="",0,데이터입력!AY154)</f>
        <v>0</v>
      </c>
      <c r="Y152" s="931">
        <f>IF(데이터입력!AZ154="",0,데이터입력!AZ154)</f>
        <v>0</v>
      </c>
      <c r="Z152" s="599">
        <f>IF(데이터입력!BA154="",0,데이터입력!BA154)</f>
        <v>0</v>
      </c>
      <c r="AA152" s="935">
        <f>IF(데이터입력!BB154="",0,데이터입력!BB154)</f>
        <v>0</v>
      </c>
    </row>
    <row r="153" spans="1:27" hidden="1">
      <c r="A153" s="171">
        <f>IF(W153="","",SUBTOTAL(2,$W$11:W153))</f>
        <v>143</v>
      </c>
      <c r="B153" s="200" t="str">
        <f t="shared" si="10"/>
        <v>00</v>
      </c>
      <c r="C153" s="173" t="str">
        <f t="shared" si="11"/>
        <v/>
      </c>
      <c r="D153" s="201" t="str">
        <f t="shared" si="13"/>
        <v/>
      </c>
      <c r="E153" s="201" t="str">
        <f t="shared" si="13"/>
        <v/>
      </c>
      <c r="F153" s="174" t="str">
        <f t="shared" si="12"/>
        <v/>
      </c>
      <c r="G153" s="200" t="s">
        <v>485</v>
      </c>
      <c r="H153" s="200" t="s">
        <v>484</v>
      </c>
      <c r="I153" s="175">
        <f>IF(X153="","",X153*데이터입력!$Y$8)</f>
        <v>0</v>
      </c>
      <c r="J153" s="202">
        <f>R153*데이터입력!$Y$8</f>
        <v>0</v>
      </c>
      <c r="K153" s="202">
        <f>T153*데이터입력!$Y$8</f>
        <v>0</v>
      </c>
      <c r="L153" s="203">
        <f>IFERROR(U153*데이터입력!$Y$8,"")</f>
        <v>0</v>
      </c>
      <c r="M153" s="175">
        <f>IFERROR(V153*데이터입력!$Y$8,"")</f>
        <v>0</v>
      </c>
      <c r="N153" s="594"/>
      <c r="O153" s="184" t="str">
        <f>IF(데이터입력!AP155="","",데이터입력!AP155)</f>
        <v/>
      </c>
      <c r="P153" s="185" t="str">
        <f>IF(데이터입력!AQ155="","",데이터입력!AQ155)</f>
        <v/>
      </c>
      <c r="Q153" s="186">
        <f>IF(데이터입력!AR155="",0,데이터입력!AR155)</f>
        <v>0</v>
      </c>
      <c r="R153" s="187">
        <f>IF(데이터입력!AS155="",0,데이터입력!AS155)</f>
        <v>0</v>
      </c>
      <c r="S153" s="1260">
        <f>IF(데이터입력!AT155="",0,데이터입력!AT155)</f>
        <v>0</v>
      </c>
      <c r="T153" s="187">
        <f>IF(데이터입력!AU155="",0,데이터입력!AU155)</f>
        <v>0</v>
      </c>
      <c r="U153" s="186">
        <f>IF(데이터입력!AV155="",0,데이터입력!AV155)</f>
        <v>0</v>
      </c>
      <c r="V153" s="187">
        <f>IF(데이터입력!AW155="",0,데이터입력!AW155)</f>
        <v>0</v>
      </c>
      <c r="W153" s="1261">
        <f>IF(데이터입력!AX155="",0,데이터입력!AX155)</f>
        <v>0</v>
      </c>
      <c r="X153" s="931">
        <f>IF(데이터입력!AY155="",0,데이터입력!AY155)</f>
        <v>0</v>
      </c>
      <c r="Y153" s="931">
        <f>IF(데이터입력!AZ155="",0,데이터입력!AZ155)</f>
        <v>0</v>
      </c>
      <c r="Z153" s="599">
        <f>IF(데이터입력!BA155="",0,데이터입력!BA155)</f>
        <v>0</v>
      </c>
      <c r="AA153" s="935">
        <f>IF(데이터입력!BB155="",0,데이터입력!BB155)</f>
        <v>0</v>
      </c>
    </row>
    <row r="154" spans="1:27" hidden="1">
      <c r="A154" s="171">
        <f>IF(W154="","",SUBTOTAL(2,$W$11:W154))</f>
        <v>144</v>
      </c>
      <c r="B154" s="198" t="str">
        <f t="shared" si="10"/>
        <v>00</v>
      </c>
      <c r="C154" s="180" t="str">
        <f t="shared" si="11"/>
        <v/>
      </c>
      <c r="D154" s="180" t="str">
        <f t="shared" si="13"/>
        <v/>
      </c>
      <c r="E154" s="180" t="str">
        <f t="shared" si="13"/>
        <v/>
      </c>
      <c r="F154" s="181" t="str">
        <f t="shared" si="12"/>
        <v/>
      </c>
      <c r="G154" s="198" t="s">
        <v>485</v>
      </c>
      <c r="H154" s="198" t="s">
        <v>484</v>
      </c>
      <c r="I154" s="182">
        <f>IF(X154="","",X154*데이터입력!$Y$8)</f>
        <v>0</v>
      </c>
      <c r="J154" s="182">
        <f>R154*데이터입력!$Y$8</f>
        <v>0</v>
      </c>
      <c r="K154" s="182">
        <f>T154*데이터입력!$Y$8</f>
        <v>0</v>
      </c>
      <c r="L154" s="199">
        <f>IFERROR(U154*데이터입력!$Y$8,"")</f>
        <v>0</v>
      </c>
      <c r="M154" s="199">
        <f>IFERROR(V154*데이터입력!$Y$8,"")</f>
        <v>0</v>
      </c>
      <c r="N154" s="594"/>
      <c r="O154" s="184" t="str">
        <f>IF(데이터입력!AP156="","",데이터입력!AP156)</f>
        <v/>
      </c>
      <c r="P154" s="185" t="str">
        <f>IF(데이터입력!AQ156="","",데이터입력!AQ156)</f>
        <v/>
      </c>
      <c r="Q154" s="186">
        <f>IF(데이터입력!AR156="",0,데이터입력!AR156)</f>
        <v>0</v>
      </c>
      <c r="R154" s="187">
        <f>IF(데이터입력!AS156="",0,데이터입력!AS156)</f>
        <v>0</v>
      </c>
      <c r="S154" s="1260">
        <f>IF(데이터입력!AT156="",0,데이터입력!AT156)</f>
        <v>0</v>
      </c>
      <c r="T154" s="187">
        <f>IF(데이터입력!AU156="",0,데이터입력!AU156)</f>
        <v>0</v>
      </c>
      <c r="U154" s="186">
        <f>IF(데이터입력!AV156="",0,데이터입력!AV156)</f>
        <v>0</v>
      </c>
      <c r="V154" s="187">
        <f>IF(데이터입력!AW156="",0,데이터입력!AW156)</f>
        <v>0</v>
      </c>
      <c r="W154" s="1261">
        <f>IF(데이터입력!AX156="",0,데이터입력!AX156)</f>
        <v>0</v>
      </c>
      <c r="X154" s="931">
        <f>IF(데이터입력!AY156="",0,데이터입력!AY156)</f>
        <v>0</v>
      </c>
      <c r="Y154" s="931">
        <f>IF(데이터입력!AZ156="",0,데이터입력!AZ156)</f>
        <v>0</v>
      </c>
      <c r="Z154" s="599">
        <f>IF(데이터입력!BA156="",0,데이터입력!BA156)</f>
        <v>0</v>
      </c>
      <c r="AA154" s="935">
        <f>IF(데이터입력!BB156="",0,데이터입력!BB156)</f>
        <v>0</v>
      </c>
    </row>
    <row r="155" spans="1:27" hidden="1">
      <c r="A155" s="171">
        <f>IF(W155="","",SUBTOTAL(2,$W$11:W155))</f>
        <v>145</v>
      </c>
      <c r="B155" s="200" t="str">
        <f t="shared" si="10"/>
        <v>00</v>
      </c>
      <c r="C155" s="173" t="str">
        <f t="shared" si="11"/>
        <v/>
      </c>
      <c r="D155" s="201" t="str">
        <f t="shared" si="13"/>
        <v/>
      </c>
      <c r="E155" s="201" t="str">
        <f t="shared" si="13"/>
        <v/>
      </c>
      <c r="F155" s="174" t="str">
        <f t="shared" si="12"/>
        <v/>
      </c>
      <c r="G155" s="200" t="s">
        <v>485</v>
      </c>
      <c r="H155" s="200" t="s">
        <v>484</v>
      </c>
      <c r="I155" s="175">
        <f>IF(X155="","",X155*데이터입력!$Y$8)</f>
        <v>0</v>
      </c>
      <c r="J155" s="202">
        <f>R155*데이터입력!$Y$8</f>
        <v>0</v>
      </c>
      <c r="K155" s="202">
        <f>T155*데이터입력!$Y$8</f>
        <v>0</v>
      </c>
      <c r="L155" s="203">
        <f>IFERROR(U155*데이터입력!$Y$8,"")</f>
        <v>0</v>
      </c>
      <c r="M155" s="175">
        <f>IFERROR(V155*데이터입력!$Y$8,"")</f>
        <v>0</v>
      </c>
      <c r="N155" s="594"/>
      <c r="O155" s="184" t="str">
        <f>IF(데이터입력!AP157="","",데이터입력!AP157)</f>
        <v/>
      </c>
      <c r="P155" s="185" t="str">
        <f>IF(데이터입력!AQ157="","",데이터입력!AQ157)</f>
        <v/>
      </c>
      <c r="Q155" s="186">
        <f>IF(데이터입력!AR157="",0,데이터입력!AR157)</f>
        <v>0</v>
      </c>
      <c r="R155" s="187">
        <f>IF(데이터입력!AS157="",0,데이터입력!AS157)</f>
        <v>0</v>
      </c>
      <c r="S155" s="1260">
        <f>IF(데이터입력!AT157="",0,데이터입력!AT157)</f>
        <v>0</v>
      </c>
      <c r="T155" s="187">
        <f>IF(데이터입력!AU157="",0,데이터입력!AU157)</f>
        <v>0</v>
      </c>
      <c r="U155" s="186">
        <f>IF(데이터입력!AV157="",0,데이터입력!AV157)</f>
        <v>0</v>
      </c>
      <c r="V155" s="187">
        <f>IF(데이터입력!AW157="",0,데이터입력!AW157)</f>
        <v>0</v>
      </c>
      <c r="W155" s="1261">
        <f>IF(데이터입력!AX157="",0,데이터입력!AX157)</f>
        <v>0</v>
      </c>
      <c r="X155" s="931">
        <f>IF(데이터입력!AY157="",0,데이터입력!AY157)</f>
        <v>0</v>
      </c>
      <c r="Y155" s="931">
        <f>IF(데이터입력!AZ157="",0,데이터입력!AZ157)</f>
        <v>0</v>
      </c>
      <c r="Z155" s="599">
        <f>IF(데이터입력!BA157="",0,데이터입력!BA157)</f>
        <v>0</v>
      </c>
      <c r="AA155" s="935">
        <f>IF(데이터입력!BB157="",0,데이터입력!BB157)</f>
        <v>0</v>
      </c>
    </row>
    <row r="156" spans="1:27" hidden="1">
      <c r="A156" s="171">
        <f>IF(W156="","",SUBTOTAL(2,$W$11:W156))</f>
        <v>146</v>
      </c>
      <c r="B156" s="198" t="str">
        <f t="shared" si="10"/>
        <v>00</v>
      </c>
      <c r="C156" s="180" t="str">
        <f t="shared" si="11"/>
        <v/>
      </c>
      <c r="D156" s="180" t="str">
        <f t="shared" si="13"/>
        <v/>
      </c>
      <c r="E156" s="180" t="str">
        <f t="shared" si="13"/>
        <v/>
      </c>
      <c r="F156" s="181" t="str">
        <f t="shared" si="12"/>
        <v/>
      </c>
      <c r="G156" s="198" t="s">
        <v>485</v>
      </c>
      <c r="H156" s="198" t="s">
        <v>484</v>
      </c>
      <c r="I156" s="182">
        <f>IF(X156="","",X156*데이터입력!$Y$8)</f>
        <v>0</v>
      </c>
      <c r="J156" s="182">
        <f>R156*데이터입력!$Y$8</f>
        <v>0</v>
      </c>
      <c r="K156" s="182">
        <f>T156*데이터입력!$Y$8</f>
        <v>0</v>
      </c>
      <c r="L156" s="199">
        <f>IFERROR(U156*데이터입력!$Y$8,"")</f>
        <v>0</v>
      </c>
      <c r="M156" s="199">
        <f>IFERROR(V156*데이터입력!$Y$8,"")</f>
        <v>0</v>
      </c>
      <c r="N156" s="594"/>
      <c r="O156" s="184" t="str">
        <f>IF(데이터입력!AP158="","",데이터입력!AP158)</f>
        <v/>
      </c>
      <c r="P156" s="185" t="str">
        <f>IF(데이터입력!AQ158="","",데이터입력!AQ158)</f>
        <v/>
      </c>
      <c r="Q156" s="186">
        <f>IF(데이터입력!AR158="",0,데이터입력!AR158)</f>
        <v>0</v>
      </c>
      <c r="R156" s="187">
        <f>IF(데이터입력!AS158="",0,데이터입력!AS158)</f>
        <v>0</v>
      </c>
      <c r="S156" s="1260">
        <f>IF(데이터입력!AT158="",0,데이터입력!AT158)</f>
        <v>0</v>
      </c>
      <c r="T156" s="187">
        <f>IF(데이터입력!AU158="",0,데이터입력!AU158)</f>
        <v>0</v>
      </c>
      <c r="U156" s="186">
        <f>IF(데이터입력!AV158="",0,데이터입력!AV158)</f>
        <v>0</v>
      </c>
      <c r="V156" s="187">
        <f>IF(데이터입력!AW158="",0,데이터입력!AW158)</f>
        <v>0</v>
      </c>
      <c r="W156" s="1261">
        <f>IF(데이터입력!AX158="",0,데이터입력!AX158)</f>
        <v>0</v>
      </c>
      <c r="X156" s="931">
        <f>IF(데이터입력!AY158="",0,데이터입력!AY158)</f>
        <v>0</v>
      </c>
      <c r="Y156" s="931">
        <f>IF(데이터입력!AZ158="",0,데이터입력!AZ158)</f>
        <v>0</v>
      </c>
      <c r="Z156" s="599">
        <f>IF(데이터입력!BA158="",0,데이터입력!BA158)</f>
        <v>0</v>
      </c>
      <c r="AA156" s="935">
        <f>IF(데이터입력!BB158="",0,데이터입력!BB158)</f>
        <v>0</v>
      </c>
    </row>
    <row r="157" spans="1:27" hidden="1">
      <c r="A157" s="171">
        <f>IF(W157="","",SUBTOTAL(2,$W$11:W157))</f>
        <v>147</v>
      </c>
      <c r="B157" s="200" t="str">
        <f t="shared" si="10"/>
        <v>00</v>
      </c>
      <c r="C157" s="173" t="str">
        <f t="shared" si="11"/>
        <v/>
      </c>
      <c r="D157" s="201" t="str">
        <f t="shared" si="13"/>
        <v/>
      </c>
      <c r="E157" s="201" t="str">
        <f t="shared" si="13"/>
        <v/>
      </c>
      <c r="F157" s="174" t="str">
        <f t="shared" si="12"/>
        <v/>
      </c>
      <c r="G157" s="200" t="s">
        <v>485</v>
      </c>
      <c r="H157" s="200" t="s">
        <v>484</v>
      </c>
      <c r="I157" s="175">
        <f>IF(X157="","",X157*데이터입력!$Y$8)</f>
        <v>0</v>
      </c>
      <c r="J157" s="202">
        <f>R157*데이터입력!$Y$8</f>
        <v>0</v>
      </c>
      <c r="K157" s="202">
        <f>T157*데이터입력!$Y$8</f>
        <v>0</v>
      </c>
      <c r="L157" s="203">
        <f>IFERROR(U157*데이터입력!$Y$8,"")</f>
        <v>0</v>
      </c>
      <c r="M157" s="175">
        <f>IFERROR(V157*데이터입력!$Y$8,"")</f>
        <v>0</v>
      </c>
      <c r="N157" s="594"/>
      <c r="O157" s="184" t="str">
        <f>IF(데이터입력!AP159="","",데이터입력!AP159)</f>
        <v/>
      </c>
      <c r="P157" s="185" t="str">
        <f>IF(데이터입력!AQ159="","",데이터입력!AQ159)</f>
        <v/>
      </c>
      <c r="Q157" s="186">
        <f>IF(데이터입력!AR159="",0,데이터입력!AR159)</f>
        <v>0</v>
      </c>
      <c r="R157" s="187">
        <f>IF(데이터입력!AS159="",0,데이터입력!AS159)</f>
        <v>0</v>
      </c>
      <c r="S157" s="1260">
        <f>IF(데이터입력!AT159="",0,데이터입력!AT159)</f>
        <v>0</v>
      </c>
      <c r="T157" s="187">
        <f>IF(데이터입력!AU159="",0,데이터입력!AU159)</f>
        <v>0</v>
      </c>
      <c r="U157" s="186">
        <f>IF(데이터입력!AV159="",0,데이터입력!AV159)</f>
        <v>0</v>
      </c>
      <c r="V157" s="187">
        <f>IF(데이터입력!AW159="",0,데이터입력!AW159)</f>
        <v>0</v>
      </c>
      <c r="W157" s="1261">
        <f>IF(데이터입력!AX159="",0,데이터입력!AX159)</f>
        <v>0</v>
      </c>
      <c r="X157" s="931">
        <f>IF(데이터입력!AY159="",0,데이터입력!AY159)</f>
        <v>0</v>
      </c>
      <c r="Y157" s="931">
        <f>IF(데이터입력!AZ159="",0,데이터입력!AZ159)</f>
        <v>0</v>
      </c>
      <c r="Z157" s="599">
        <f>IF(데이터입력!BA159="",0,데이터입력!BA159)</f>
        <v>0</v>
      </c>
      <c r="AA157" s="935">
        <f>IF(데이터입력!BB159="",0,데이터입력!BB159)</f>
        <v>0</v>
      </c>
    </row>
    <row r="158" spans="1:27" hidden="1">
      <c r="A158" s="171">
        <f>IF(W158="","",SUBTOTAL(2,$W$11:W158))</f>
        <v>148</v>
      </c>
      <c r="B158" s="198" t="str">
        <f t="shared" si="10"/>
        <v>00</v>
      </c>
      <c r="C158" s="180" t="str">
        <f t="shared" si="11"/>
        <v/>
      </c>
      <c r="D158" s="180" t="str">
        <f t="shared" si="13"/>
        <v/>
      </c>
      <c r="E158" s="180" t="str">
        <f t="shared" si="13"/>
        <v/>
      </c>
      <c r="F158" s="181" t="str">
        <f t="shared" si="12"/>
        <v/>
      </c>
      <c r="G158" s="198" t="s">
        <v>485</v>
      </c>
      <c r="H158" s="198" t="s">
        <v>484</v>
      </c>
      <c r="I158" s="182">
        <f>IF(X158="","",X158*데이터입력!$Y$8)</f>
        <v>0</v>
      </c>
      <c r="J158" s="182">
        <f>R158*데이터입력!$Y$8</f>
        <v>0</v>
      </c>
      <c r="K158" s="182">
        <f>T158*데이터입력!$Y$8</f>
        <v>0</v>
      </c>
      <c r="L158" s="199">
        <f>IFERROR(U158*데이터입력!$Y$8,"")</f>
        <v>0</v>
      </c>
      <c r="M158" s="199">
        <f>IFERROR(V158*데이터입력!$Y$8,"")</f>
        <v>0</v>
      </c>
      <c r="N158" s="594"/>
      <c r="O158" s="184" t="str">
        <f>IF(데이터입력!AP160="","",데이터입력!AP160)</f>
        <v/>
      </c>
      <c r="P158" s="185" t="str">
        <f>IF(데이터입력!AQ160="","",데이터입력!AQ160)</f>
        <v/>
      </c>
      <c r="Q158" s="186">
        <f>IF(데이터입력!AR160="",0,데이터입력!AR160)</f>
        <v>0</v>
      </c>
      <c r="R158" s="187">
        <f>IF(데이터입력!AS160="",0,데이터입력!AS160)</f>
        <v>0</v>
      </c>
      <c r="S158" s="1260">
        <f>IF(데이터입력!AT160="",0,데이터입력!AT160)</f>
        <v>0</v>
      </c>
      <c r="T158" s="187">
        <f>IF(데이터입력!AU160="",0,데이터입력!AU160)</f>
        <v>0</v>
      </c>
      <c r="U158" s="186">
        <f>IF(데이터입력!AV160="",0,데이터입력!AV160)</f>
        <v>0</v>
      </c>
      <c r="V158" s="187">
        <f>IF(데이터입력!AW160="",0,데이터입력!AW160)</f>
        <v>0</v>
      </c>
      <c r="W158" s="1261">
        <f>IF(데이터입력!AX160="",0,데이터입력!AX160)</f>
        <v>0</v>
      </c>
      <c r="X158" s="931">
        <f>IF(데이터입력!AY160="",0,데이터입력!AY160)</f>
        <v>0</v>
      </c>
      <c r="Y158" s="931">
        <f>IF(데이터입력!AZ160="",0,데이터입력!AZ160)</f>
        <v>0</v>
      </c>
      <c r="Z158" s="599">
        <f>IF(데이터입력!BA160="",0,데이터입력!BA160)</f>
        <v>0</v>
      </c>
      <c r="AA158" s="935">
        <f>IF(데이터입력!BB160="",0,데이터입력!BB160)</f>
        <v>0</v>
      </c>
    </row>
    <row r="159" spans="1:27" hidden="1">
      <c r="A159" s="171">
        <f>IF(W159="","",SUBTOTAL(2,$W$11:W159))</f>
        <v>149</v>
      </c>
      <c r="B159" s="200" t="str">
        <f t="shared" si="10"/>
        <v>00</v>
      </c>
      <c r="C159" s="173" t="str">
        <f t="shared" si="11"/>
        <v/>
      </c>
      <c r="D159" s="201" t="str">
        <f t="shared" si="13"/>
        <v/>
      </c>
      <c r="E159" s="201" t="str">
        <f t="shared" si="13"/>
        <v/>
      </c>
      <c r="F159" s="174" t="str">
        <f t="shared" si="12"/>
        <v/>
      </c>
      <c r="G159" s="200" t="s">
        <v>485</v>
      </c>
      <c r="H159" s="200" t="s">
        <v>484</v>
      </c>
      <c r="I159" s="175">
        <f>IF(X159="","",X159*데이터입력!$Y$8)</f>
        <v>0</v>
      </c>
      <c r="J159" s="202">
        <f>R159*데이터입력!$Y$8</f>
        <v>0</v>
      </c>
      <c r="K159" s="202">
        <f>T159*데이터입력!$Y$8</f>
        <v>0</v>
      </c>
      <c r="L159" s="203">
        <f>IFERROR(U159*데이터입력!$Y$8,"")</f>
        <v>0</v>
      </c>
      <c r="M159" s="175">
        <f>IFERROR(V159*데이터입력!$Y$8,"")</f>
        <v>0</v>
      </c>
      <c r="N159" s="594"/>
      <c r="O159" s="184" t="str">
        <f>IF(데이터입력!AP161="","",데이터입력!AP161)</f>
        <v/>
      </c>
      <c r="P159" s="185" t="str">
        <f>IF(데이터입력!AQ161="","",데이터입력!AQ161)</f>
        <v/>
      </c>
      <c r="Q159" s="186">
        <f>IF(데이터입력!AR161="",0,데이터입력!AR161)</f>
        <v>0</v>
      </c>
      <c r="R159" s="187">
        <f>IF(데이터입력!AS161="",0,데이터입력!AS161)</f>
        <v>0</v>
      </c>
      <c r="S159" s="1260">
        <f>IF(데이터입력!AT161="",0,데이터입력!AT161)</f>
        <v>0</v>
      </c>
      <c r="T159" s="187">
        <f>IF(데이터입력!AU161="",0,데이터입력!AU161)</f>
        <v>0</v>
      </c>
      <c r="U159" s="186">
        <f>IF(데이터입력!AV161="",0,데이터입력!AV161)</f>
        <v>0</v>
      </c>
      <c r="V159" s="187">
        <f>IF(데이터입력!AW161="",0,데이터입력!AW161)</f>
        <v>0</v>
      </c>
      <c r="W159" s="1261">
        <f>IF(데이터입력!AX161="",0,데이터입력!AX161)</f>
        <v>0</v>
      </c>
      <c r="X159" s="931">
        <f>IF(데이터입력!AY161="",0,데이터입력!AY161)</f>
        <v>0</v>
      </c>
      <c r="Y159" s="931">
        <f>IF(데이터입력!AZ161="",0,데이터입력!AZ161)</f>
        <v>0</v>
      </c>
      <c r="Z159" s="599">
        <f>IF(데이터입력!BA161="",0,데이터입력!BA161)</f>
        <v>0</v>
      </c>
      <c r="AA159" s="935">
        <f>IF(데이터입력!BB161="",0,데이터입력!BB161)</f>
        <v>0</v>
      </c>
    </row>
    <row r="160" spans="1:27" hidden="1">
      <c r="A160" s="171">
        <f>IF(W160="","",SUBTOTAL(2,$W$11:W160))</f>
        <v>150</v>
      </c>
      <c r="B160" s="198" t="str">
        <f t="shared" si="10"/>
        <v>00</v>
      </c>
      <c r="C160" s="180" t="str">
        <f t="shared" si="11"/>
        <v/>
      </c>
      <c r="D160" s="180" t="str">
        <f t="shared" si="13"/>
        <v/>
      </c>
      <c r="E160" s="180" t="str">
        <f t="shared" si="13"/>
        <v/>
      </c>
      <c r="F160" s="181" t="str">
        <f t="shared" si="12"/>
        <v/>
      </c>
      <c r="G160" s="198" t="s">
        <v>485</v>
      </c>
      <c r="H160" s="198" t="s">
        <v>484</v>
      </c>
      <c r="I160" s="182">
        <f>IF(X160="","",X160*데이터입력!$Y$8)</f>
        <v>0</v>
      </c>
      <c r="J160" s="182">
        <f>R160*데이터입력!$Y$8</f>
        <v>0</v>
      </c>
      <c r="K160" s="182">
        <f>T160*데이터입력!$Y$8</f>
        <v>0</v>
      </c>
      <c r="L160" s="199">
        <f>IFERROR(U160*데이터입력!$Y$8,"")</f>
        <v>0</v>
      </c>
      <c r="M160" s="199">
        <f>IFERROR(V160*데이터입력!$Y$8,"")</f>
        <v>0</v>
      </c>
      <c r="N160" s="594"/>
      <c r="O160" s="184" t="str">
        <f>IF(데이터입력!AP162="","",데이터입력!AP162)</f>
        <v/>
      </c>
      <c r="P160" s="185" t="str">
        <f>IF(데이터입력!AQ162="","",데이터입력!AQ162)</f>
        <v/>
      </c>
      <c r="Q160" s="186">
        <f>IF(데이터입력!AR162="",0,데이터입력!AR162)</f>
        <v>0</v>
      </c>
      <c r="R160" s="187">
        <f>IF(데이터입력!AS162="",0,데이터입력!AS162)</f>
        <v>0</v>
      </c>
      <c r="S160" s="1260">
        <f>IF(데이터입력!AT162="",0,데이터입력!AT162)</f>
        <v>0</v>
      </c>
      <c r="T160" s="187">
        <f>IF(데이터입력!AU162="",0,데이터입력!AU162)</f>
        <v>0</v>
      </c>
      <c r="U160" s="186">
        <f>IF(데이터입력!AV162="",0,데이터입력!AV162)</f>
        <v>0</v>
      </c>
      <c r="V160" s="187">
        <f>IF(데이터입력!AW162="",0,데이터입력!AW162)</f>
        <v>0</v>
      </c>
      <c r="W160" s="1261">
        <f>IF(데이터입력!AX162="",0,데이터입력!AX162)</f>
        <v>0</v>
      </c>
      <c r="X160" s="931">
        <f>IF(데이터입력!AY162="",0,데이터입력!AY162)</f>
        <v>0</v>
      </c>
      <c r="Y160" s="931">
        <f>IF(데이터입력!AZ162="",0,데이터입력!AZ162)</f>
        <v>0</v>
      </c>
      <c r="Z160" s="599">
        <f>IF(데이터입력!BA162="",0,데이터입력!BA162)</f>
        <v>0</v>
      </c>
      <c r="AA160" s="935">
        <f>IF(데이터입력!BB162="",0,데이터입력!BB162)</f>
        <v>0</v>
      </c>
    </row>
    <row r="161" spans="1:27" hidden="1">
      <c r="A161" s="171">
        <f>IF(W161="","",SUBTOTAL(2,$W$11:W161))</f>
        <v>151</v>
      </c>
      <c r="B161" s="200" t="str">
        <f t="shared" si="10"/>
        <v>00</v>
      </c>
      <c r="C161" s="173" t="str">
        <f t="shared" si="11"/>
        <v/>
      </c>
      <c r="D161" s="201" t="str">
        <f t="shared" si="13"/>
        <v/>
      </c>
      <c r="E161" s="201" t="str">
        <f t="shared" si="13"/>
        <v/>
      </c>
      <c r="F161" s="174" t="str">
        <f t="shared" si="12"/>
        <v/>
      </c>
      <c r="G161" s="200" t="s">
        <v>485</v>
      </c>
      <c r="H161" s="200" t="s">
        <v>484</v>
      </c>
      <c r="I161" s="175">
        <f>IF(X161="","",X161*데이터입력!$Y$8)</f>
        <v>0</v>
      </c>
      <c r="J161" s="202">
        <f>R161*데이터입력!$Y$8</f>
        <v>0</v>
      </c>
      <c r="K161" s="202">
        <f>T161*데이터입력!$Y$8</f>
        <v>0</v>
      </c>
      <c r="L161" s="203">
        <f>IFERROR(U161*데이터입력!$Y$8,"")</f>
        <v>0</v>
      </c>
      <c r="M161" s="175">
        <f>IFERROR(V161*데이터입력!$Y$8,"")</f>
        <v>0</v>
      </c>
      <c r="N161" s="594"/>
      <c r="O161" s="184" t="str">
        <f>IF(데이터입력!AP163="","",데이터입력!AP163)</f>
        <v/>
      </c>
      <c r="P161" s="185" t="str">
        <f>IF(데이터입력!AQ163="","",데이터입력!AQ163)</f>
        <v/>
      </c>
      <c r="Q161" s="186">
        <f>IF(데이터입력!AR163="",0,데이터입력!AR163)</f>
        <v>0</v>
      </c>
      <c r="R161" s="187">
        <f>IF(데이터입력!AS163="",0,데이터입력!AS163)</f>
        <v>0</v>
      </c>
      <c r="S161" s="1260">
        <f>IF(데이터입력!AT163="",0,데이터입력!AT163)</f>
        <v>0</v>
      </c>
      <c r="T161" s="187">
        <f>IF(데이터입력!AU163="",0,데이터입력!AU163)</f>
        <v>0</v>
      </c>
      <c r="U161" s="186">
        <f>IF(데이터입력!AV163="",0,데이터입력!AV163)</f>
        <v>0</v>
      </c>
      <c r="V161" s="187">
        <f>IF(데이터입력!AW163="",0,데이터입력!AW163)</f>
        <v>0</v>
      </c>
      <c r="W161" s="1261">
        <f>IF(데이터입력!AX163="",0,데이터입력!AX163)</f>
        <v>0</v>
      </c>
      <c r="X161" s="931">
        <f>IF(데이터입력!AY163="",0,데이터입력!AY163)</f>
        <v>0</v>
      </c>
      <c r="Y161" s="931">
        <f>IF(데이터입력!AZ163="",0,데이터입력!AZ163)</f>
        <v>0</v>
      </c>
      <c r="Z161" s="599">
        <f>IF(데이터입력!BA163="",0,데이터입력!BA163)</f>
        <v>0</v>
      </c>
      <c r="AA161" s="935">
        <f>IF(데이터입력!BB163="",0,데이터입력!BB163)</f>
        <v>0</v>
      </c>
    </row>
    <row r="162" spans="1:27" hidden="1">
      <c r="A162" s="171">
        <f>IF(W162="","",SUBTOTAL(2,$W$11:W162))</f>
        <v>152</v>
      </c>
      <c r="B162" s="198" t="str">
        <f t="shared" si="10"/>
        <v>00</v>
      </c>
      <c r="C162" s="180" t="str">
        <f t="shared" si="11"/>
        <v/>
      </c>
      <c r="D162" s="180" t="str">
        <f t="shared" si="13"/>
        <v/>
      </c>
      <c r="E162" s="180" t="str">
        <f t="shared" si="13"/>
        <v/>
      </c>
      <c r="F162" s="181" t="str">
        <f t="shared" si="12"/>
        <v/>
      </c>
      <c r="G162" s="198" t="s">
        <v>485</v>
      </c>
      <c r="H162" s="198" t="s">
        <v>484</v>
      </c>
      <c r="I162" s="182">
        <f>IF(X162="","",X162*데이터입력!$Y$8)</f>
        <v>0</v>
      </c>
      <c r="J162" s="182">
        <f>R162*데이터입력!$Y$8</f>
        <v>0</v>
      </c>
      <c r="K162" s="182">
        <f>T162*데이터입력!$Y$8</f>
        <v>0</v>
      </c>
      <c r="L162" s="199">
        <f>IFERROR(U162*데이터입력!$Y$8,"")</f>
        <v>0</v>
      </c>
      <c r="M162" s="199">
        <f>IFERROR(V162*데이터입력!$Y$8,"")</f>
        <v>0</v>
      </c>
      <c r="N162" s="594"/>
      <c r="O162" s="184" t="str">
        <f>IF(데이터입력!AP164="","",데이터입력!AP164)</f>
        <v/>
      </c>
      <c r="P162" s="185" t="str">
        <f>IF(데이터입력!AQ164="","",데이터입력!AQ164)</f>
        <v/>
      </c>
      <c r="Q162" s="186">
        <f>IF(데이터입력!AR164="",0,데이터입력!AR164)</f>
        <v>0</v>
      </c>
      <c r="R162" s="187">
        <f>IF(데이터입력!AS164="",0,데이터입력!AS164)</f>
        <v>0</v>
      </c>
      <c r="S162" s="1260">
        <f>IF(데이터입력!AT164="",0,데이터입력!AT164)</f>
        <v>0</v>
      </c>
      <c r="T162" s="187">
        <f>IF(데이터입력!AU164="",0,데이터입력!AU164)</f>
        <v>0</v>
      </c>
      <c r="U162" s="186">
        <f>IF(데이터입력!AV164="",0,데이터입력!AV164)</f>
        <v>0</v>
      </c>
      <c r="V162" s="187">
        <f>IF(데이터입력!AW164="",0,데이터입력!AW164)</f>
        <v>0</v>
      </c>
      <c r="W162" s="1261">
        <f>IF(데이터입력!AX164="",0,데이터입력!AX164)</f>
        <v>0</v>
      </c>
      <c r="X162" s="931">
        <f>IF(데이터입력!AY164="",0,데이터입력!AY164)</f>
        <v>0</v>
      </c>
      <c r="Y162" s="931">
        <f>IF(데이터입력!AZ164="",0,데이터입력!AZ164)</f>
        <v>0</v>
      </c>
      <c r="Z162" s="599">
        <f>IF(데이터입력!BA164="",0,데이터입력!BA164)</f>
        <v>0</v>
      </c>
      <c r="AA162" s="935">
        <f>IF(데이터입력!BB164="",0,데이터입력!BB164)</f>
        <v>0</v>
      </c>
    </row>
    <row r="163" spans="1:27" hidden="1">
      <c r="A163" s="171">
        <f>IF(W163="","",SUBTOTAL(2,$W$11:W163))</f>
        <v>153</v>
      </c>
      <c r="B163" s="200" t="str">
        <f t="shared" si="10"/>
        <v>00</v>
      </c>
      <c r="C163" s="173" t="str">
        <f t="shared" si="11"/>
        <v/>
      </c>
      <c r="D163" s="201" t="str">
        <f t="shared" si="13"/>
        <v/>
      </c>
      <c r="E163" s="201" t="str">
        <f t="shared" si="13"/>
        <v/>
      </c>
      <c r="F163" s="174" t="str">
        <f t="shared" si="12"/>
        <v/>
      </c>
      <c r="G163" s="200" t="s">
        <v>485</v>
      </c>
      <c r="H163" s="200" t="s">
        <v>484</v>
      </c>
      <c r="I163" s="175">
        <f>IF(X163="","",X163*데이터입력!$Y$8)</f>
        <v>0</v>
      </c>
      <c r="J163" s="202">
        <f>R163*데이터입력!$Y$8</f>
        <v>0</v>
      </c>
      <c r="K163" s="202">
        <f>T163*데이터입력!$Y$8</f>
        <v>0</v>
      </c>
      <c r="L163" s="203">
        <f>IFERROR(U163*데이터입력!$Y$8,"")</f>
        <v>0</v>
      </c>
      <c r="M163" s="175">
        <f>IFERROR(V163*데이터입력!$Y$8,"")</f>
        <v>0</v>
      </c>
      <c r="N163" s="594"/>
      <c r="O163" s="184" t="str">
        <f>IF(데이터입력!AP165="","",데이터입력!AP165)</f>
        <v/>
      </c>
      <c r="P163" s="185" t="str">
        <f>IF(데이터입력!AQ165="","",데이터입력!AQ165)</f>
        <v/>
      </c>
      <c r="Q163" s="186">
        <f>IF(데이터입력!AR165="",0,데이터입력!AR165)</f>
        <v>0</v>
      </c>
      <c r="R163" s="187">
        <f>IF(데이터입력!AS165="",0,데이터입력!AS165)</f>
        <v>0</v>
      </c>
      <c r="S163" s="1260">
        <f>IF(데이터입력!AT165="",0,데이터입력!AT165)</f>
        <v>0</v>
      </c>
      <c r="T163" s="187">
        <f>IF(데이터입력!AU165="",0,데이터입력!AU165)</f>
        <v>0</v>
      </c>
      <c r="U163" s="186">
        <f>IF(데이터입력!AV165="",0,데이터입력!AV165)</f>
        <v>0</v>
      </c>
      <c r="V163" s="187">
        <f>IF(데이터입력!AW165="",0,데이터입력!AW165)</f>
        <v>0</v>
      </c>
      <c r="W163" s="1261">
        <f>IF(데이터입력!AX165="",0,데이터입력!AX165)</f>
        <v>0</v>
      </c>
      <c r="X163" s="931">
        <f>IF(데이터입력!AY165="",0,데이터입력!AY165)</f>
        <v>0</v>
      </c>
      <c r="Y163" s="931">
        <f>IF(데이터입력!AZ165="",0,데이터입력!AZ165)</f>
        <v>0</v>
      </c>
      <c r="Z163" s="599">
        <f>IF(데이터입력!BA165="",0,데이터입력!BA165)</f>
        <v>0</v>
      </c>
      <c r="AA163" s="935">
        <f>IF(데이터입력!BB165="",0,데이터입력!BB165)</f>
        <v>0</v>
      </c>
    </row>
    <row r="164" spans="1:27" hidden="1">
      <c r="A164" s="171">
        <f>IF(W164="","",SUBTOTAL(2,$W$11:W164))</f>
        <v>154</v>
      </c>
      <c r="B164" s="198" t="str">
        <f t="shared" si="10"/>
        <v>00</v>
      </c>
      <c r="C164" s="180" t="str">
        <f t="shared" si="11"/>
        <v/>
      </c>
      <c r="D164" s="180" t="str">
        <f t="shared" si="13"/>
        <v/>
      </c>
      <c r="E164" s="180" t="str">
        <f t="shared" si="13"/>
        <v/>
      </c>
      <c r="F164" s="181" t="str">
        <f t="shared" si="12"/>
        <v/>
      </c>
      <c r="G164" s="198" t="s">
        <v>485</v>
      </c>
      <c r="H164" s="198" t="s">
        <v>484</v>
      </c>
      <c r="I164" s="182">
        <f>IF(X164="","",X164*데이터입력!$Y$8)</f>
        <v>0</v>
      </c>
      <c r="J164" s="182">
        <f>R164*데이터입력!$Y$8</f>
        <v>0</v>
      </c>
      <c r="K164" s="182">
        <f>T164*데이터입력!$Y$8</f>
        <v>0</v>
      </c>
      <c r="L164" s="199">
        <f>IFERROR(U164*데이터입력!$Y$8,"")</f>
        <v>0</v>
      </c>
      <c r="M164" s="199">
        <f>IFERROR(V164*데이터입력!$Y$8,"")</f>
        <v>0</v>
      </c>
      <c r="N164" s="594"/>
      <c r="O164" s="184" t="str">
        <f>IF(데이터입력!AP166="","",데이터입력!AP166)</f>
        <v/>
      </c>
      <c r="P164" s="185" t="str">
        <f>IF(데이터입력!AQ166="","",데이터입력!AQ166)</f>
        <v/>
      </c>
      <c r="Q164" s="186">
        <f>IF(데이터입력!AR166="",0,데이터입력!AR166)</f>
        <v>0</v>
      </c>
      <c r="R164" s="187">
        <f>IF(데이터입력!AS166="",0,데이터입력!AS166)</f>
        <v>0</v>
      </c>
      <c r="S164" s="1260">
        <f>IF(데이터입력!AT166="",0,데이터입력!AT166)</f>
        <v>0</v>
      </c>
      <c r="T164" s="187">
        <f>IF(데이터입력!AU166="",0,데이터입력!AU166)</f>
        <v>0</v>
      </c>
      <c r="U164" s="186">
        <f>IF(데이터입력!AV166="",0,데이터입력!AV166)</f>
        <v>0</v>
      </c>
      <c r="V164" s="187">
        <f>IF(데이터입력!AW166="",0,데이터입력!AW166)</f>
        <v>0</v>
      </c>
      <c r="W164" s="1261">
        <f>IF(데이터입력!AX166="",0,데이터입력!AX166)</f>
        <v>0</v>
      </c>
      <c r="X164" s="931">
        <f>IF(데이터입력!AY166="",0,데이터입력!AY166)</f>
        <v>0</v>
      </c>
      <c r="Y164" s="931">
        <f>IF(데이터입력!AZ166="",0,데이터입력!AZ166)</f>
        <v>0</v>
      </c>
      <c r="Z164" s="599">
        <f>IF(데이터입력!BA166="",0,데이터입력!BA166)</f>
        <v>0</v>
      </c>
      <c r="AA164" s="935">
        <f>IF(데이터입력!BB166="",0,데이터입력!BB166)</f>
        <v>0</v>
      </c>
    </row>
    <row r="165" spans="1:27" hidden="1">
      <c r="A165" s="171">
        <f>IF(W165="","",SUBTOTAL(2,$W$11:W165))</f>
        <v>155</v>
      </c>
      <c r="B165" s="200" t="str">
        <f t="shared" si="10"/>
        <v>00</v>
      </c>
      <c r="C165" s="173" t="str">
        <f t="shared" si="11"/>
        <v/>
      </c>
      <c r="D165" s="201" t="str">
        <f t="shared" si="13"/>
        <v/>
      </c>
      <c r="E165" s="201" t="str">
        <f t="shared" si="13"/>
        <v/>
      </c>
      <c r="F165" s="174" t="str">
        <f t="shared" si="12"/>
        <v/>
      </c>
      <c r="G165" s="200" t="s">
        <v>485</v>
      </c>
      <c r="H165" s="200" t="s">
        <v>484</v>
      </c>
      <c r="I165" s="175">
        <f>IF(X165="","",X165*데이터입력!$Y$8)</f>
        <v>0</v>
      </c>
      <c r="J165" s="202">
        <f>R165*데이터입력!$Y$8</f>
        <v>0</v>
      </c>
      <c r="K165" s="202">
        <f>T165*데이터입력!$Y$8</f>
        <v>0</v>
      </c>
      <c r="L165" s="203">
        <f>IFERROR(U165*데이터입력!$Y$8,"")</f>
        <v>0</v>
      </c>
      <c r="M165" s="175">
        <f>IFERROR(V165*데이터입력!$Y$8,"")</f>
        <v>0</v>
      </c>
      <c r="N165" s="594"/>
      <c r="O165" s="184" t="str">
        <f>IF(데이터입력!AP167="","",데이터입력!AP167)</f>
        <v/>
      </c>
      <c r="P165" s="185" t="str">
        <f>IF(데이터입력!AQ167="","",데이터입력!AQ167)</f>
        <v/>
      </c>
      <c r="Q165" s="186">
        <f>IF(데이터입력!AR167="",0,데이터입력!AR167)</f>
        <v>0</v>
      </c>
      <c r="R165" s="187">
        <f>IF(데이터입력!AS167="",0,데이터입력!AS167)</f>
        <v>0</v>
      </c>
      <c r="S165" s="1260">
        <f>IF(데이터입력!AT167="",0,데이터입력!AT167)</f>
        <v>0</v>
      </c>
      <c r="T165" s="187">
        <f>IF(데이터입력!AU167="",0,데이터입력!AU167)</f>
        <v>0</v>
      </c>
      <c r="U165" s="186">
        <f>IF(데이터입력!AV167="",0,데이터입력!AV167)</f>
        <v>0</v>
      </c>
      <c r="V165" s="187">
        <f>IF(데이터입력!AW167="",0,데이터입력!AW167)</f>
        <v>0</v>
      </c>
      <c r="W165" s="1261">
        <f>IF(데이터입력!AX167="",0,데이터입력!AX167)</f>
        <v>0</v>
      </c>
      <c r="X165" s="931">
        <f>IF(데이터입력!AY167="",0,데이터입력!AY167)</f>
        <v>0</v>
      </c>
      <c r="Y165" s="931">
        <f>IF(데이터입력!AZ167="",0,데이터입력!AZ167)</f>
        <v>0</v>
      </c>
      <c r="Z165" s="599">
        <f>IF(데이터입력!BA167="",0,데이터입력!BA167)</f>
        <v>0</v>
      </c>
      <c r="AA165" s="935">
        <f>IF(데이터입력!BB167="",0,데이터입력!BB167)</f>
        <v>0</v>
      </c>
    </row>
    <row r="166" spans="1:27" hidden="1">
      <c r="A166" s="171">
        <f>IF(W166="","",SUBTOTAL(2,$W$11:W166))</f>
        <v>156</v>
      </c>
      <c r="B166" s="198" t="str">
        <f t="shared" si="10"/>
        <v>00</v>
      </c>
      <c r="C166" s="180" t="str">
        <f t="shared" si="11"/>
        <v/>
      </c>
      <c r="D166" s="180" t="str">
        <f t="shared" si="13"/>
        <v/>
      </c>
      <c r="E166" s="180" t="str">
        <f t="shared" si="13"/>
        <v/>
      </c>
      <c r="F166" s="181" t="str">
        <f t="shared" si="12"/>
        <v/>
      </c>
      <c r="G166" s="198" t="s">
        <v>485</v>
      </c>
      <c r="H166" s="198" t="s">
        <v>484</v>
      </c>
      <c r="I166" s="182">
        <f>IF(X166="","",X166*데이터입력!$Y$8)</f>
        <v>0</v>
      </c>
      <c r="J166" s="182">
        <f>R166*데이터입력!$Y$8</f>
        <v>0</v>
      </c>
      <c r="K166" s="182">
        <f>T166*데이터입력!$Y$8</f>
        <v>0</v>
      </c>
      <c r="L166" s="199">
        <f>IFERROR(U166*데이터입력!$Y$8,"")</f>
        <v>0</v>
      </c>
      <c r="M166" s="199">
        <f>IFERROR(V166*데이터입력!$Y$8,"")</f>
        <v>0</v>
      </c>
      <c r="N166" s="594"/>
      <c r="O166" s="184" t="str">
        <f>IF(데이터입력!AP168="","",데이터입력!AP168)</f>
        <v/>
      </c>
      <c r="P166" s="185" t="str">
        <f>IF(데이터입력!AQ168="","",데이터입력!AQ168)</f>
        <v/>
      </c>
      <c r="Q166" s="186">
        <f>IF(데이터입력!AR168="",0,데이터입력!AR168)</f>
        <v>0</v>
      </c>
      <c r="R166" s="187">
        <f>IF(데이터입력!AS168="",0,데이터입력!AS168)</f>
        <v>0</v>
      </c>
      <c r="S166" s="1260">
        <f>IF(데이터입력!AT168="",0,데이터입력!AT168)</f>
        <v>0</v>
      </c>
      <c r="T166" s="187">
        <f>IF(데이터입력!AU168="",0,데이터입력!AU168)</f>
        <v>0</v>
      </c>
      <c r="U166" s="186">
        <f>IF(데이터입력!AV168="",0,데이터입력!AV168)</f>
        <v>0</v>
      </c>
      <c r="V166" s="187">
        <f>IF(데이터입력!AW168="",0,데이터입력!AW168)</f>
        <v>0</v>
      </c>
      <c r="W166" s="1261">
        <f>IF(데이터입력!AX168="",0,데이터입력!AX168)</f>
        <v>0</v>
      </c>
      <c r="X166" s="931">
        <f>IF(데이터입력!AY168="",0,데이터입력!AY168)</f>
        <v>0</v>
      </c>
      <c r="Y166" s="931">
        <f>IF(데이터입력!AZ168="",0,데이터입력!AZ168)</f>
        <v>0</v>
      </c>
      <c r="Z166" s="599">
        <f>IF(데이터입력!BA168="",0,데이터입력!BA168)</f>
        <v>0</v>
      </c>
      <c r="AA166" s="935">
        <f>IF(데이터입력!BB168="",0,데이터입력!BB168)</f>
        <v>0</v>
      </c>
    </row>
    <row r="167" spans="1:27" hidden="1">
      <c r="A167" s="171">
        <f>IF(W167="","",SUBTOTAL(2,$W$11:W167))</f>
        <v>157</v>
      </c>
      <c r="B167" s="200" t="str">
        <f t="shared" si="10"/>
        <v>00</v>
      </c>
      <c r="C167" s="173" t="str">
        <f t="shared" si="11"/>
        <v/>
      </c>
      <c r="D167" s="201" t="str">
        <f t="shared" si="13"/>
        <v/>
      </c>
      <c r="E167" s="201" t="str">
        <f t="shared" si="13"/>
        <v/>
      </c>
      <c r="F167" s="174" t="str">
        <f t="shared" si="12"/>
        <v/>
      </c>
      <c r="G167" s="200" t="s">
        <v>485</v>
      </c>
      <c r="H167" s="200" t="s">
        <v>484</v>
      </c>
      <c r="I167" s="175">
        <f>IF(X167="","",X167*데이터입력!$Y$8)</f>
        <v>0</v>
      </c>
      <c r="J167" s="202">
        <f>R167*데이터입력!$Y$8</f>
        <v>0</v>
      </c>
      <c r="K167" s="202">
        <f>T167*데이터입력!$Y$8</f>
        <v>0</v>
      </c>
      <c r="L167" s="203">
        <f>IFERROR(U167*데이터입력!$Y$8,"")</f>
        <v>0</v>
      </c>
      <c r="M167" s="175">
        <f>IFERROR(V167*데이터입력!$Y$8,"")</f>
        <v>0</v>
      </c>
      <c r="N167" s="594"/>
      <c r="O167" s="184" t="str">
        <f>IF(데이터입력!AP169="","",데이터입력!AP169)</f>
        <v/>
      </c>
      <c r="P167" s="185" t="str">
        <f>IF(데이터입력!AQ169="","",데이터입력!AQ169)</f>
        <v/>
      </c>
      <c r="Q167" s="186">
        <f>IF(데이터입력!AR169="",0,데이터입력!AR169)</f>
        <v>0</v>
      </c>
      <c r="R167" s="187">
        <f>IF(데이터입력!AS169="",0,데이터입력!AS169)</f>
        <v>0</v>
      </c>
      <c r="S167" s="1260">
        <f>IF(데이터입력!AT169="",0,데이터입력!AT169)</f>
        <v>0</v>
      </c>
      <c r="T167" s="187">
        <f>IF(데이터입력!AU169="",0,데이터입력!AU169)</f>
        <v>0</v>
      </c>
      <c r="U167" s="186">
        <f>IF(데이터입력!AV169="",0,데이터입력!AV169)</f>
        <v>0</v>
      </c>
      <c r="V167" s="187">
        <f>IF(데이터입력!AW169="",0,데이터입력!AW169)</f>
        <v>0</v>
      </c>
      <c r="W167" s="1261">
        <f>IF(데이터입력!AX169="",0,데이터입력!AX169)</f>
        <v>0</v>
      </c>
      <c r="X167" s="931">
        <f>IF(데이터입력!AY169="",0,데이터입력!AY169)</f>
        <v>0</v>
      </c>
      <c r="Y167" s="931">
        <f>IF(데이터입력!AZ169="",0,데이터입력!AZ169)</f>
        <v>0</v>
      </c>
      <c r="Z167" s="599">
        <f>IF(데이터입력!BA169="",0,데이터입력!BA169)</f>
        <v>0</v>
      </c>
      <c r="AA167" s="935">
        <f>IF(데이터입력!BB169="",0,데이터입력!BB169)</f>
        <v>0</v>
      </c>
    </row>
    <row r="168" spans="1:27" hidden="1">
      <c r="A168" s="171">
        <f>IF(W168="","",SUBTOTAL(2,$W$11:W168))</f>
        <v>158</v>
      </c>
      <c r="B168" s="198" t="str">
        <f t="shared" si="10"/>
        <v>00</v>
      </c>
      <c r="C168" s="180" t="str">
        <f t="shared" si="11"/>
        <v/>
      </c>
      <c r="D168" s="180" t="str">
        <f t="shared" si="13"/>
        <v/>
      </c>
      <c r="E168" s="180" t="str">
        <f t="shared" si="13"/>
        <v/>
      </c>
      <c r="F168" s="181" t="str">
        <f t="shared" si="12"/>
        <v/>
      </c>
      <c r="G168" s="198" t="s">
        <v>485</v>
      </c>
      <c r="H168" s="198" t="s">
        <v>484</v>
      </c>
      <c r="I168" s="182">
        <f>IF(X168="","",X168*데이터입력!$Y$8)</f>
        <v>0</v>
      </c>
      <c r="J168" s="182">
        <f>R168*데이터입력!$Y$8</f>
        <v>0</v>
      </c>
      <c r="K168" s="182">
        <f>T168*데이터입력!$Y$8</f>
        <v>0</v>
      </c>
      <c r="L168" s="199">
        <f>IFERROR(U168*데이터입력!$Y$8,"")</f>
        <v>0</v>
      </c>
      <c r="M168" s="199">
        <f>IFERROR(V168*데이터입력!$Y$8,"")</f>
        <v>0</v>
      </c>
      <c r="N168" s="594"/>
      <c r="O168" s="184" t="str">
        <f>IF(데이터입력!AP170="","",데이터입력!AP170)</f>
        <v/>
      </c>
      <c r="P168" s="185" t="str">
        <f>IF(데이터입력!AQ170="","",데이터입력!AQ170)</f>
        <v/>
      </c>
      <c r="Q168" s="186">
        <f>IF(데이터입력!AR170="",0,데이터입력!AR170)</f>
        <v>0</v>
      </c>
      <c r="R168" s="187">
        <f>IF(데이터입력!AS170="",0,데이터입력!AS170)</f>
        <v>0</v>
      </c>
      <c r="S168" s="1260">
        <f>IF(데이터입력!AT170="",0,데이터입력!AT170)</f>
        <v>0</v>
      </c>
      <c r="T168" s="187">
        <f>IF(데이터입력!AU170="",0,데이터입력!AU170)</f>
        <v>0</v>
      </c>
      <c r="U168" s="186">
        <f>IF(데이터입력!AV170="",0,데이터입력!AV170)</f>
        <v>0</v>
      </c>
      <c r="V168" s="187">
        <f>IF(데이터입력!AW170="",0,데이터입력!AW170)</f>
        <v>0</v>
      </c>
      <c r="W168" s="1261">
        <f>IF(데이터입력!AX170="",0,데이터입력!AX170)</f>
        <v>0</v>
      </c>
      <c r="X168" s="931">
        <f>IF(데이터입력!AY170="",0,데이터입력!AY170)</f>
        <v>0</v>
      </c>
      <c r="Y168" s="931">
        <f>IF(데이터입력!AZ170="",0,데이터입력!AZ170)</f>
        <v>0</v>
      </c>
      <c r="Z168" s="599">
        <f>IF(데이터입력!BA170="",0,데이터입력!BA170)</f>
        <v>0</v>
      </c>
      <c r="AA168" s="935">
        <f>IF(데이터입력!BB170="",0,데이터입력!BB170)</f>
        <v>0</v>
      </c>
    </row>
    <row r="169" spans="1:27" hidden="1">
      <c r="A169" s="171">
        <f>IF(W169="","",SUBTOTAL(2,$W$11:W169))</f>
        <v>159</v>
      </c>
      <c r="B169" s="200" t="str">
        <f t="shared" si="10"/>
        <v>00</v>
      </c>
      <c r="C169" s="173" t="str">
        <f t="shared" si="11"/>
        <v/>
      </c>
      <c r="D169" s="201" t="str">
        <f t="shared" si="13"/>
        <v/>
      </c>
      <c r="E169" s="201" t="str">
        <f t="shared" si="13"/>
        <v/>
      </c>
      <c r="F169" s="174" t="str">
        <f t="shared" si="12"/>
        <v/>
      </c>
      <c r="G169" s="200" t="s">
        <v>485</v>
      </c>
      <c r="H169" s="200" t="s">
        <v>484</v>
      </c>
      <c r="I169" s="202">
        <f>IF(X169="","",X169*데이터입력!$Y$8)</f>
        <v>0</v>
      </c>
      <c r="J169" s="202">
        <f>R169*데이터입력!$Y$8</f>
        <v>0</v>
      </c>
      <c r="K169" s="202">
        <f>T169*데이터입력!$Y$8</f>
        <v>0</v>
      </c>
      <c r="L169" s="203">
        <f>IFERROR(U169*데이터입력!$Y$8,"")</f>
        <v>0</v>
      </c>
      <c r="M169" s="175">
        <f>IFERROR(V169*데이터입력!$Y$8,"")</f>
        <v>0</v>
      </c>
      <c r="N169" s="594"/>
      <c r="O169" s="184" t="str">
        <f>IF(데이터입력!AP171="","",데이터입력!AP171)</f>
        <v/>
      </c>
      <c r="P169" s="185" t="str">
        <f>IF(데이터입력!AQ171="","",데이터입력!AQ171)</f>
        <v/>
      </c>
      <c r="Q169" s="186">
        <f>IF(데이터입력!AR171="",0,데이터입력!AR171)</f>
        <v>0</v>
      </c>
      <c r="R169" s="187">
        <f>IF(데이터입력!AS171="",0,데이터입력!AS171)</f>
        <v>0</v>
      </c>
      <c r="S169" s="1260">
        <f>IF(데이터입력!AT171="",0,데이터입력!AT171)</f>
        <v>0</v>
      </c>
      <c r="T169" s="187">
        <f>IF(데이터입력!AU171="",0,데이터입력!AU171)</f>
        <v>0</v>
      </c>
      <c r="U169" s="186">
        <f>IF(데이터입력!AV171="",0,데이터입력!AV171)</f>
        <v>0</v>
      </c>
      <c r="V169" s="187">
        <f>IF(데이터입력!AW171="",0,데이터입력!AW171)</f>
        <v>0</v>
      </c>
      <c r="W169" s="1261">
        <f>IF(데이터입력!AX171="",0,데이터입력!AX171)</f>
        <v>0</v>
      </c>
      <c r="X169" s="931">
        <f>IF(데이터입력!AY171="",0,데이터입력!AY171)</f>
        <v>0</v>
      </c>
      <c r="Y169" s="931">
        <f>IF(데이터입력!AZ171="",0,데이터입력!AZ171)</f>
        <v>0</v>
      </c>
      <c r="Z169" s="599">
        <f>IF(데이터입력!BA171="",0,데이터입력!BA171)</f>
        <v>0</v>
      </c>
      <c r="AA169" s="935">
        <f>IF(데이터입력!BB171="",0,데이터입력!BB171)</f>
        <v>0</v>
      </c>
    </row>
    <row r="170" spans="1:27" hidden="1">
      <c r="A170" s="171">
        <f>IF(W170="","",SUBTOTAL(2,$W$11:W170))</f>
        <v>160</v>
      </c>
      <c r="B170" s="198" t="str">
        <f t="shared" si="10"/>
        <v>00</v>
      </c>
      <c r="C170" s="180" t="str">
        <f t="shared" si="11"/>
        <v/>
      </c>
      <c r="D170" s="180" t="str">
        <f t="shared" si="13"/>
        <v/>
      </c>
      <c r="E170" s="180" t="str">
        <f t="shared" si="13"/>
        <v/>
      </c>
      <c r="F170" s="181" t="str">
        <f t="shared" si="12"/>
        <v/>
      </c>
      <c r="G170" s="198" t="s">
        <v>485</v>
      </c>
      <c r="H170" s="198" t="s">
        <v>484</v>
      </c>
      <c r="I170" s="182">
        <f>IF(X170="","",X170*데이터입력!$Y$8)</f>
        <v>0</v>
      </c>
      <c r="J170" s="182">
        <f>R170*데이터입력!$Y$8</f>
        <v>0</v>
      </c>
      <c r="K170" s="182">
        <f>T170*데이터입력!$Y$8</f>
        <v>0</v>
      </c>
      <c r="L170" s="199">
        <f>IFERROR(U170*데이터입력!$Y$8,"")</f>
        <v>0</v>
      </c>
      <c r="M170" s="199">
        <f>IFERROR(V170*데이터입력!$Y$8,"")</f>
        <v>0</v>
      </c>
      <c r="N170" s="594"/>
      <c r="O170" s="184" t="str">
        <f>IF(데이터입력!AP172="","",데이터입력!AP172)</f>
        <v/>
      </c>
      <c r="P170" s="185" t="str">
        <f>IF(데이터입력!AQ172="","",데이터입력!AQ172)</f>
        <v/>
      </c>
      <c r="Q170" s="186">
        <f>IF(데이터입력!AR172="",0,데이터입력!AR172)</f>
        <v>0</v>
      </c>
      <c r="R170" s="187">
        <f>IF(데이터입력!AS172="",0,데이터입력!AS172)</f>
        <v>0</v>
      </c>
      <c r="S170" s="1260">
        <f>IF(데이터입력!AT172="",0,데이터입력!AT172)</f>
        <v>0</v>
      </c>
      <c r="T170" s="187">
        <f>IF(데이터입력!AU172="",0,데이터입력!AU172)</f>
        <v>0</v>
      </c>
      <c r="U170" s="186">
        <f>IF(데이터입력!AV172="",0,데이터입력!AV172)</f>
        <v>0</v>
      </c>
      <c r="V170" s="187">
        <f>IF(데이터입력!AW172="",0,데이터입력!AW172)</f>
        <v>0</v>
      </c>
      <c r="W170" s="1261">
        <f>IF(데이터입력!AX172="",0,데이터입력!AX172)</f>
        <v>0</v>
      </c>
      <c r="X170" s="931">
        <f>IF(데이터입력!AY172="",0,데이터입력!AY172)</f>
        <v>0</v>
      </c>
      <c r="Y170" s="931">
        <f>IF(데이터입력!AZ172="",0,데이터입력!AZ172)</f>
        <v>0</v>
      </c>
      <c r="Z170" s="599">
        <f>IF(데이터입력!BA172="",0,데이터입력!BA172)</f>
        <v>0</v>
      </c>
      <c r="AA170" s="935">
        <f>IF(데이터입력!BB172="",0,데이터입력!BB172)</f>
        <v>0</v>
      </c>
    </row>
    <row r="171" spans="1:27" hidden="1">
      <c r="A171" s="171">
        <f>IF(W171="","",SUBTOTAL(2,$W$11:W171))</f>
        <v>161</v>
      </c>
      <c r="B171" s="200" t="str">
        <f t="shared" si="10"/>
        <v>00</v>
      </c>
      <c r="C171" s="173" t="str">
        <f t="shared" si="11"/>
        <v/>
      </c>
      <c r="D171" s="201" t="str">
        <f t="shared" si="13"/>
        <v/>
      </c>
      <c r="E171" s="201" t="str">
        <f t="shared" si="13"/>
        <v/>
      </c>
      <c r="F171" s="174" t="str">
        <f t="shared" si="12"/>
        <v/>
      </c>
      <c r="G171" s="200" t="s">
        <v>485</v>
      </c>
      <c r="H171" s="200" t="s">
        <v>484</v>
      </c>
      <c r="I171" s="175">
        <f>IF(X171="","",X171*데이터입력!$Y$8)</f>
        <v>0</v>
      </c>
      <c r="J171" s="202">
        <f>R171*데이터입력!$Y$8</f>
        <v>0</v>
      </c>
      <c r="K171" s="202">
        <f>T171*데이터입력!$Y$8</f>
        <v>0</v>
      </c>
      <c r="L171" s="203">
        <f>IFERROR(U171*데이터입력!$Y$8,"")</f>
        <v>0</v>
      </c>
      <c r="M171" s="175">
        <f>IFERROR(V171*데이터입력!$Y$8,"")</f>
        <v>0</v>
      </c>
      <c r="N171" s="594"/>
      <c r="O171" s="184" t="str">
        <f>IF(데이터입력!AP173="","",데이터입력!AP173)</f>
        <v/>
      </c>
      <c r="P171" s="185" t="str">
        <f>IF(데이터입력!AQ173="","",데이터입력!AQ173)</f>
        <v/>
      </c>
      <c r="Q171" s="186">
        <f>IF(데이터입력!AR173="",0,데이터입력!AR173)</f>
        <v>0</v>
      </c>
      <c r="R171" s="187">
        <f>IF(데이터입력!AS173="",0,데이터입력!AS173)</f>
        <v>0</v>
      </c>
      <c r="S171" s="1260">
        <f>IF(데이터입력!AT173="",0,데이터입력!AT173)</f>
        <v>0</v>
      </c>
      <c r="T171" s="187">
        <f>IF(데이터입력!AU173="",0,데이터입력!AU173)</f>
        <v>0</v>
      </c>
      <c r="U171" s="186">
        <f>IF(데이터입력!AV173="",0,데이터입력!AV173)</f>
        <v>0</v>
      </c>
      <c r="V171" s="187">
        <f>IF(데이터입력!AW173="",0,데이터입력!AW173)</f>
        <v>0</v>
      </c>
      <c r="W171" s="1261">
        <f>IF(데이터입력!AX173="",0,데이터입력!AX173)</f>
        <v>0</v>
      </c>
      <c r="X171" s="931">
        <f>IF(데이터입력!AY173="",0,데이터입력!AY173)</f>
        <v>0</v>
      </c>
      <c r="Y171" s="931">
        <f>IF(데이터입력!AZ173="",0,데이터입력!AZ173)</f>
        <v>0</v>
      </c>
      <c r="Z171" s="599">
        <f>IF(데이터입력!BA173="",0,데이터입력!BA173)</f>
        <v>0</v>
      </c>
      <c r="AA171" s="935">
        <f>IF(데이터입력!BB173="",0,데이터입력!BB173)</f>
        <v>0</v>
      </c>
    </row>
    <row r="172" spans="1:27" hidden="1">
      <c r="A172" s="171">
        <f>IF(W172="","",SUBTOTAL(2,$W$11:W172))</f>
        <v>162</v>
      </c>
      <c r="B172" s="198" t="str">
        <f t="shared" si="10"/>
        <v>00</v>
      </c>
      <c r="C172" s="180" t="str">
        <f t="shared" si="11"/>
        <v/>
      </c>
      <c r="D172" s="180" t="str">
        <f t="shared" si="13"/>
        <v/>
      </c>
      <c r="E172" s="180" t="str">
        <f t="shared" si="13"/>
        <v/>
      </c>
      <c r="F172" s="181" t="str">
        <f t="shared" si="12"/>
        <v/>
      </c>
      <c r="G172" s="198" t="s">
        <v>485</v>
      </c>
      <c r="H172" s="198" t="s">
        <v>484</v>
      </c>
      <c r="I172" s="182">
        <f>IF(X172="","",X172*데이터입력!$Y$8)</f>
        <v>0</v>
      </c>
      <c r="J172" s="182">
        <f>R172*데이터입력!$Y$8</f>
        <v>0</v>
      </c>
      <c r="K172" s="182">
        <f>T172*데이터입력!$Y$8</f>
        <v>0</v>
      </c>
      <c r="L172" s="199">
        <f>IFERROR(U172*데이터입력!$Y$8,"")</f>
        <v>0</v>
      </c>
      <c r="M172" s="199">
        <f>IFERROR(V172*데이터입력!$Y$8,"")</f>
        <v>0</v>
      </c>
      <c r="N172" s="594"/>
      <c r="O172" s="184" t="str">
        <f>IF(데이터입력!AP174="","",데이터입력!AP174)</f>
        <v/>
      </c>
      <c r="P172" s="185" t="str">
        <f>IF(데이터입력!AQ174="","",데이터입력!AQ174)</f>
        <v/>
      </c>
      <c r="Q172" s="186">
        <f>IF(데이터입력!AR174="",0,데이터입력!AR174)</f>
        <v>0</v>
      </c>
      <c r="R172" s="187">
        <f>IF(데이터입력!AS174="",0,데이터입력!AS174)</f>
        <v>0</v>
      </c>
      <c r="S172" s="1260">
        <f>IF(데이터입력!AT174="",0,데이터입력!AT174)</f>
        <v>0</v>
      </c>
      <c r="T172" s="187">
        <f>IF(데이터입력!AU174="",0,데이터입력!AU174)</f>
        <v>0</v>
      </c>
      <c r="U172" s="186">
        <f>IF(데이터입력!AV174="",0,데이터입력!AV174)</f>
        <v>0</v>
      </c>
      <c r="V172" s="187">
        <f>IF(데이터입력!AW174="",0,데이터입력!AW174)</f>
        <v>0</v>
      </c>
      <c r="W172" s="1261">
        <f>IF(데이터입력!AX174="",0,데이터입력!AX174)</f>
        <v>0</v>
      </c>
      <c r="X172" s="931">
        <f>IF(데이터입력!AY174="",0,데이터입력!AY174)</f>
        <v>0</v>
      </c>
      <c r="Y172" s="931">
        <f>IF(데이터입력!AZ174="",0,데이터입력!AZ174)</f>
        <v>0</v>
      </c>
      <c r="Z172" s="599">
        <f>IF(데이터입력!BA174="",0,데이터입력!BA174)</f>
        <v>0</v>
      </c>
      <c r="AA172" s="935">
        <f>IF(데이터입력!BB174="",0,데이터입력!BB174)</f>
        <v>0</v>
      </c>
    </row>
    <row r="173" spans="1:27" hidden="1">
      <c r="A173" s="171">
        <f>IF(W173="","",SUBTOTAL(2,$W$11:W173))</f>
        <v>163</v>
      </c>
      <c r="B173" s="200" t="str">
        <f t="shared" si="10"/>
        <v>00</v>
      </c>
      <c r="C173" s="173" t="str">
        <f t="shared" si="11"/>
        <v/>
      </c>
      <c r="D173" s="201" t="str">
        <f t="shared" si="13"/>
        <v/>
      </c>
      <c r="E173" s="201" t="str">
        <f t="shared" si="13"/>
        <v/>
      </c>
      <c r="F173" s="174" t="str">
        <f t="shared" si="12"/>
        <v/>
      </c>
      <c r="G173" s="200" t="s">
        <v>485</v>
      </c>
      <c r="H173" s="200" t="s">
        <v>484</v>
      </c>
      <c r="I173" s="175">
        <f>IF(X173="","",X173*데이터입력!$Y$8)</f>
        <v>0</v>
      </c>
      <c r="J173" s="202">
        <f>R173*데이터입력!$Y$8</f>
        <v>0</v>
      </c>
      <c r="K173" s="202">
        <f>T173*데이터입력!$Y$8</f>
        <v>0</v>
      </c>
      <c r="L173" s="203">
        <f>IFERROR(U173*데이터입력!$Y$8,"")</f>
        <v>0</v>
      </c>
      <c r="M173" s="175">
        <f>IFERROR(V173*데이터입력!$Y$8,"")</f>
        <v>0</v>
      </c>
      <c r="N173" s="594"/>
      <c r="O173" s="184" t="str">
        <f>IF(데이터입력!AP175="","",데이터입력!AP175)</f>
        <v/>
      </c>
      <c r="P173" s="185" t="str">
        <f>IF(데이터입력!AQ175="","",데이터입력!AQ175)</f>
        <v/>
      </c>
      <c r="Q173" s="186">
        <f>IF(데이터입력!AR175="",0,데이터입력!AR175)</f>
        <v>0</v>
      </c>
      <c r="R173" s="187">
        <f>IF(데이터입력!AS175="",0,데이터입력!AS175)</f>
        <v>0</v>
      </c>
      <c r="S173" s="1260">
        <f>IF(데이터입력!AT175="",0,데이터입력!AT175)</f>
        <v>0</v>
      </c>
      <c r="T173" s="187">
        <f>IF(데이터입력!AU175="",0,데이터입력!AU175)</f>
        <v>0</v>
      </c>
      <c r="U173" s="186">
        <f>IF(데이터입력!AV175="",0,데이터입력!AV175)</f>
        <v>0</v>
      </c>
      <c r="V173" s="187">
        <f>IF(데이터입력!AW175="",0,데이터입력!AW175)</f>
        <v>0</v>
      </c>
      <c r="W173" s="1261">
        <f>IF(데이터입력!AX175="",0,데이터입력!AX175)</f>
        <v>0</v>
      </c>
      <c r="X173" s="931">
        <f>IF(데이터입력!AY175="",0,데이터입력!AY175)</f>
        <v>0</v>
      </c>
      <c r="Y173" s="931">
        <f>IF(데이터입력!AZ175="",0,데이터입력!AZ175)</f>
        <v>0</v>
      </c>
      <c r="Z173" s="599">
        <f>IF(데이터입력!BA175="",0,데이터입력!BA175)</f>
        <v>0</v>
      </c>
      <c r="AA173" s="935">
        <f>IF(데이터입력!BB175="",0,데이터입력!BB175)</f>
        <v>0</v>
      </c>
    </row>
    <row r="174" spans="1:27" hidden="1">
      <c r="A174" s="171">
        <f>IF(W174="","",SUBTOTAL(2,$W$11:W174))</f>
        <v>164</v>
      </c>
      <c r="B174" s="198" t="str">
        <f t="shared" si="10"/>
        <v>00</v>
      </c>
      <c r="C174" s="180" t="str">
        <f t="shared" si="11"/>
        <v/>
      </c>
      <c r="D174" s="180" t="str">
        <f t="shared" si="13"/>
        <v/>
      </c>
      <c r="E174" s="180" t="str">
        <f t="shared" si="13"/>
        <v/>
      </c>
      <c r="F174" s="181" t="str">
        <f t="shared" si="12"/>
        <v/>
      </c>
      <c r="G174" s="198" t="s">
        <v>485</v>
      </c>
      <c r="H174" s="198" t="s">
        <v>484</v>
      </c>
      <c r="I174" s="182">
        <f>IF(X174="","",X174*데이터입력!$Y$8)</f>
        <v>0</v>
      </c>
      <c r="J174" s="182">
        <f>R174*데이터입력!$Y$8</f>
        <v>0</v>
      </c>
      <c r="K174" s="182">
        <f>T174*데이터입력!$Y$8</f>
        <v>0</v>
      </c>
      <c r="L174" s="199">
        <f>IFERROR(U174*데이터입력!$Y$8,"")</f>
        <v>0</v>
      </c>
      <c r="M174" s="199">
        <f>IFERROR(V174*데이터입력!$Y$8,"")</f>
        <v>0</v>
      </c>
      <c r="N174" s="594"/>
      <c r="O174" s="184" t="str">
        <f>IF(데이터입력!AP176="","",데이터입력!AP176)</f>
        <v/>
      </c>
      <c r="P174" s="185" t="str">
        <f>IF(데이터입력!AQ176="","",데이터입력!AQ176)</f>
        <v/>
      </c>
      <c r="Q174" s="186">
        <f>IF(데이터입력!AR176="",0,데이터입력!AR176)</f>
        <v>0</v>
      </c>
      <c r="R174" s="187">
        <f>IF(데이터입력!AS176="",0,데이터입력!AS176)</f>
        <v>0</v>
      </c>
      <c r="S174" s="1260">
        <f>IF(데이터입력!AT176="",0,데이터입력!AT176)</f>
        <v>0</v>
      </c>
      <c r="T174" s="187">
        <f>IF(데이터입력!AU176="",0,데이터입력!AU176)</f>
        <v>0</v>
      </c>
      <c r="U174" s="186">
        <f>IF(데이터입력!AV176="",0,데이터입력!AV176)</f>
        <v>0</v>
      </c>
      <c r="V174" s="187">
        <f>IF(데이터입력!AW176="",0,데이터입력!AW176)</f>
        <v>0</v>
      </c>
      <c r="W174" s="1261">
        <f>IF(데이터입력!AX176="",0,데이터입력!AX176)</f>
        <v>0</v>
      </c>
      <c r="X174" s="931">
        <f>IF(데이터입력!AY176="",0,데이터입력!AY176)</f>
        <v>0</v>
      </c>
      <c r="Y174" s="931">
        <f>IF(데이터입력!AZ176="",0,데이터입력!AZ176)</f>
        <v>0</v>
      </c>
      <c r="Z174" s="599">
        <f>IF(데이터입력!BA176="",0,데이터입력!BA176)</f>
        <v>0</v>
      </c>
      <c r="AA174" s="935">
        <f>IF(데이터입력!BB176="",0,데이터입력!BB176)</f>
        <v>0</v>
      </c>
    </row>
    <row r="175" spans="1:27" hidden="1">
      <c r="A175" s="171">
        <f>IF(W175="","",SUBTOTAL(2,$W$11:W175))</f>
        <v>165</v>
      </c>
      <c r="B175" s="200" t="str">
        <f t="shared" si="10"/>
        <v>00</v>
      </c>
      <c r="C175" s="173" t="str">
        <f t="shared" si="11"/>
        <v/>
      </c>
      <c r="D175" s="201" t="str">
        <f t="shared" si="13"/>
        <v/>
      </c>
      <c r="E175" s="201" t="str">
        <f t="shared" si="13"/>
        <v/>
      </c>
      <c r="F175" s="174" t="str">
        <f t="shared" si="12"/>
        <v/>
      </c>
      <c r="G175" s="200" t="s">
        <v>485</v>
      </c>
      <c r="H175" s="200" t="s">
        <v>484</v>
      </c>
      <c r="I175" s="175">
        <f>IF(X175="","",X175*데이터입력!$Y$8)</f>
        <v>0</v>
      </c>
      <c r="J175" s="202">
        <f>R175*데이터입력!$Y$8</f>
        <v>0</v>
      </c>
      <c r="K175" s="202">
        <f>T175*데이터입력!$Y$8</f>
        <v>0</v>
      </c>
      <c r="L175" s="203">
        <f>IFERROR(U175*데이터입력!$Y$8,"")</f>
        <v>0</v>
      </c>
      <c r="M175" s="175">
        <f>IFERROR(V175*데이터입력!$Y$8,"")</f>
        <v>0</v>
      </c>
      <c r="N175" s="594"/>
      <c r="O175" s="184" t="str">
        <f>IF(데이터입력!AP177="","",데이터입력!AP177)</f>
        <v/>
      </c>
      <c r="P175" s="185" t="str">
        <f>IF(데이터입력!AQ177="","",데이터입력!AQ177)</f>
        <v/>
      </c>
      <c r="Q175" s="186">
        <f>IF(데이터입력!AR177="",0,데이터입력!AR177)</f>
        <v>0</v>
      </c>
      <c r="R175" s="187">
        <f>IF(데이터입력!AS177="",0,데이터입력!AS177)</f>
        <v>0</v>
      </c>
      <c r="S175" s="1260">
        <f>IF(데이터입력!AT177="",0,데이터입력!AT177)</f>
        <v>0</v>
      </c>
      <c r="T175" s="187">
        <f>IF(데이터입력!AU177="",0,데이터입력!AU177)</f>
        <v>0</v>
      </c>
      <c r="U175" s="186">
        <f>IF(데이터입력!AV177="",0,데이터입력!AV177)</f>
        <v>0</v>
      </c>
      <c r="V175" s="187">
        <f>IF(데이터입력!AW177="",0,데이터입력!AW177)</f>
        <v>0</v>
      </c>
      <c r="W175" s="1261">
        <f>IF(데이터입력!AX177="",0,데이터입력!AX177)</f>
        <v>0</v>
      </c>
      <c r="X175" s="931">
        <f>IF(데이터입력!AY177="",0,데이터입력!AY177)</f>
        <v>0</v>
      </c>
      <c r="Y175" s="931">
        <f>IF(데이터입력!AZ177="",0,데이터입력!AZ177)</f>
        <v>0</v>
      </c>
      <c r="Z175" s="599">
        <f>IF(데이터입력!BA177="",0,데이터입력!BA177)</f>
        <v>0</v>
      </c>
      <c r="AA175" s="935">
        <f>IF(데이터입력!BB177="",0,데이터입력!BB177)</f>
        <v>0</v>
      </c>
    </row>
    <row r="176" spans="1:27" hidden="1">
      <c r="A176" s="171">
        <f>IF(W176="","",SUBTOTAL(2,$W$11:W176))</f>
        <v>166</v>
      </c>
      <c r="B176" s="198" t="str">
        <f t="shared" si="10"/>
        <v>00</v>
      </c>
      <c r="C176" s="180" t="str">
        <f t="shared" si="11"/>
        <v/>
      </c>
      <c r="D176" s="180" t="str">
        <f t="shared" si="13"/>
        <v/>
      </c>
      <c r="E176" s="180" t="str">
        <f t="shared" si="13"/>
        <v/>
      </c>
      <c r="F176" s="181" t="str">
        <f t="shared" si="12"/>
        <v/>
      </c>
      <c r="G176" s="198" t="s">
        <v>485</v>
      </c>
      <c r="H176" s="198" t="s">
        <v>484</v>
      </c>
      <c r="I176" s="182">
        <f>IF(X176="","",X176*데이터입력!$Y$8)</f>
        <v>0</v>
      </c>
      <c r="J176" s="182">
        <f>R176*데이터입력!$Y$8</f>
        <v>0</v>
      </c>
      <c r="K176" s="182">
        <f>T176*데이터입력!$Y$8</f>
        <v>0</v>
      </c>
      <c r="L176" s="199">
        <f>IFERROR(U176*데이터입력!$Y$8,"")</f>
        <v>0</v>
      </c>
      <c r="M176" s="199">
        <f>IFERROR(V176*데이터입력!$Y$8,"")</f>
        <v>0</v>
      </c>
      <c r="N176" s="594"/>
      <c r="O176" s="184" t="str">
        <f>IF(데이터입력!AP178="","",데이터입력!AP178)</f>
        <v/>
      </c>
      <c r="P176" s="185" t="str">
        <f>IF(데이터입력!AQ178="","",데이터입력!AQ178)</f>
        <v/>
      </c>
      <c r="Q176" s="186">
        <f>IF(데이터입력!AR178="",0,데이터입력!AR178)</f>
        <v>0</v>
      </c>
      <c r="R176" s="187">
        <f>IF(데이터입력!AS178="",0,데이터입력!AS178)</f>
        <v>0</v>
      </c>
      <c r="S176" s="1260">
        <f>IF(데이터입력!AT178="",0,데이터입력!AT178)</f>
        <v>0</v>
      </c>
      <c r="T176" s="187">
        <f>IF(데이터입력!AU178="",0,데이터입력!AU178)</f>
        <v>0</v>
      </c>
      <c r="U176" s="186">
        <f>IF(데이터입력!AV178="",0,데이터입력!AV178)</f>
        <v>0</v>
      </c>
      <c r="V176" s="187">
        <f>IF(데이터입력!AW178="",0,데이터입력!AW178)</f>
        <v>0</v>
      </c>
      <c r="W176" s="1261">
        <f>IF(데이터입력!AX178="",0,데이터입력!AX178)</f>
        <v>0</v>
      </c>
      <c r="X176" s="931">
        <f>IF(데이터입력!AY178="",0,데이터입력!AY178)</f>
        <v>0</v>
      </c>
      <c r="Y176" s="931">
        <f>IF(데이터입력!AZ178="",0,데이터입력!AZ178)</f>
        <v>0</v>
      </c>
      <c r="Z176" s="599">
        <f>IF(데이터입력!BA178="",0,데이터입력!BA178)</f>
        <v>0</v>
      </c>
      <c r="AA176" s="935">
        <f>IF(데이터입력!BB178="",0,데이터입력!BB178)</f>
        <v>0</v>
      </c>
    </row>
    <row r="177" spans="1:27" hidden="1">
      <c r="A177" s="171">
        <f>IF(W177="","",SUBTOTAL(2,$W$11:W177))</f>
        <v>167</v>
      </c>
      <c r="B177" s="200" t="str">
        <f t="shared" si="10"/>
        <v>00</v>
      </c>
      <c r="C177" s="173" t="str">
        <f t="shared" si="11"/>
        <v/>
      </c>
      <c r="D177" s="201" t="str">
        <f t="shared" si="13"/>
        <v/>
      </c>
      <c r="E177" s="201" t="str">
        <f t="shared" si="13"/>
        <v/>
      </c>
      <c r="F177" s="174" t="str">
        <f t="shared" si="12"/>
        <v/>
      </c>
      <c r="G177" s="200" t="s">
        <v>485</v>
      </c>
      <c r="H177" s="200" t="s">
        <v>484</v>
      </c>
      <c r="I177" s="175">
        <f>IF(X177="","",X177*데이터입력!$Y$8)</f>
        <v>0</v>
      </c>
      <c r="J177" s="202">
        <f>R177*데이터입력!$Y$8</f>
        <v>0</v>
      </c>
      <c r="K177" s="202">
        <f>T177*데이터입력!$Y$8</f>
        <v>0</v>
      </c>
      <c r="L177" s="203">
        <f>IFERROR(U177*데이터입력!$Y$8,"")</f>
        <v>0</v>
      </c>
      <c r="M177" s="175">
        <f>IFERROR(V177*데이터입력!$Y$8,"")</f>
        <v>0</v>
      </c>
      <c r="N177" s="594"/>
      <c r="O177" s="184" t="str">
        <f>IF(데이터입력!AP179="","",데이터입력!AP179)</f>
        <v/>
      </c>
      <c r="P177" s="185" t="str">
        <f>IF(데이터입력!AQ179="","",데이터입력!AQ179)</f>
        <v/>
      </c>
      <c r="Q177" s="186">
        <f>IF(데이터입력!AR179="",0,데이터입력!AR179)</f>
        <v>0</v>
      </c>
      <c r="R177" s="187">
        <f>IF(데이터입력!AS179="",0,데이터입력!AS179)</f>
        <v>0</v>
      </c>
      <c r="S177" s="1260">
        <f>IF(데이터입력!AT179="",0,데이터입력!AT179)</f>
        <v>0</v>
      </c>
      <c r="T177" s="187">
        <f>IF(데이터입력!AU179="",0,데이터입력!AU179)</f>
        <v>0</v>
      </c>
      <c r="U177" s="186">
        <f>IF(데이터입력!AV179="",0,데이터입력!AV179)</f>
        <v>0</v>
      </c>
      <c r="V177" s="187">
        <f>IF(데이터입력!AW179="",0,데이터입력!AW179)</f>
        <v>0</v>
      </c>
      <c r="W177" s="1261">
        <f>IF(데이터입력!AX179="",0,데이터입력!AX179)</f>
        <v>0</v>
      </c>
      <c r="X177" s="931">
        <f>IF(데이터입력!AY179="",0,데이터입력!AY179)</f>
        <v>0</v>
      </c>
      <c r="Y177" s="931">
        <f>IF(데이터입력!AZ179="",0,데이터입력!AZ179)</f>
        <v>0</v>
      </c>
      <c r="Z177" s="599">
        <f>IF(데이터입력!BA179="",0,데이터입력!BA179)</f>
        <v>0</v>
      </c>
      <c r="AA177" s="935">
        <f>IF(데이터입력!BB179="",0,데이터입력!BB179)</f>
        <v>0</v>
      </c>
    </row>
    <row r="178" spans="1:27" hidden="1">
      <c r="A178" s="171">
        <f>IF(W178="","",SUBTOTAL(2,$W$11:W178))</f>
        <v>168</v>
      </c>
      <c r="B178" s="198" t="str">
        <f t="shared" si="10"/>
        <v>00</v>
      </c>
      <c r="C178" s="180" t="str">
        <f t="shared" si="11"/>
        <v/>
      </c>
      <c r="D178" s="180" t="str">
        <f t="shared" si="13"/>
        <v/>
      </c>
      <c r="E178" s="180" t="str">
        <f t="shared" si="13"/>
        <v/>
      </c>
      <c r="F178" s="181" t="str">
        <f t="shared" si="12"/>
        <v/>
      </c>
      <c r="G178" s="198" t="s">
        <v>485</v>
      </c>
      <c r="H178" s="198" t="s">
        <v>484</v>
      </c>
      <c r="I178" s="182">
        <f>IF(X178="","",X178*데이터입력!$Y$8)</f>
        <v>0</v>
      </c>
      <c r="J178" s="182">
        <f>R178*데이터입력!$Y$8</f>
        <v>0</v>
      </c>
      <c r="K178" s="182">
        <f>T178*데이터입력!$Y$8</f>
        <v>0</v>
      </c>
      <c r="L178" s="199">
        <f>IFERROR(U178*데이터입력!$Y$8,"")</f>
        <v>0</v>
      </c>
      <c r="M178" s="199">
        <f>IFERROR(V178*데이터입력!$Y$8,"")</f>
        <v>0</v>
      </c>
      <c r="N178" s="594"/>
      <c r="O178" s="184" t="str">
        <f>IF(데이터입력!AP180="","",데이터입력!AP180)</f>
        <v/>
      </c>
      <c r="P178" s="185" t="str">
        <f>IF(데이터입력!AQ180="","",데이터입력!AQ180)</f>
        <v/>
      </c>
      <c r="Q178" s="186">
        <f>IF(데이터입력!AR180="",0,데이터입력!AR180)</f>
        <v>0</v>
      </c>
      <c r="R178" s="187">
        <f>IF(데이터입력!AS180="",0,데이터입력!AS180)</f>
        <v>0</v>
      </c>
      <c r="S178" s="1260">
        <f>IF(데이터입력!AT180="",0,데이터입력!AT180)</f>
        <v>0</v>
      </c>
      <c r="T178" s="187">
        <f>IF(데이터입력!AU180="",0,데이터입력!AU180)</f>
        <v>0</v>
      </c>
      <c r="U178" s="186">
        <f>IF(데이터입력!AV180="",0,데이터입력!AV180)</f>
        <v>0</v>
      </c>
      <c r="V178" s="187">
        <f>IF(데이터입력!AW180="",0,데이터입력!AW180)</f>
        <v>0</v>
      </c>
      <c r="W178" s="1261">
        <f>IF(데이터입력!AX180="",0,데이터입력!AX180)</f>
        <v>0</v>
      </c>
      <c r="X178" s="931">
        <f>IF(데이터입력!AY180="",0,데이터입력!AY180)</f>
        <v>0</v>
      </c>
      <c r="Y178" s="931">
        <f>IF(데이터입력!AZ180="",0,데이터입력!AZ180)</f>
        <v>0</v>
      </c>
      <c r="Z178" s="599">
        <f>IF(데이터입력!BA180="",0,데이터입력!BA180)</f>
        <v>0</v>
      </c>
      <c r="AA178" s="935">
        <f>IF(데이터입력!BB180="",0,데이터입력!BB180)</f>
        <v>0</v>
      </c>
    </row>
    <row r="179" spans="1:27" hidden="1">
      <c r="A179" s="171">
        <f>IF(W179="","",SUBTOTAL(2,$W$11:W179))</f>
        <v>169</v>
      </c>
      <c r="B179" s="200" t="str">
        <f t="shared" si="10"/>
        <v>00</v>
      </c>
      <c r="C179" s="173" t="str">
        <f t="shared" si="11"/>
        <v/>
      </c>
      <c r="D179" s="201" t="str">
        <f t="shared" si="13"/>
        <v/>
      </c>
      <c r="E179" s="201" t="str">
        <f t="shared" si="13"/>
        <v/>
      </c>
      <c r="F179" s="174" t="str">
        <f t="shared" si="12"/>
        <v/>
      </c>
      <c r="G179" s="200" t="s">
        <v>485</v>
      </c>
      <c r="H179" s="200" t="s">
        <v>484</v>
      </c>
      <c r="I179" s="175">
        <f>IF(X179="","",X179*데이터입력!$Y$8)</f>
        <v>0</v>
      </c>
      <c r="J179" s="202">
        <f>R179*데이터입력!$Y$8</f>
        <v>0</v>
      </c>
      <c r="K179" s="202">
        <f>T179*데이터입력!$Y$8</f>
        <v>0</v>
      </c>
      <c r="L179" s="203">
        <f>IFERROR(U179*데이터입력!$Y$8,"")</f>
        <v>0</v>
      </c>
      <c r="M179" s="175">
        <f>IFERROR(V179*데이터입력!$Y$8,"")</f>
        <v>0</v>
      </c>
      <c r="N179" s="594"/>
      <c r="O179" s="184" t="str">
        <f>IF(데이터입력!AP181="","",데이터입력!AP181)</f>
        <v/>
      </c>
      <c r="P179" s="185" t="str">
        <f>IF(데이터입력!AQ181="","",데이터입력!AQ181)</f>
        <v/>
      </c>
      <c r="Q179" s="186">
        <f>IF(데이터입력!AR181="",0,데이터입력!AR181)</f>
        <v>0</v>
      </c>
      <c r="R179" s="187">
        <f>IF(데이터입력!AS181="",0,데이터입력!AS181)</f>
        <v>0</v>
      </c>
      <c r="S179" s="1260">
        <f>IF(데이터입력!AT181="",0,데이터입력!AT181)</f>
        <v>0</v>
      </c>
      <c r="T179" s="187">
        <f>IF(데이터입력!AU181="",0,데이터입력!AU181)</f>
        <v>0</v>
      </c>
      <c r="U179" s="186">
        <f>IF(데이터입력!AV181="",0,데이터입력!AV181)</f>
        <v>0</v>
      </c>
      <c r="V179" s="187">
        <f>IF(데이터입력!AW181="",0,데이터입력!AW181)</f>
        <v>0</v>
      </c>
      <c r="W179" s="1261">
        <f>IF(데이터입력!AX181="",0,데이터입력!AX181)</f>
        <v>0</v>
      </c>
      <c r="X179" s="931">
        <f>IF(데이터입력!AY181="",0,데이터입력!AY181)</f>
        <v>0</v>
      </c>
      <c r="Y179" s="931">
        <f>IF(데이터입력!AZ181="",0,데이터입력!AZ181)</f>
        <v>0</v>
      </c>
      <c r="Z179" s="599">
        <f>IF(데이터입력!BA181="",0,데이터입력!BA181)</f>
        <v>0</v>
      </c>
      <c r="AA179" s="935">
        <f>IF(데이터입력!BB181="",0,데이터입력!BB181)</f>
        <v>0</v>
      </c>
    </row>
    <row r="180" spans="1:27" hidden="1">
      <c r="A180" s="171">
        <f>IF(W180="","",SUBTOTAL(2,$W$11:W180))</f>
        <v>170</v>
      </c>
      <c r="B180" s="198" t="str">
        <f t="shared" si="10"/>
        <v>00</v>
      </c>
      <c r="C180" s="180" t="str">
        <f t="shared" si="11"/>
        <v/>
      </c>
      <c r="D180" s="180" t="str">
        <f t="shared" si="13"/>
        <v/>
      </c>
      <c r="E180" s="180" t="str">
        <f t="shared" si="13"/>
        <v/>
      </c>
      <c r="F180" s="181" t="str">
        <f t="shared" si="12"/>
        <v/>
      </c>
      <c r="G180" s="198" t="s">
        <v>485</v>
      </c>
      <c r="H180" s="198" t="s">
        <v>484</v>
      </c>
      <c r="I180" s="182">
        <f>IF(X180="","",X180*데이터입력!$Y$8)</f>
        <v>0</v>
      </c>
      <c r="J180" s="182">
        <f>R180*데이터입력!$Y$8</f>
        <v>0</v>
      </c>
      <c r="K180" s="182">
        <f>T180*데이터입력!$Y$8</f>
        <v>0</v>
      </c>
      <c r="L180" s="199">
        <f>IFERROR(U180*데이터입력!$Y$8,"")</f>
        <v>0</v>
      </c>
      <c r="M180" s="199">
        <f>IFERROR(V180*데이터입력!$Y$8,"")</f>
        <v>0</v>
      </c>
      <c r="N180" s="594"/>
      <c r="O180" s="184" t="str">
        <f>IF(데이터입력!AP182="","",데이터입력!AP182)</f>
        <v/>
      </c>
      <c r="P180" s="185" t="str">
        <f>IF(데이터입력!AQ182="","",데이터입력!AQ182)</f>
        <v/>
      </c>
      <c r="Q180" s="186">
        <f>IF(데이터입력!AR182="",0,데이터입력!AR182)</f>
        <v>0</v>
      </c>
      <c r="R180" s="187">
        <f>IF(데이터입력!AS182="",0,데이터입력!AS182)</f>
        <v>0</v>
      </c>
      <c r="S180" s="1260">
        <f>IF(데이터입력!AT182="",0,데이터입력!AT182)</f>
        <v>0</v>
      </c>
      <c r="T180" s="187">
        <f>IF(데이터입력!AU182="",0,데이터입력!AU182)</f>
        <v>0</v>
      </c>
      <c r="U180" s="186">
        <f>IF(데이터입력!AV182="",0,데이터입력!AV182)</f>
        <v>0</v>
      </c>
      <c r="V180" s="187">
        <f>IF(데이터입력!AW182="",0,데이터입력!AW182)</f>
        <v>0</v>
      </c>
      <c r="W180" s="1261">
        <f>IF(데이터입력!AX182="",0,데이터입력!AX182)</f>
        <v>0</v>
      </c>
      <c r="X180" s="931">
        <f>IF(데이터입력!AY182="",0,데이터입력!AY182)</f>
        <v>0</v>
      </c>
      <c r="Y180" s="931">
        <f>IF(데이터입력!AZ182="",0,데이터입력!AZ182)</f>
        <v>0</v>
      </c>
      <c r="Z180" s="599">
        <f>IF(데이터입력!BA182="",0,데이터입력!BA182)</f>
        <v>0</v>
      </c>
      <c r="AA180" s="935">
        <f>IF(데이터입력!BB182="",0,데이터입력!BB182)</f>
        <v>0</v>
      </c>
    </row>
    <row r="181" spans="1:27" hidden="1">
      <c r="A181" s="171">
        <f>IF(W181="","",SUBTOTAL(2,$W$11:W181))</f>
        <v>171</v>
      </c>
      <c r="B181" s="200" t="str">
        <f t="shared" si="10"/>
        <v>00</v>
      </c>
      <c r="C181" s="173" t="str">
        <f t="shared" si="11"/>
        <v/>
      </c>
      <c r="D181" s="201" t="str">
        <f t="shared" si="13"/>
        <v/>
      </c>
      <c r="E181" s="201" t="str">
        <f t="shared" si="13"/>
        <v/>
      </c>
      <c r="F181" s="174" t="str">
        <f t="shared" si="12"/>
        <v/>
      </c>
      <c r="G181" s="200" t="s">
        <v>485</v>
      </c>
      <c r="H181" s="200" t="s">
        <v>484</v>
      </c>
      <c r="I181" s="175">
        <f>IF(X181="","",X181*데이터입력!$Y$8)</f>
        <v>0</v>
      </c>
      <c r="J181" s="202">
        <f>R181*데이터입력!$Y$8</f>
        <v>0</v>
      </c>
      <c r="K181" s="202">
        <f>T181*데이터입력!$Y$8</f>
        <v>0</v>
      </c>
      <c r="L181" s="203">
        <f>IFERROR(U181*데이터입력!$Y$8,"")</f>
        <v>0</v>
      </c>
      <c r="M181" s="175">
        <f>IFERROR(V181*데이터입력!$Y$8,"")</f>
        <v>0</v>
      </c>
      <c r="N181" s="594"/>
      <c r="O181" s="184" t="str">
        <f>IF(데이터입력!AP183="","",데이터입력!AP183)</f>
        <v/>
      </c>
      <c r="P181" s="185" t="str">
        <f>IF(데이터입력!AQ183="","",데이터입력!AQ183)</f>
        <v/>
      </c>
      <c r="Q181" s="186">
        <f>IF(데이터입력!AR183="",0,데이터입력!AR183)</f>
        <v>0</v>
      </c>
      <c r="R181" s="187">
        <f>IF(데이터입력!AS183="",0,데이터입력!AS183)</f>
        <v>0</v>
      </c>
      <c r="S181" s="1260">
        <f>IF(데이터입력!AT183="",0,데이터입력!AT183)</f>
        <v>0</v>
      </c>
      <c r="T181" s="187">
        <f>IF(데이터입력!AU183="",0,데이터입력!AU183)</f>
        <v>0</v>
      </c>
      <c r="U181" s="186">
        <f>IF(데이터입력!AV183="",0,데이터입력!AV183)</f>
        <v>0</v>
      </c>
      <c r="V181" s="187">
        <f>IF(데이터입력!AW183="",0,데이터입력!AW183)</f>
        <v>0</v>
      </c>
      <c r="W181" s="1261">
        <f>IF(데이터입력!AX183="",0,데이터입력!AX183)</f>
        <v>0</v>
      </c>
      <c r="X181" s="931">
        <f>IF(데이터입력!AY183="",0,데이터입력!AY183)</f>
        <v>0</v>
      </c>
      <c r="Y181" s="931">
        <f>IF(데이터입력!AZ183="",0,데이터입력!AZ183)</f>
        <v>0</v>
      </c>
      <c r="Z181" s="599">
        <f>IF(데이터입력!BA183="",0,데이터입력!BA183)</f>
        <v>0</v>
      </c>
      <c r="AA181" s="935">
        <f>IF(데이터입력!BB183="",0,데이터입력!BB183)</f>
        <v>0</v>
      </c>
    </row>
    <row r="182" spans="1:27" hidden="1">
      <c r="A182" s="171">
        <f>IF(W182="","",SUBTOTAL(2,$W$11:W182))</f>
        <v>172</v>
      </c>
      <c r="B182" s="198" t="str">
        <f t="shared" si="10"/>
        <v>00</v>
      </c>
      <c r="C182" s="180" t="str">
        <f t="shared" si="11"/>
        <v/>
      </c>
      <c r="D182" s="180" t="str">
        <f t="shared" si="13"/>
        <v/>
      </c>
      <c r="E182" s="180" t="str">
        <f t="shared" si="13"/>
        <v/>
      </c>
      <c r="F182" s="181" t="str">
        <f t="shared" si="12"/>
        <v/>
      </c>
      <c r="G182" s="198" t="s">
        <v>485</v>
      </c>
      <c r="H182" s="198" t="s">
        <v>484</v>
      </c>
      <c r="I182" s="182">
        <f>IF(X182="","",X182*데이터입력!$Y$8)</f>
        <v>0</v>
      </c>
      <c r="J182" s="182">
        <f>R182*데이터입력!$Y$8</f>
        <v>0</v>
      </c>
      <c r="K182" s="182">
        <f>T182*데이터입력!$Y$8</f>
        <v>0</v>
      </c>
      <c r="L182" s="199">
        <f>IFERROR(U182*데이터입력!$Y$8,"")</f>
        <v>0</v>
      </c>
      <c r="M182" s="199">
        <f>IFERROR(V182*데이터입력!$Y$8,"")</f>
        <v>0</v>
      </c>
      <c r="N182" s="594"/>
      <c r="O182" s="184" t="str">
        <f>IF(데이터입력!AP184="","",데이터입력!AP184)</f>
        <v/>
      </c>
      <c r="P182" s="185" t="str">
        <f>IF(데이터입력!AQ184="","",데이터입력!AQ184)</f>
        <v/>
      </c>
      <c r="Q182" s="186">
        <f>IF(데이터입력!AR184="",0,데이터입력!AR184)</f>
        <v>0</v>
      </c>
      <c r="R182" s="187">
        <f>IF(데이터입력!AS184="",0,데이터입력!AS184)</f>
        <v>0</v>
      </c>
      <c r="S182" s="1260">
        <f>IF(데이터입력!AT184="",0,데이터입력!AT184)</f>
        <v>0</v>
      </c>
      <c r="T182" s="187">
        <f>IF(데이터입력!AU184="",0,데이터입력!AU184)</f>
        <v>0</v>
      </c>
      <c r="U182" s="186">
        <f>IF(데이터입력!AV184="",0,데이터입력!AV184)</f>
        <v>0</v>
      </c>
      <c r="V182" s="187">
        <f>IF(데이터입력!AW184="",0,데이터입력!AW184)</f>
        <v>0</v>
      </c>
      <c r="W182" s="1261">
        <f>IF(데이터입력!AX184="",0,데이터입력!AX184)</f>
        <v>0</v>
      </c>
      <c r="X182" s="931">
        <f>IF(데이터입력!AY184="",0,데이터입력!AY184)</f>
        <v>0</v>
      </c>
      <c r="Y182" s="931">
        <f>IF(데이터입력!AZ184="",0,데이터입력!AZ184)</f>
        <v>0</v>
      </c>
      <c r="Z182" s="599">
        <f>IF(데이터입력!BA184="",0,데이터입력!BA184)</f>
        <v>0</v>
      </c>
      <c r="AA182" s="935">
        <f>IF(데이터입력!BB184="",0,데이터입력!BB184)</f>
        <v>0</v>
      </c>
    </row>
    <row r="183" spans="1:27" hidden="1">
      <c r="A183" s="171">
        <f>IF(W183="","",SUBTOTAL(2,$W$11:W183))</f>
        <v>173</v>
      </c>
      <c r="B183" s="200" t="str">
        <f t="shared" si="10"/>
        <v>00</v>
      </c>
      <c r="C183" s="173" t="str">
        <f t="shared" si="11"/>
        <v/>
      </c>
      <c r="D183" s="201" t="str">
        <f t="shared" si="13"/>
        <v/>
      </c>
      <c r="E183" s="201" t="str">
        <f t="shared" si="13"/>
        <v/>
      </c>
      <c r="F183" s="174" t="str">
        <f t="shared" si="12"/>
        <v/>
      </c>
      <c r="G183" s="200" t="s">
        <v>485</v>
      </c>
      <c r="H183" s="200" t="s">
        <v>484</v>
      </c>
      <c r="I183" s="175">
        <f>IF(X183="","",X183*데이터입력!$Y$8)</f>
        <v>0</v>
      </c>
      <c r="J183" s="202">
        <f>R183*데이터입력!$Y$8</f>
        <v>0</v>
      </c>
      <c r="K183" s="202">
        <f>T183*데이터입력!$Y$8</f>
        <v>0</v>
      </c>
      <c r="L183" s="203">
        <f>IFERROR(U183*데이터입력!$Y$8,"")</f>
        <v>0</v>
      </c>
      <c r="M183" s="175">
        <f>IFERROR(V183*데이터입력!$Y$8,"")</f>
        <v>0</v>
      </c>
      <c r="N183" s="594"/>
      <c r="O183" s="184" t="str">
        <f>IF(데이터입력!AP185="","",데이터입력!AP185)</f>
        <v/>
      </c>
      <c r="P183" s="185" t="str">
        <f>IF(데이터입력!AQ185="","",데이터입력!AQ185)</f>
        <v/>
      </c>
      <c r="Q183" s="186">
        <f>IF(데이터입력!AR185="",0,데이터입력!AR185)</f>
        <v>0</v>
      </c>
      <c r="R183" s="187">
        <f>IF(데이터입력!AS185="",0,데이터입력!AS185)</f>
        <v>0</v>
      </c>
      <c r="S183" s="1260">
        <f>IF(데이터입력!AT185="",0,데이터입력!AT185)</f>
        <v>0</v>
      </c>
      <c r="T183" s="187">
        <f>IF(데이터입력!AU185="",0,데이터입력!AU185)</f>
        <v>0</v>
      </c>
      <c r="U183" s="186">
        <f>IF(데이터입력!AV185="",0,데이터입력!AV185)</f>
        <v>0</v>
      </c>
      <c r="V183" s="187">
        <f>IF(데이터입력!AW185="",0,데이터입력!AW185)</f>
        <v>0</v>
      </c>
      <c r="W183" s="1261">
        <f>IF(데이터입력!AX185="",0,데이터입력!AX185)</f>
        <v>0</v>
      </c>
      <c r="X183" s="931">
        <f>IF(데이터입력!AY185="",0,데이터입력!AY185)</f>
        <v>0</v>
      </c>
      <c r="Y183" s="931">
        <f>IF(데이터입력!AZ185="",0,데이터입력!AZ185)</f>
        <v>0</v>
      </c>
      <c r="Z183" s="599">
        <f>IF(데이터입력!BA185="",0,데이터입력!BA185)</f>
        <v>0</v>
      </c>
      <c r="AA183" s="935">
        <f>IF(데이터입력!BB185="",0,데이터입력!BB185)</f>
        <v>0</v>
      </c>
    </row>
    <row r="184" spans="1:27" hidden="1">
      <c r="A184" s="171">
        <f>IF(W184="","",SUBTOTAL(2,$W$11:W184))</f>
        <v>174</v>
      </c>
      <c r="B184" s="198" t="str">
        <f t="shared" si="10"/>
        <v>00</v>
      </c>
      <c r="C184" s="180" t="str">
        <f t="shared" si="11"/>
        <v/>
      </c>
      <c r="D184" s="180" t="str">
        <f t="shared" si="13"/>
        <v/>
      </c>
      <c r="E184" s="180" t="str">
        <f t="shared" si="13"/>
        <v/>
      </c>
      <c r="F184" s="181" t="str">
        <f t="shared" si="12"/>
        <v/>
      </c>
      <c r="G184" s="198" t="s">
        <v>485</v>
      </c>
      <c r="H184" s="198" t="s">
        <v>484</v>
      </c>
      <c r="I184" s="182">
        <f>IF(X184="","",X184*데이터입력!$Y$8)</f>
        <v>0</v>
      </c>
      <c r="J184" s="182">
        <f>R184*데이터입력!$Y$8</f>
        <v>0</v>
      </c>
      <c r="K184" s="182">
        <f>T184*데이터입력!$Y$8</f>
        <v>0</v>
      </c>
      <c r="L184" s="199">
        <f>IFERROR(U184*데이터입력!$Y$8,"")</f>
        <v>0</v>
      </c>
      <c r="M184" s="199">
        <f>IFERROR(V184*데이터입력!$Y$8,"")</f>
        <v>0</v>
      </c>
      <c r="N184" s="594"/>
      <c r="O184" s="184" t="str">
        <f>IF(데이터입력!AP186="","",데이터입력!AP186)</f>
        <v/>
      </c>
      <c r="P184" s="185" t="str">
        <f>IF(데이터입력!AQ186="","",데이터입력!AQ186)</f>
        <v/>
      </c>
      <c r="Q184" s="186">
        <f>IF(데이터입력!AR186="",0,데이터입력!AR186)</f>
        <v>0</v>
      </c>
      <c r="R184" s="187">
        <f>IF(데이터입력!AS186="",0,데이터입력!AS186)</f>
        <v>0</v>
      </c>
      <c r="S184" s="1260">
        <f>IF(데이터입력!AT186="",0,데이터입력!AT186)</f>
        <v>0</v>
      </c>
      <c r="T184" s="187">
        <f>IF(데이터입력!AU186="",0,데이터입력!AU186)</f>
        <v>0</v>
      </c>
      <c r="U184" s="186">
        <f>IF(데이터입력!AV186="",0,데이터입력!AV186)</f>
        <v>0</v>
      </c>
      <c r="V184" s="187">
        <f>IF(데이터입력!AW186="",0,데이터입력!AW186)</f>
        <v>0</v>
      </c>
      <c r="W184" s="1261">
        <f>IF(데이터입력!AX186="",0,데이터입력!AX186)</f>
        <v>0</v>
      </c>
      <c r="X184" s="931">
        <f>IF(데이터입력!AY186="",0,데이터입력!AY186)</f>
        <v>0</v>
      </c>
      <c r="Y184" s="931">
        <f>IF(데이터입력!AZ186="",0,데이터입력!AZ186)</f>
        <v>0</v>
      </c>
      <c r="Z184" s="599">
        <f>IF(데이터입력!BA186="",0,데이터입력!BA186)</f>
        <v>0</v>
      </c>
      <c r="AA184" s="935">
        <f>IF(데이터입력!BB186="",0,데이터입력!BB186)</f>
        <v>0</v>
      </c>
    </row>
    <row r="185" spans="1:27" hidden="1">
      <c r="A185" s="171">
        <f>IF(W185="","",SUBTOTAL(2,$W$11:W185))</f>
        <v>175</v>
      </c>
      <c r="B185" s="200" t="str">
        <f t="shared" si="10"/>
        <v>00</v>
      </c>
      <c r="C185" s="173" t="str">
        <f t="shared" si="11"/>
        <v/>
      </c>
      <c r="D185" s="201" t="str">
        <f t="shared" si="13"/>
        <v/>
      </c>
      <c r="E185" s="201" t="str">
        <f t="shared" si="13"/>
        <v/>
      </c>
      <c r="F185" s="174" t="str">
        <f t="shared" si="12"/>
        <v/>
      </c>
      <c r="G185" s="200" t="s">
        <v>485</v>
      </c>
      <c r="H185" s="200" t="s">
        <v>484</v>
      </c>
      <c r="I185" s="175">
        <f>IF(X185="","",X185*데이터입력!$Y$8)</f>
        <v>0</v>
      </c>
      <c r="J185" s="202">
        <f>R185*데이터입력!$Y$8</f>
        <v>0</v>
      </c>
      <c r="K185" s="202">
        <f>T185*데이터입력!$Y$8</f>
        <v>0</v>
      </c>
      <c r="L185" s="203">
        <f>IFERROR(U185*데이터입력!$Y$8,"")</f>
        <v>0</v>
      </c>
      <c r="M185" s="175">
        <f>IFERROR(V185*데이터입력!$Y$8,"")</f>
        <v>0</v>
      </c>
      <c r="N185" s="594"/>
      <c r="O185" s="184" t="str">
        <f>IF(데이터입력!AP187="","",데이터입력!AP187)</f>
        <v/>
      </c>
      <c r="P185" s="185" t="str">
        <f>IF(데이터입력!AQ187="","",데이터입력!AQ187)</f>
        <v/>
      </c>
      <c r="Q185" s="186">
        <f>IF(데이터입력!AR187="",0,데이터입력!AR187)</f>
        <v>0</v>
      </c>
      <c r="R185" s="187">
        <f>IF(데이터입력!AS187="",0,데이터입력!AS187)</f>
        <v>0</v>
      </c>
      <c r="S185" s="1260">
        <f>IF(데이터입력!AT187="",0,데이터입력!AT187)</f>
        <v>0</v>
      </c>
      <c r="T185" s="187">
        <f>IF(데이터입력!AU187="",0,데이터입력!AU187)</f>
        <v>0</v>
      </c>
      <c r="U185" s="186">
        <f>IF(데이터입력!AV187="",0,데이터입력!AV187)</f>
        <v>0</v>
      </c>
      <c r="V185" s="187">
        <f>IF(데이터입력!AW187="",0,데이터입력!AW187)</f>
        <v>0</v>
      </c>
      <c r="W185" s="1261">
        <f>IF(데이터입력!AX187="",0,데이터입력!AX187)</f>
        <v>0</v>
      </c>
      <c r="X185" s="931">
        <f>IF(데이터입력!AY187="",0,데이터입력!AY187)</f>
        <v>0</v>
      </c>
      <c r="Y185" s="931">
        <f>IF(데이터입력!AZ187="",0,데이터입력!AZ187)</f>
        <v>0</v>
      </c>
      <c r="Z185" s="599">
        <f>IF(데이터입력!BA187="",0,데이터입력!BA187)</f>
        <v>0</v>
      </c>
      <c r="AA185" s="935">
        <f>IF(데이터입력!BB187="",0,데이터입력!BB187)</f>
        <v>0</v>
      </c>
    </row>
    <row r="186" spans="1:27" hidden="1">
      <c r="A186" s="171">
        <f>IF(W186="","",SUBTOTAL(2,$W$11:W186))</f>
        <v>176</v>
      </c>
      <c r="B186" s="198" t="str">
        <f t="shared" si="10"/>
        <v>00</v>
      </c>
      <c r="C186" s="180" t="str">
        <f t="shared" si="11"/>
        <v/>
      </c>
      <c r="D186" s="180" t="str">
        <f t="shared" si="13"/>
        <v/>
      </c>
      <c r="E186" s="180" t="str">
        <f t="shared" si="13"/>
        <v/>
      </c>
      <c r="F186" s="181" t="str">
        <f t="shared" si="12"/>
        <v/>
      </c>
      <c r="G186" s="198" t="s">
        <v>485</v>
      </c>
      <c r="H186" s="198" t="s">
        <v>484</v>
      </c>
      <c r="I186" s="182">
        <f>IF(X186="","",X186*데이터입력!$Y$8)</f>
        <v>0</v>
      </c>
      <c r="J186" s="182">
        <f>R186*데이터입력!$Y$8</f>
        <v>0</v>
      </c>
      <c r="K186" s="182">
        <f>T186*데이터입력!$Y$8</f>
        <v>0</v>
      </c>
      <c r="L186" s="199">
        <f>IFERROR(U186*데이터입력!$Y$8,"")</f>
        <v>0</v>
      </c>
      <c r="M186" s="199">
        <f>IFERROR(V186*데이터입력!$Y$8,"")</f>
        <v>0</v>
      </c>
      <c r="N186" s="594"/>
      <c r="O186" s="184" t="str">
        <f>IF(데이터입력!AP188="","",데이터입력!AP188)</f>
        <v/>
      </c>
      <c r="P186" s="185" t="str">
        <f>IF(데이터입력!AQ188="","",데이터입력!AQ188)</f>
        <v/>
      </c>
      <c r="Q186" s="186">
        <f>IF(데이터입력!AR188="",0,데이터입력!AR188)</f>
        <v>0</v>
      </c>
      <c r="R186" s="187">
        <f>IF(데이터입력!AS188="",0,데이터입력!AS188)</f>
        <v>0</v>
      </c>
      <c r="S186" s="1260">
        <f>IF(데이터입력!AT188="",0,데이터입력!AT188)</f>
        <v>0</v>
      </c>
      <c r="T186" s="187">
        <f>IF(데이터입력!AU188="",0,데이터입력!AU188)</f>
        <v>0</v>
      </c>
      <c r="U186" s="186">
        <f>IF(데이터입력!AV188="",0,데이터입력!AV188)</f>
        <v>0</v>
      </c>
      <c r="V186" s="187">
        <f>IF(데이터입력!AW188="",0,데이터입력!AW188)</f>
        <v>0</v>
      </c>
      <c r="W186" s="1261">
        <f>IF(데이터입력!AX188="",0,데이터입력!AX188)</f>
        <v>0</v>
      </c>
      <c r="X186" s="931">
        <f>IF(데이터입력!AY188="",0,데이터입력!AY188)</f>
        <v>0</v>
      </c>
      <c r="Y186" s="931">
        <f>IF(데이터입력!AZ188="",0,데이터입력!AZ188)</f>
        <v>0</v>
      </c>
      <c r="Z186" s="599">
        <f>IF(데이터입력!BA188="",0,데이터입력!BA188)</f>
        <v>0</v>
      </c>
      <c r="AA186" s="935">
        <f>IF(데이터입력!BB188="",0,데이터입력!BB188)</f>
        <v>0</v>
      </c>
    </row>
    <row r="187" spans="1:27" hidden="1">
      <c r="A187" s="171">
        <f>IF(W187="","",SUBTOTAL(2,$W$11:W187))</f>
        <v>177</v>
      </c>
      <c r="B187" s="200" t="str">
        <f t="shared" si="10"/>
        <v>00</v>
      </c>
      <c r="C187" s="173" t="str">
        <f t="shared" si="11"/>
        <v/>
      </c>
      <c r="D187" s="201" t="str">
        <f t="shared" si="13"/>
        <v/>
      </c>
      <c r="E187" s="201" t="str">
        <f t="shared" si="13"/>
        <v/>
      </c>
      <c r="F187" s="174" t="str">
        <f t="shared" si="12"/>
        <v/>
      </c>
      <c r="G187" s="200" t="s">
        <v>485</v>
      </c>
      <c r="H187" s="200" t="s">
        <v>484</v>
      </c>
      <c r="I187" s="175">
        <f>IF(X187="","",X187*데이터입력!$Y$8)</f>
        <v>0</v>
      </c>
      <c r="J187" s="202">
        <f>R187*데이터입력!$Y$8</f>
        <v>0</v>
      </c>
      <c r="K187" s="202">
        <f>T187*데이터입력!$Y$8</f>
        <v>0</v>
      </c>
      <c r="L187" s="203">
        <f>IFERROR(U187*데이터입력!$Y$8,"")</f>
        <v>0</v>
      </c>
      <c r="M187" s="175">
        <f>IFERROR(V187*데이터입력!$Y$8,"")</f>
        <v>0</v>
      </c>
      <c r="N187" s="594"/>
      <c r="O187" s="184" t="str">
        <f>IF(데이터입력!AP189="","",데이터입력!AP189)</f>
        <v/>
      </c>
      <c r="P187" s="185" t="str">
        <f>IF(데이터입력!AQ189="","",데이터입력!AQ189)</f>
        <v/>
      </c>
      <c r="Q187" s="186">
        <f>IF(데이터입력!AR189="",0,데이터입력!AR189)</f>
        <v>0</v>
      </c>
      <c r="R187" s="187">
        <f>IF(데이터입력!AS189="",0,데이터입력!AS189)</f>
        <v>0</v>
      </c>
      <c r="S187" s="1260">
        <f>IF(데이터입력!AT189="",0,데이터입력!AT189)</f>
        <v>0</v>
      </c>
      <c r="T187" s="187">
        <f>IF(데이터입력!AU189="",0,데이터입력!AU189)</f>
        <v>0</v>
      </c>
      <c r="U187" s="186">
        <f>IF(데이터입력!AV189="",0,데이터입력!AV189)</f>
        <v>0</v>
      </c>
      <c r="V187" s="187">
        <f>IF(데이터입력!AW189="",0,데이터입력!AW189)</f>
        <v>0</v>
      </c>
      <c r="W187" s="1261">
        <f>IF(데이터입력!AX189="",0,데이터입력!AX189)</f>
        <v>0</v>
      </c>
      <c r="X187" s="931">
        <f>IF(데이터입력!AY189="",0,데이터입력!AY189)</f>
        <v>0</v>
      </c>
      <c r="Y187" s="931">
        <f>IF(데이터입력!AZ189="",0,데이터입력!AZ189)</f>
        <v>0</v>
      </c>
      <c r="Z187" s="599">
        <f>IF(데이터입력!BA189="",0,데이터입력!BA189)</f>
        <v>0</v>
      </c>
      <c r="AA187" s="935">
        <f>IF(데이터입력!BB189="",0,데이터입력!BB189)</f>
        <v>0</v>
      </c>
    </row>
    <row r="188" spans="1:27" hidden="1">
      <c r="A188" s="171">
        <f>IF(W188="","",SUBTOTAL(2,$W$11:W188))</f>
        <v>178</v>
      </c>
      <c r="B188" s="198" t="str">
        <f t="shared" si="10"/>
        <v>00</v>
      </c>
      <c r="C188" s="180" t="str">
        <f t="shared" si="11"/>
        <v/>
      </c>
      <c r="D188" s="180" t="str">
        <f t="shared" si="13"/>
        <v/>
      </c>
      <c r="E188" s="180" t="str">
        <f t="shared" si="13"/>
        <v/>
      </c>
      <c r="F188" s="181" t="str">
        <f t="shared" si="12"/>
        <v/>
      </c>
      <c r="G188" s="198" t="s">
        <v>485</v>
      </c>
      <c r="H188" s="198" t="s">
        <v>484</v>
      </c>
      <c r="I188" s="182">
        <f>IF(X188="","",X188*데이터입력!$Y$8)</f>
        <v>0</v>
      </c>
      <c r="J188" s="182">
        <f>R188*데이터입력!$Y$8</f>
        <v>0</v>
      </c>
      <c r="K188" s="182">
        <f>T188*데이터입력!$Y$8</f>
        <v>0</v>
      </c>
      <c r="L188" s="199">
        <f>IFERROR(U188*데이터입력!$Y$8,"")</f>
        <v>0</v>
      </c>
      <c r="M188" s="199">
        <f>IFERROR(V188*데이터입력!$Y$8,"")</f>
        <v>0</v>
      </c>
      <c r="N188" s="594"/>
      <c r="O188" s="184" t="str">
        <f>IF(데이터입력!AP190="","",데이터입력!AP190)</f>
        <v/>
      </c>
      <c r="P188" s="185" t="str">
        <f>IF(데이터입력!AQ190="","",데이터입력!AQ190)</f>
        <v/>
      </c>
      <c r="Q188" s="186">
        <f>IF(데이터입력!AR190="",0,데이터입력!AR190)</f>
        <v>0</v>
      </c>
      <c r="R188" s="187">
        <f>IF(데이터입력!AS190="",0,데이터입력!AS190)</f>
        <v>0</v>
      </c>
      <c r="S188" s="1260">
        <f>IF(데이터입력!AT190="",0,데이터입력!AT190)</f>
        <v>0</v>
      </c>
      <c r="T188" s="187">
        <f>IF(데이터입력!AU190="",0,데이터입력!AU190)</f>
        <v>0</v>
      </c>
      <c r="U188" s="186">
        <f>IF(데이터입력!AV190="",0,데이터입력!AV190)</f>
        <v>0</v>
      </c>
      <c r="V188" s="187">
        <f>IF(데이터입력!AW190="",0,데이터입력!AW190)</f>
        <v>0</v>
      </c>
      <c r="W188" s="1261">
        <f>IF(데이터입력!AX190="",0,데이터입력!AX190)</f>
        <v>0</v>
      </c>
      <c r="X188" s="931">
        <f>IF(데이터입력!AY190="",0,데이터입력!AY190)</f>
        <v>0</v>
      </c>
      <c r="Y188" s="931">
        <f>IF(데이터입력!AZ190="",0,데이터입력!AZ190)</f>
        <v>0</v>
      </c>
      <c r="Z188" s="599">
        <f>IF(데이터입력!BA190="",0,데이터입력!BA190)</f>
        <v>0</v>
      </c>
      <c r="AA188" s="935">
        <f>IF(데이터입력!BB190="",0,데이터입력!BB190)</f>
        <v>0</v>
      </c>
    </row>
    <row r="189" spans="1:27" hidden="1">
      <c r="A189" s="171">
        <f>IF(W189="","",SUBTOTAL(2,$W$11:W189))</f>
        <v>179</v>
      </c>
      <c r="B189" s="200" t="str">
        <f t="shared" si="10"/>
        <v>00</v>
      </c>
      <c r="C189" s="173" t="str">
        <f t="shared" si="11"/>
        <v/>
      </c>
      <c r="D189" s="201" t="str">
        <f t="shared" si="13"/>
        <v/>
      </c>
      <c r="E189" s="201" t="str">
        <f t="shared" si="13"/>
        <v/>
      </c>
      <c r="F189" s="174" t="str">
        <f t="shared" si="12"/>
        <v/>
      </c>
      <c r="G189" s="200" t="s">
        <v>485</v>
      </c>
      <c r="H189" s="200" t="s">
        <v>484</v>
      </c>
      <c r="I189" s="175">
        <f>IF(X189="","",X189*데이터입력!$Y$8)</f>
        <v>0</v>
      </c>
      <c r="J189" s="202">
        <f>R189*데이터입력!$Y$8</f>
        <v>0</v>
      </c>
      <c r="K189" s="202">
        <f>T189*데이터입력!$Y$8</f>
        <v>0</v>
      </c>
      <c r="L189" s="203">
        <f>IFERROR(U189*데이터입력!$Y$8,"")</f>
        <v>0</v>
      </c>
      <c r="M189" s="175">
        <f>IFERROR(V189*데이터입력!$Y$8,"")</f>
        <v>0</v>
      </c>
      <c r="N189" s="594"/>
      <c r="O189" s="184" t="str">
        <f>IF(데이터입력!AP191="","",데이터입력!AP191)</f>
        <v/>
      </c>
      <c r="P189" s="185" t="str">
        <f>IF(데이터입력!AQ191="","",데이터입력!AQ191)</f>
        <v/>
      </c>
      <c r="Q189" s="186">
        <f>IF(데이터입력!AR191="",0,데이터입력!AR191)</f>
        <v>0</v>
      </c>
      <c r="R189" s="187">
        <f>IF(데이터입력!AS191="",0,데이터입력!AS191)</f>
        <v>0</v>
      </c>
      <c r="S189" s="1260">
        <f>IF(데이터입력!AT191="",0,데이터입력!AT191)</f>
        <v>0</v>
      </c>
      <c r="T189" s="187">
        <f>IF(데이터입력!AU191="",0,데이터입력!AU191)</f>
        <v>0</v>
      </c>
      <c r="U189" s="186">
        <f>IF(데이터입력!AV191="",0,데이터입력!AV191)</f>
        <v>0</v>
      </c>
      <c r="V189" s="187">
        <f>IF(데이터입력!AW191="",0,데이터입력!AW191)</f>
        <v>0</v>
      </c>
      <c r="W189" s="1261">
        <f>IF(데이터입력!AX191="",0,데이터입력!AX191)</f>
        <v>0</v>
      </c>
      <c r="X189" s="931">
        <f>IF(데이터입력!AY191="",0,데이터입력!AY191)</f>
        <v>0</v>
      </c>
      <c r="Y189" s="931">
        <f>IF(데이터입력!AZ191="",0,데이터입력!AZ191)</f>
        <v>0</v>
      </c>
      <c r="Z189" s="599">
        <f>IF(데이터입력!BA191="",0,데이터입력!BA191)</f>
        <v>0</v>
      </c>
      <c r="AA189" s="935">
        <f>IF(데이터입력!BB191="",0,데이터입력!BB191)</f>
        <v>0</v>
      </c>
    </row>
    <row r="190" spans="1:27" hidden="1">
      <c r="A190" s="171">
        <f>IF(W190="","",SUBTOTAL(2,$W$11:W190))</f>
        <v>180</v>
      </c>
      <c r="B190" s="198" t="str">
        <f t="shared" si="10"/>
        <v>00</v>
      </c>
      <c r="C190" s="180" t="str">
        <f t="shared" si="11"/>
        <v/>
      </c>
      <c r="D190" s="180" t="str">
        <f t="shared" si="13"/>
        <v/>
      </c>
      <c r="E190" s="180" t="str">
        <f t="shared" si="13"/>
        <v/>
      </c>
      <c r="F190" s="181" t="str">
        <f t="shared" si="12"/>
        <v/>
      </c>
      <c r="G190" s="198" t="s">
        <v>485</v>
      </c>
      <c r="H190" s="198" t="s">
        <v>484</v>
      </c>
      <c r="I190" s="182">
        <f>IF(X190="","",X190*데이터입력!$Y$8)</f>
        <v>0</v>
      </c>
      <c r="J190" s="182">
        <f>R190*데이터입력!$Y$8</f>
        <v>0</v>
      </c>
      <c r="K190" s="182">
        <f>T190*데이터입력!$Y$8</f>
        <v>0</v>
      </c>
      <c r="L190" s="199">
        <f>IFERROR(U190*데이터입력!$Y$8,"")</f>
        <v>0</v>
      </c>
      <c r="M190" s="199">
        <f>IFERROR(V190*데이터입력!$Y$8,"")</f>
        <v>0</v>
      </c>
      <c r="N190" s="594"/>
      <c r="O190" s="184" t="str">
        <f>IF(데이터입력!AP192="","",데이터입력!AP192)</f>
        <v/>
      </c>
      <c r="P190" s="185" t="str">
        <f>IF(데이터입력!AQ192="","",데이터입력!AQ192)</f>
        <v/>
      </c>
      <c r="Q190" s="186">
        <f>IF(데이터입력!AR192="",0,데이터입력!AR192)</f>
        <v>0</v>
      </c>
      <c r="R190" s="187">
        <f>IF(데이터입력!AS192="",0,데이터입력!AS192)</f>
        <v>0</v>
      </c>
      <c r="S190" s="1260">
        <f>IF(데이터입력!AT192="",0,데이터입력!AT192)</f>
        <v>0</v>
      </c>
      <c r="T190" s="187">
        <f>IF(데이터입력!AU192="",0,데이터입력!AU192)</f>
        <v>0</v>
      </c>
      <c r="U190" s="186">
        <f>IF(데이터입력!AV192="",0,데이터입력!AV192)</f>
        <v>0</v>
      </c>
      <c r="V190" s="187">
        <f>IF(데이터입력!AW192="",0,데이터입력!AW192)</f>
        <v>0</v>
      </c>
      <c r="W190" s="1261">
        <f>IF(데이터입력!AX192="",0,데이터입력!AX192)</f>
        <v>0</v>
      </c>
      <c r="X190" s="931">
        <f>IF(데이터입력!AY192="",0,데이터입력!AY192)</f>
        <v>0</v>
      </c>
      <c r="Y190" s="931">
        <f>IF(데이터입력!AZ192="",0,데이터입력!AZ192)</f>
        <v>0</v>
      </c>
      <c r="Z190" s="599">
        <f>IF(데이터입력!BA192="",0,데이터입력!BA192)</f>
        <v>0</v>
      </c>
      <c r="AA190" s="935">
        <f>IF(데이터입력!BB192="",0,데이터입력!BB192)</f>
        <v>0</v>
      </c>
    </row>
    <row r="191" spans="1:27" hidden="1">
      <c r="A191" s="171">
        <f>IF(W191="","",SUBTOTAL(2,$W$11:W191))</f>
        <v>181</v>
      </c>
      <c r="B191" s="200" t="str">
        <f t="shared" si="10"/>
        <v>00</v>
      </c>
      <c r="C191" s="173" t="str">
        <f t="shared" si="11"/>
        <v/>
      </c>
      <c r="D191" s="201" t="str">
        <f t="shared" si="13"/>
        <v/>
      </c>
      <c r="E191" s="201" t="str">
        <f t="shared" si="13"/>
        <v/>
      </c>
      <c r="F191" s="174" t="str">
        <f t="shared" si="12"/>
        <v/>
      </c>
      <c r="G191" s="200" t="s">
        <v>485</v>
      </c>
      <c r="H191" s="200" t="s">
        <v>484</v>
      </c>
      <c r="I191" s="175">
        <f>IF(X191="","",X191*데이터입력!$Y$8)</f>
        <v>0</v>
      </c>
      <c r="J191" s="202">
        <f>R191*데이터입력!$Y$8</f>
        <v>0</v>
      </c>
      <c r="K191" s="202">
        <f>T191*데이터입력!$Y$8</f>
        <v>0</v>
      </c>
      <c r="L191" s="203">
        <f>IFERROR(U191*데이터입력!$Y$8,"")</f>
        <v>0</v>
      </c>
      <c r="M191" s="175">
        <f>IFERROR(V191*데이터입력!$Y$8,"")</f>
        <v>0</v>
      </c>
      <c r="N191" s="594"/>
      <c r="O191" s="184" t="str">
        <f>IF(데이터입력!AP193="","",데이터입력!AP193)</f>
        <v/>
      </c>
      <c r="P191" s="185" t="str">
        <f>IF(데이터입력!AQ193="","",데이터입력!AQ193)</f>
        <v/>
      </c>
      <c r="Q191" s="186">
        <f>IF(데이터입력!AR193="",0,데이터입력!AR193)</f>
        <v>0</v>
      </c>
      <c r="R191" s="187">
        <f>IF(데이터입력!AS193="",0,데이터입력!AS193)</f>
        <v>0</v>
      </c>
      <c r="S191" s="1260">
        <f>IF(데이터입력!AT193="",0,데이터입력!AT193)</f>
        <v>0</v>
      </c>
      <c r="T191" s="187">
        <f>IF(데이터입력!AU193="",0,데이터입력!AU193)</f>
        <v>0</v>
      </c>
      <c r="U191" s="186">
        <f>IF(데이터입력!AV193="",0,데이터입력!AV193)</f>
        <v>0</v>
      </c>
      <c r="V191" s="187">
        <f>IF(데이터입력!AW193="",0,데이터입력!AW193)</f>
        <v>0</v>
      </c>
      <c r="W191" s="1261">
        <f>IF(데이터입력!AX193="",0,데이터입력!AX193)</f>
        <v>0</v>
      </c>
      <c r="X191" s="931">
        <f>IF(데이터입력!AY193="",0,데이터입력!AY193)</f>
        <v>0</v>
      </c>
      <c r="Y191" s="931">
        <f>IF(데이터입력!AZ193="",0,데이터입력!AZ193)</f>
        <v>0</v>
      </c>
      <c r="Z191" s="599">
        <f>IF(데이터입력!BA193="",0,데이터입력!BA193)</f>
        <v>0</v>
      </c>
      <c r="AA191" s="935">
        <f>IF(데이터입력!BB193="",0,데이터입력!BB193)</f>
        <v>0</v>
      </c>
    </row>
    <row r="192" spans="1:27" hidden="1">
      <c r="A192" s="171">
        <f>IF(W192="","",SUBTOTAL(2,$W$11:W192))</f>
        <v>182</v>
      </c>
      <c r="B192" s="198" t="str">
        <f t="shared" si="10"/>
        <v>00</v>
      </c>
      <c r="C192" s="180" t="str">
        <f t="shared" si="11"/>
        <v/>
      </c>
      <c r="D192" s="180" t="str">
        <f t="shared" si="13"/>
        <v/>
      </c>
      <c r="E192" s="180" t="str">
        <f t="shared" si="13"/>
        <v/>
      </c>
      <c r="F192" s="181" t="str">
        <f t="shared" si="12"/>
        <v/>
      </c>
      <c r="G192" s="198" t="s">
        <v>485</v>
      </c>
      <c r="H192" s="198" t="s">
        <v>484</v>
      </c>
      <c r="I192" s="182">
        <f>IF(X192="","",X192*데이터입력!$Y$8)</f>
        <v>0</v>
      </c>
      <c r="J192" s="182">
        <f>R192*데이터입력!$Y$8</f>
        <v>0</v>
      </c>
      <c r="K192" s="182">
        <f>T192*데이터입력!$Y$8</f>
        <v>0</v>
      </c>
      <c r="L192" s="199">
        <f>IFERROR(U192*데이터입력!$Y$8,"")</f>
        <v>0</v>
      </c>
      <c r="M192" s="199">
        <f>IFERROR(V192*데이터입력!$Y$8,"")</f>
        <v>0</v>
      </c>
      <c r="N192" s="594"/>
      <c r="O192" s="184" t="str">
        <f>IF(데이터입력!AP194="","",데이터입력!AP194)</f>
        <v/>
      </c>
      <c r="P192" s="185" t="str">
        <f>IF(데이터입력!AQ194="","",데이터입력!AQ194)</f>
        <v/>
      </c>
      <c r="Q192" s="186">
        <f>IF(데이터입력!AR194="",0,데이터입력!AR194)</f>
        <v>0</v>
      </c>
      <c r="R192" s="187">
        <f>IF(데이터입력!AS194="",0,데이터입력!AS194)</f>
        <v>0</v>
      </c>
      <c r="S192" s="1260">
        <f>IF(데이터입력!AT194="",0,데이터입력!AT194)</f>
        <v>0</v>
      </c>
      <c r="T192" s="187">
        <f>IF(데이터입력!AU194="",0,데이터입력!AU194)</f>
        <v>0</v>
      </c>
      <c r="U192" s="186">
        <f>IF(데이터입력!AV194="",0,데이터입력!AV194)</f>
        <v>0</v>
      </c>
      <c r="V192" s="187">
        <f>IF(데이터입력!AW194="",0,데이터입력!AW194)</f>
        <v>0</v>
      </c>
      <c r="W192" s="1261">
        <f>IF(데이터입력!AX194="",0,데이터입력!AX194)</f>
        <v>0</v>
      </c>
      <c r="X192" s="931">
        <f>IF(데이터입력!AY194="",0,데이터입력!AY194)</f>
        <v>0</v>
      </c>
      <c r="Y192" s="931">
        <f>IF(데이터입력!AZ194="",0,데이터입력!AZ194)</f>
        <v>0</v>
      </c>
      <c r="Z192" s="599">
        <f>IF(데이터입력!BA194="",0,데이터입력!BA194)</f>
        <v>0</v>
      </c>
      <c r="AA192" s="935">
        <f>IF(데이터입력!BB194="",0,데이터입력!BB194)</f>
        <v>0</v>
      </c>
    </row>
    <row r="193" spans="1:27" hidden="1">
      <c r="A193" s="171">
        <f>IF(W193="","",SUBTOTAL(2,$W$11:W193))</f>
        <v>183</v>
      </c>
      <c r="B193" s="200" t="str">
        <f t="shared" si="10"/>
        <v>00</v>
      </c>
      <c r="C193" s="173" t="str">
        <f t="shared" si="11"/>
        <v/>
      </c>
      <c r="D193" s="201" t="str">
        <f t="shared" si="13"/>
        <v/>
      </c>
      <c r="E193" s="201" t="str">
        <f t="shared" si="13"/>
        <v/>
      </c>
      <c r="F193" s="174" t="str">
        <f t="shared" si="12"/>
        <v/>
      </c>
      <c r="G193" s="200" t="s">
        <v>485</v>
      </c>
      <c r="H193" s="200" t="s">
        <v>484</v>
      </c>
      <c r="I193" s="175">
        <f>IF(X193="","",X193*데이터입력!$Y$8)</f>
        <v>0</v>
      </c>
      <c r="J193" s="202">
        <f>R193*데이터입력!$Y$8</f>
        <v>0</v>
      </c>
      <c r="K193" s="202">
        <f>T193*데이터입력!$Y$8</f>
        <v>0</v>
      </c>
      <c r="L193" s="203">
        <f>IFERROR(U193*데이터입력!$Y$8,"")</f>
        <v>0</v>
      </c>
      <c r="M193" s="175">
        <f>IFERROR(V193*데이터입력!$Y$8,"")</f>
        <v>0</v>
      </c>
      <c r="N193" s="594"/>
      <c r="O193" s="184" t="str">
        <f>IF(데이터입력!AP195="","",데이터입력!AP195)</f>
        <v/>
      </c>
      <c r="P193" s="185" t="str">
        <f>IF(데이터입력!AQ195="","",데이터입력!AQ195)</f>
        <v/>
      </c>
      <c r="Q193" s="186">
        <f>IF(데이터입력!AR195="",0,데이터입력!AR195)</f>
        <v>0</v>
      </c>
      <c r="R193" s="187">
        <f>IF(데이터입력!AS195="",0,데이터입력!AS195)</f>
        <v>0</v>
      </c>
      <c r="S193" s="1260">
        <f>IF(데이터입력!AT195="",0,데이터입력!AT195)</f>
        <v>0</v>
      </c>
      <c r="T193" s="187">
        <f>IF(데이터입력!AU195="",0,데이터입력!AU195)</f>
        <v>0</v>
      </c>
      <c r="U193" s="186">
        <f>IF(데이터입력!AV195="",0,데이터입력!AV195)</f>
        <v>0</v>
      </c>
      <c r="V193" s="187">
        <f>IF(데이터입력!AW195="",0,데이터입력!AW195)</f>
        <v>0</v>
      </c>
      <c r="W193" s="1261">
        <f>IF(데이터입력!AX195="",0,데이터입력!AX195)</f>
        <v>0</v>
      </c>
      <c r="X193" s="931">
        <f>IF(데이터입력!AY195="",0,데이터입력!AY195)</f>
        <v>0</v>
      </c>
      <c r="Y193" s="931">
        <f>IF(데이터입력!AZ195="",0,데이터입력!AZ195)</f>
        <v>0</v>
      </c>
      <c r="Z193" s="599">
        <f>IF(데이터입력!BA195="",0,데이터입력!BA195)</f>
        <v>0</v>
      </c>
      <c r="AA193" s="935">
        <f>IF(데이터입력!BB195="",0,데이터입력!BB195)</f>
        <v>0</v>
      </c>
    </row>
    <row r="194" spans="1:27" hidden="1">
      <c r="A194" s="171">
        <f>IF(W194="","",SUBTOTAL(2,$W$11:W194))</f>
        <v>184</v>
      </c>
      <c r="B194" s="198" t="str">
        <f t="shared" si="10"/>
        <v>00</v>
      </c>
      <c r="C194" s="180" t="str">
        <f t="shared" si="11"/>
        <v/>
      </c>
      <c r="D194" s="180" t="str">
        <f t="shared" si="13"/>
        <v/>
      </c>
      <c r="E194" s="180" t="str">
        <f t="shared" si="13"/>
        <v/>
      </c>
      <c r="F194" s="181" t="str">
        <f t="shared" si="12"/>
        <v/>
      </c>
      <c r="G194" s="198" t="s">
        <v>485</v>
      </c>
      <c r="H194" s="198" t="s">
        <v>484</v>
      </c>
      <c r="I194" s="182">
        <f>IF(X194="","",X194*데이터입력!$Y$8)</f>
        <v>0</v>
      </c>
      <c r="J194" s="182">
        <f>R194*데이터입력!$Y$8</f>
        <v>0</v>
      </c>
      <c r="K194" s="182">
        <f>T194*데이터입력!$Y$8</f>
        <v>0</v>
      </c>
      <c r="L194" s="199">
        <f>IFERROR(U194*데이터입력!$Y$8,"")</f>
        <v>0</v>
      </c>
      <c r="M194" s="199">
        <f>IFERROR(V194*데이터입력!$Y$8,"")</f>
        <v>0</v>
      </c>
      <c r="N194" s="594"/>
      <c r="O194" s="184" t="str">
        <f>IF(데이터입력!AP196="","",데이터입력!AP196)</f>
        <v/>
      </c>
      <c r="P194" s="185" t="str">
        <f>IF(데이터입력!AQ196="","",데이터입력!AQ196)</f>
        <v/>
      </c>
      <c r="Q194" s="186">
        <f>IF(데이터입력!AR196="",0,데이터입력!AR196)</f>
        <v>0</v>
      </c>
      <c r="R194" s="187">
        <f>IF(데이터입력!AS196="",0,데이터입력!AS196)</f>
        <v>0</v>
      </c>
      <c r="S194" s="1260">
        <f>IF(데이터입력!AT196="",0,데이터입력!AT196)</f>
        <v>0</v>
      </c>
      <c r="T194" s="187">
        <f>IF(데이터입력!AU196="",0,데이터입력!AU196)</f>
        <v>0</v>
      </c>
      <c r="U194" s="186">
        <f>IF(데이터입력!AV196="",0,데이터입력!AV196)</f>
        <v>0</v>
      </c>
      <c r="V194" s="187">
        <f>IF(데이터입력!AW196="",0,데이터입력!AW196)</f>
        <v>0</v>
      </c>
      <c r="W194" s="1261">
        <f>IF(데이터입력!AX196="",0,데이터입력!AX196)</f>
        <v>0</v>
      </c>
      <c r="X194" s="931">
        <f>IF(데이터입력!AY196="",0,데이터입력!AY196)</f>
        <v>0</v>
      </c>
      <c r="Y194" s="931">
        <f>IF(데이터입력!AZ196="",0,데이터입력!AZ196)</f>
        <v>0</v>
      </c>
      <c r="Z194" s="599">
        <f>IF(데이터입력!BA196="",0,데이터입력!BA196)</f>
        <v>0</v>
      </c>
      <c r="AA194" s="935">
        <f>IF(데이터입력!BB196="",0,데이터입력!BB196)</f>
        <v>0</v>
      </c>
    </row>
    <row r="195" spans="1:27" hidden="1">
      <c r="A195" s="171">
        <f>IF(W195="","",SUBTOTAL(2,$W$11:W195))</f>
        <v>185</v>
      </c>
      <c r="B195" s="200" t="str">
        <f t="shared" si="10"/>
        <v>00</v>
      </c>
      <c r="C195" s="173" t="str">
        <f t="shared" si="11"/>
        <v/>
      </c>
      <c r="D195" s="201" t="str">
        <f t="shared" si="13"/>
        <v/>
      </c>
      <c r="E195" s="201" t="str">
        <f t="shared" si="13"/>
        <v/>
      </c>
      <c r="F195" s="174" t="str">
        <f t="shared" si="12"/>
        <v/>
      </c>
      <c r="G195" s="200" t="s">
        <v>485</v>
      </c>
      <c r="H195" s="200" t="s">
        <v>484</v>
      </c>
      <c r="I195" s="175">
        <f>IF(X195="","",X195*데이터입력!$Y$8)</f>
        <v>0</v>
      </c>
      <c r="J195" s="202">
        <f>R195*데이터입력!$Y$8</f>
        <v>0</v>
      </c>
      <c r="K195" s="202">
        <f>T195*데이터입력!$Y$8</f>
        <v>0</v>
      </c>
      <c r="L195" s="203">
        <f>IFERROR(U195*데이터입력!$Y$8,"")</f>
        <v>0</v>
      </c>
      <c r="M195" s="175">
        <f>IFERROR(V195*데이터입력!$Y$8,"")</f>
        <v>0</v>
      </c>
      <c r="N195" s="594"/>
      <c r="O195" s="184" t="str">
        <f>IF(데이터입력!AP197="","",데이터입력!AP197)</f>
        <v/>
      </c>
      <c r="P195" s="185" t="str">
        <f>IF(데이터입력!AQ197="","",데이터입력!AQ197)</f>
        <v/>
      </c>
      <c r="Q195" s="186">
        <f>IF(데이터입력!AR197="",0,데이터입력!AR197)</f>
        <v>0</v>
      </c>
      <c r="R195" s="187">
        <f>IF(데이터입력!AS197="",0,데이터입력!AS197)</f>
        <v>0</v>
      </c>
      <c r="S195" s="1260">
        <f>IF(데이터입력!AT197="",0,데이터입력!AT197)</f>
        <v>0</v>
      </c>
      <c r="T195" s="187">
        <f>IF(데이터입력!AU197="",0,데이터입력!AU197)</f>
        <v>0</v>
      </c>
      <c r="U195" s="186">
        <f>IF(데이터입력!AV197="",0,데이터입력!AV197)</f>
        <v>0</v>
      </c>
      <c r="V195" s="187">
        <f>IF(데이터입력!AW197="",0,데이터입력!AW197)</f>
        <v>0</v>
      </c>
      <c r="W195" s="1261">
        <f>IF(데이터입력!AX197="",0,데이터입력!AX197)</f>
        <v>0</v>
      </c>
      <c r="X195" s="931">
        <f>IF(데이터입력!AY197="",0,데이터입력!AY197)</f>
        <v>0</v>
      </c>
      <c r="Y195" s="931">
        <f>IF(데이터입력!AZ197="",0,데이터입력!AZ197)</f>
        <v>0</v>
      </c>
      <c r="Z195" s="599">
        <f>IF(데이터입력!BA197="",0,데이터입력!BA197)</f>
        <v>0</v>
      </c>
      <c r="AA195" s="935">
        <f>IF(데이터입력!BB197="",0,데이터입력!BB197)</f>
        <v>0</v>
      </c>
    </row>
    <row r="196" spans="1:27" hidden="1">
      <c r="A196" s="171">
        <f>IF(W196="","",SUBTOTAL(2,$W$11:W196))</f>
        <v>186</v>
      </c>
      <c r="B196" s="198" t="str">
        <f t="shared" si="10"/>
        <v>00</v>
      </c>
      <c r="C196" s="180" t="str">
        <f t="shared" si="11"/>
        <v/>
      </c>
      <c r="D196" s="180" t="str">
        <f t="shared" si="13"/>
        <v/>
      </c>
      <c r="E196" s="180" t="str">
        <f t="shared" si="13"/>
        <v/>
      </c>
      <c r="F196" s="181" t="str">
        <f t="shared" si="12"/>
        <v/>
      </c>
      <c r="G196" s="198" t="s">
        <v>485</v>
      </c>
      <c r="H196" s="198" t="s">
        <v>484</v>
      </c>
      <c r="I196" s="182">
        <f>IF(X196="","",X196*데이터입력!$Y$8)</f>
        <v>0</v>
      </c>
      <c r="J196" s="182">
        <f>R196*데이터입력!$Y$8</f>
        <v>0</v>
      </c>
      <c r="K196" s="182">
        <f>T196*데이터입력!$Y$8</f>
        <v>0</v>
      </c>
      <c r="L196" s="199">
        <f>IFERROR(U196*데이터입력!$Y$8,"")</f>
        <v>0</v>
      </c>
      <c r="M196" s="199">
        <f>IFERROR(V196*데이터입력!$Y$8,"")</f>
        <v>0</v>
      </c>
      <c r="N196" s="594"/>
      <c r="O196" s="184" t="str">
        <f>IF(데이터입력!AP198="","",데이터입력!AP198)</f>
        <v/>
      </c>
      <c r="P196" s="185" t="str">
        <f>IF(데이터입력!AQ198="","",데이터입력!AQ198)</f>
        <v/>
      </c>
      <c r="Q196" s="186">
        <f>IF(데이터입력!AR198="",0,데이터입력!AR198)</f>
        <v>0</v>
      </c>
      <c r="R196" s="187">
        <f>IF(데이터입력!AS198="",0,데이터입력!AS198)</f>
        <v>0</v>
      </c>
      <c r="S196" s="1260">
        <f>IF(데이터입력!AT198="",0,데이터입력!AT198)</f>
        <v>0</v>
      </c>
      <c r="T196" s="187">
        <f>IF(데이터입력!AU198="",0,데이터입력!AU198)</f>
        <v>0</v>
      </c>
      <c r="U196" s="186">
        <f>IF(데이터입력!AV198="",0,데이터입력!AV198)</f>
        <v>0</v>
      </c>
      <c r="V196" s="187">
        <f>IF(데이터입력!AW198="",0,데이터입력!AW198)</f>
        <v>0</v>
      </c>
      <c r="W196" s="1261">
        <f>IF(데이터입력!AX198="",0,데이터입력!AX198)</f>
        <v>0</v>
      </c>
      <c r="X196" s="931">
        <f>IF(데이터입력!AY198="",0,데이터입력!AY198)</f>
        <v>0</v>
      </c>
      <c r="Y196" s="931">
        <f>IF(데이터입력!AZ198="",0,데이터입력!AZ198)</f>
        <v>0</v>
      </c>
      <c r="Z196" s="599">
        <f>IF(데이터입력!BA198="",0,데이터입력!BA198)</f>
        <v>0</v>
      </c>
      <c r="AA196" s="935">
        <f>IF(데이터입력!BB198="",0,데이터입력!BB198)</f>
        <v>0</v>
      </c>
    </row>
    <row r="197" spans="1:27" hidden="1">
      <c r="A197" s="171">
        <f>IF(W197="","",SUBTOTAL(2,$W$11:W197))</f>
        <v>187</v>
      </c>
      <c r="B197" s="200" t="str">
        <f t="shared" si="10"/>
        <v>00</v>
      </c>
      <c r="C197" s="173" t="str">
        <f t="shared" si="11"/>
        <v/>
      </c>
      <c r="D197" s="201" t="str">
        <f t="shared" si="13"/>
        <v/>
      </c>
      <c r="E197" s="201" t="str">
        <f t="shared" si="13"/>
        <v/>
      </c>
      <c r="F197" s="174" t="str">
        <f t="shared" si="12"/>
        <v/>
      </c>
      <c r="G197" s="200" t="s">
        <v>485</v>
      </c>
      <c r="H197" s="200" t="s">
        <v>484</v>
      </c>
      <c r="I197" s="175">
        <f>IF(X197="","",X197*데이터입력!$Y$8)</f>
        <v>0</v>
      </c>
      <c r="J197" s="202">
        <f>R197*데이터입력!$Y$8</f>
        <v>0</v>
      </c>
      <c r="K197" s="202">
        <f>T197*데이터입력!$Y$8</f>
        <v>0</v>
      </c>
      <c r="L197" s="203">
        <f>IFERROR(U197*데이터입력!$Y$8,"")</f>
        <v>0</v>
      </c>
      <c r="M197" s="175">
        <f>IFERROR(V197*데이터입력!$Y$8,"")</f>
        <v>0</v>
      </c>
      <c r="N197" s="594"/>
      <c r="O197" s="184" t="str">
        <f>IF(데이터입력!AP199="","",데이터입력!AP199)</f>
        <v/>
      </c>
      <c r="P197" s="185" t="str">
        <f>IF(데이터입력!AQ199="","",데이터입력!AQ199)</f>
        <v/>
      </c>
      <c r="Q197" s="186">
        <f>IF(데이터입력!AR199="",0,데이터입력!AR199)</f>
        <v>0</v>
      </c>
      <c r="R197" s="187">
        <f>IF(데이터입력!AS199="",0,데이터입력!AS199)</f>
        <v>0</v>
      </c>
      <c r="S197" s="1260">
        <f>IF(데이터입력!AT199="",0,데이터입력!AT199)</f>
        <v>0</v>
      </c>
      <c r="T197" s="187">
        <f>IF(데이터입력!AU199="",0,데이터입력!AU199)</f>
        <v>0</v>
      </c>
      <c r="U197" s="186">
        <f>IF(데이터입력!AV199="",0,데이터입력!AV199)</f>
        <v>0</v>
      </c>
      <c r="V197" s="187">
        <f>IF(데이터입력!AW199="",0,데이터입력!AW199)</f>
        <v>0</v>
      </c>
      <c r="W197" s="1261">
        <f>IF(데이터입력!AX199="",0,데이터입력!AX199)</f>
        <v>0</v>
      </c>
      <c r="X197" s="931">
        <f>IF(데이터입력!AY199="",0,데이터입력!AY199)</f>
        <v>0</v>
      </c>
      <c r="Y197" s="931">
        <f>IF(데이터입력!AZ199="",0,데이터입력!AZ199)</f>
        <v>0</v>
      </c>
      <c r="Z197" s="599">
        <f>IF(데이터입력!BA199="",0,데이터입력!BA199)</f>
        <v>0</v>
      </c>
      <c r="AA197" s="935">
        <f>IF(데이터입력!BB199="",0,데이터입력!BB199)</f>
        <v>0</v>
      </c>
    </row>
    <row r="198" spans="1:27" hidden="1">
      <c r="A198" s="171">
        <f>IF(W198="","",SUBTOTAL(2,$W$11:W198))</f>
        <v>188</v>
      </c>
      <c r="B198" s="198" t="str">
        <f t="shared" si="10"/>
        <v>00</v>
      </c>
      <c r="C198" s="180" t="str">
        <f t="shared" si="11"/>
        <v/>
      </c>
      <c r="D198" s="180" t="str">
        <f t="shared" si="13"/>
        <v/>
      </c>
      <c r="E198" s="180" t="str">
        <f t="shared" si="13"/>
        <v/>
      </c>
      <c r="F198" s="181" t="str">
        <f t="shared" si="12"/>
        <v/>
      </c>
      <c r="G198" s="198" t="s">
        <v>485</v>
      </c>
      <c r="H198" s="198" t="s">
        <v>484</v>
      </c>
      <c r="I198" s="182">
        <f>IF(X198="","",X198*데이터입력!$Y$8)</f>
        <v>0</v>
      </c>
      <c r="J198" s="182">
        <f>R198*데이터입력!$Y$8</f>
        <v>0</v>
      </c>
      <c r="K198" s="182">
        <f>T198*데이터입력!$Y$8</f>
        <v>0</v>
      </c>
      <c r="L198" s="199">
        <f>IFERROR(U198*데이터입력!$Y$8,"")</f>
        <v>0</v>
      </c>
      <c r="M198" s="199">
        <f>IFERROR(V198*데이터입력!$Y$8,"")</f>
        <v>0</v>
      </c>
      <c r="N198" s="594"/>
      <c r="O198" s="184" t="str">
        <f>IF(데이터입력!AP200="","",데이터입력!AP200)</f>
        <v/>
      </c>
      <c r="P198" s="185" t="str">
        <f>IF(데이터입력!AQ200="","",데이터입력!AQ200)</f>
        <v/>
      </c>
      <c r="Q198" s="186">
        <f>IF(데이터입력!AR200="",0,데이터입력!AR200)</f>
        <v>0</v>
      </c>
      <c r="R198" s="187">
        <f>IF(데이터입력!AS200="",0,데이터입력!AS200)</f>
        <v>0</v>
      </c>
      <c r="S198" s="1260">
        <f>IF(데이터입력!AT200="",0,데이터입력!AT200)</f>
        <v>0</v>
      </c>
      <c r="T198" s="187">
        <f>IF(데이터입력!AU200="",0,데이터입력!AU200)</f>
        <v>0</v>
      </c>
      <c r="U198" s="186">
        <f>IF(데이터입력!AV200="",0,데이터입력!AV200)</f>
        <v>0</v>
      </c>
      <c r="V198" s="187">
        <f>IF(데이터입력!AW200="",0,데이터입력!AW200)</f>
        <v>0</v>
      </c>
      <c r="W198" s="1261">
        <f>IF(데이터입력!AX200="",0,데이터입력!AX200)</f>
        <v>0</v>
      </c>
      <c r="X198" s="931">
        <f>IF(데이터입력!AY200="",0,데이터입력!AY200)</f>
        <v>0</v>
      </c>
      <c r="Y198" s="931">
        <f>IF(데이터입력!AZ200="",0,데이터입력!AZ200)</f>
        <v>0</v>
      </c>
      <c r="Z198" s="599">
        <f>IF(데이터입력!BA200="",0,데이터입력!BA200)</f>
        <v>0</v>
      </c>
      <c r="AA198" s="935">
        <f>IF(데이터입력!BB200="",0,데이터입력!BB200)</f>
        <v>0</v>
      </c>
    </row>
    <row r="199" spans="1:27" hidden="1">
      <c r="A199" s="171">
        <f>IF(W199="","",SUBTOTAL(2,$W$11:W199))</f>
        <v>189</v>
      </c>
      <c r="B199" s="200" t="str">
        <f t="shared" si="10"/>
        <v>00</v>
      </c>
      <c r="C199" s="173" t="str">
        <f t="shared" si="11"/>
        <v/>
      </c>
      <c r="D199" s="201" t="str">
        <f t="shared" si="13"/>
        <v/>
      </c>
      <c r="E199" s="201" t="str">
        <f t="shared" si="13"/>
        <v/>
      </c>
      <c r="F199" s="174" t="str">
        <f t="shared" si="12"/>
        <v/>
      </c>
      <c r="G199" s="200" t="s">
        <v>485</v>
      </c>
      <c r="H199" s="200" t="s">
        <v>484</v>
      </c>
      <c r="I199" s="175">
        <f>IF(X199="","",X199*데이터입력!$Y$8)</f>
        <v>0</v>
      </c>
      <c r="J199" s="202">
        <f>R199*데이터입력!$Y$8</f>
        <v>0</v>
      </c>
      <c r="K199" s="202">
        <f>T199*데이터입력!$Y$8</f>
        <v>0</v>
      </c>
      <c r="L199" s="203">
        <f>IFERROR(U199*데이터입력!$Y$8,"")</f>
        <v>0</v>
      </c>
      <c r="M199" s="175">
        <f>IFERROR(V199*데이터입력!$Y$8,"")</f>
        <v>0</v>
      </c>
      <c r="N199" s="594"/>
      <c r="O199" s="184" t="str">
        <f>IF(데이터입력!AP201="","",데이터입력!AP201)</f>
        <v/>
      </c>
      <c r="P199" s="185" t="str">
        <f>IF(데이터입력!AQ201="","",데이터입력!AQ201)</f>
        <v/>
      </c>
      <c r="Q199" s="186">
        <f>IF(데이터입력!AR201="",0,데이터입력!AR201)</f>
        <v>0</v>
      </c>
      <c r="R199" s="187">
        <f>IF(데이터입력!AS201="",0,데이터입력!AS201)</f>
        <v>0</v>
      </c>
      <c r="S199" s="1260">
        <f>IF(데이터입력!AT201="",0,데이터입력!AT201)</f>
        <v>0</v>
      </c>
      <c r="T199" s="187">
        <f>IF(데이터입력!AU201="",0,데이터입력!AU201)</f>
        <v>0</v>
      </c>
      <c r="U199" s="186">
        <f>IF(데이터입력!AV201="",0,데이터입력!AV201)</f>
        <v>0</v>
      </c>
      <c r="V199" s="187">
        <f>IF(데이터입력!AW201="",0,데이터입력!AW201)</f>
        <v>0</v>
      </c>
      <c r="W199" s="1261">
        <f>IF(데이터입력!AX201="",0,데이터입력!AX201)</f>
        <v>0</v>
      </c>
      <c r="X199" s="931">
        <f>IF(데이터입력!AY201="",0,데이터입력!AY201)</f>
        <v>0</v>
      </c>
      <c r="Y199" s="931">
        <f>IF(데이터입력!AZ201="",0,데이터입력!AZ201)</f>
        <v>0</v>
      </c>
      <c r="Z199" s="599">
        <f>IF(데이터입력!BA201="",0,데이터입력!BA201)</f>
        <v>0</v>
      </c>
      <c r="AA199" s="935">
        <f>IF(데이터입력!BB201="",0,데이터입력!BB201)</f>
        <v>0</v>
      </c>
    </row>
    <row r="200" spans="1:27" hidden="1">
      <c r="A200" s="171">
        <f>IF(W200="","",SUBTOTAL(2,$W$11:W200))</f>
        <v>190</v>
      </c>
      <c r="B200" s="198" t="str">
        <f t="shared" si="10"/>
        <v>00</v>
      </c>
      <c r="C200" s="180" t="str">
        <f t="shared" si="11"/>
        <v/>
      </c>
      <c r="D200" s="180" t="str">
        <f t="shared" si="13"/>
        <v/>
      </c>
      <c r="E200" s="180" t="str">
        <f t="shared" si="13"/>
        <v/>
      </c>
      <c r="F200" s="181" t="str">
        <f t="shared" si="12"/>
        <v/>
      </c>
      <c r="G200" s="198" t="s">
        <v>485</v>
      </c>
      <c r="H200" s="198" t="s">
        <v>484</v>
      </c>
      <c r="I200" s="182">
        <f>IF(X200="","",X200*데이터입력!$Y$8)</f>
        <v>0</v>
      </c>
      <c r="J200" s="182">
        <f>R200*데이터입력!$Y$8</f>
        <v>0</v>
      </c>
      <c r="K200" s="182">
        <f>T200*데이터입력!$Y$8</f>
        <v>0</v>
      </c>
      <c r="L200" s="199">
        <f>IFERROR(U200*데이터입력!$Y$8,"")</f>
        <v>0</v>
      </c>
      <c r="M200" s="199">
        <f>IFERROR(V200*데이터입력!$Y$8,"")</f>
        <v>0</v>
      </c>
      <c r="N200" s="594"/>
      <c r="O200" s="184" t="str">
        <f>IF(데이터입력!AP202="","",데이터입력!AP202)</f>
        <v/>
      </c>
      <c r="P200" s="185" t="str">
        <f>IF(데이터입력!AQ202="","",데이터입력!AQ202)</f>
        <v/>
      </c>
      <c r="Q200" s="186">
        <f>IF(데이터입력!AR202="",0,데이터입력!AR202)</f>
        <v>0</v>
      </c>
      <c r="R200" s="187">
        <f>IF(데이터입력!AS202="",0,데이터입력!AS202)</f>
        <v>0</v>
      </c>
      <c r="S200" s="1260">
        <f>IF(데이터입력!AT202="",0,데이터입력!AT202)</f>
        <v>0</v>
      </c>
      <c r="T200" s="187">
        <f>IF(데이터입력!AU202="",0,데이터입력!AU202)</f>
        <v>0</v>
      </c>
      <c r="U200" s="186">
        <f>IF(데이터입력!AV202="",0,데이터입력!AV202)</f>
        <v>0</v>
      </c>
      <c r="V200" s="187">
        <f>IF(데이터입력!AW202="",0,데이터입력!AW202)</f>
        <v>0</v>
      </c>
      <c r="W200" s="1261">
        <f>IF(데이터입력!AX202="",0,데이터입력!AX202)</f>
        <v>0</v>
      </c>
      <c r="X200" s="931">
        <f>IF(데이터입력!AY202="",0,데이터입력!AY202)</f>
        <v>0</v>
      </c>
      <c r="Y200" s="931">
        <f>IF(데이터입력!AZ202="",0,데이터입력!AZ202)</f>
        <v>0</v>
      </c>
      <c r="Z200" s="599">
        <f>IF(데이터입력!BA202="",0,데이터입력!BA202)</f>
        <v>0</v>
      </c>
      <c r="AA200" s="935">
        <f>IF(데이터입력!BB202="",0,데이터입력!BB202)</f>
        <v>0</v>
      </c>
    </row>
    <row r="201" spans="1:27" hidden="1">
      <c r="A201" s="171">
        <f>IF(W201="","",SUBTOTAL(2,$W$11:W201))</f>
        <v>191</v>
      </c>
      <c r="B201" s="200" t="str">
        <f t="shared" si="10"/>
        <v>00</v>
      </c>
      <c r="C201" s="173" t="str">
        <f t="shared" si="11"/>
        <v/>
      </c>
      <c r="D201" s="201" t="str">
        <f t="shared" si="13"/>
        <v/>
      </c>
      <c r="E201" s="201" t="str">
        <f t="shared" si="13"/>
        <v/>
      </c>
      <c r="F201" s="174" t="str">
        <f t="shared" si="12"/>
        <v/>
      </c>
      <c r="G201" s="200" t="s">
        <v>485</v>
      </c>
      <c r="H201" s="200" t="s">
        <v>484</v>
      </c>
      <c r="I201" s="175">
        <f>IF(X201="","",X201*데이터입력!$Y$8)</f>
        <v>0</v>
      </c>
      <c r="J201" s="202">
        <f>R201*데이터입력!$Y$8</f>
        <v>0</v>
      </c>
      <c r="K201" s="202">
        <f>T201*데이터입력!$Y$8</f>
        <v>0</v>
      </c>
      <c r="L201" s="203">
        <f>IFERROR(U201*데이터입력!$Y$8,"")</f>
        <v>0</v>
      </c>
      <c r="M201" s="175">
        <f>IFERROR(V201*데이터입력!$Y$8,"")</f>
        <v>0</v>
      </c>
      <c r="N201" s="594"/>
      <c r="O201" s="184" t="str">
        <f>IF(데이터입력!AP203="","",데이터입력!AP203)</f>
        <v/>
      </c>
      <c r="P201" s="185" t="str">
        <f>IF(데이터입력!AQ203="","",데이터입력!AQ203)</f>
        <v/>
      </c>
      <c r="Q201" s="186">
        <f>IF(데이터입력!AR203="",0,데이터입력!AR203)</f>
        <v>0</v>
      </c>
      <c r="R201" s="187">
        <f>IF(데이터입력!AS203="",0,데이터입력!AS203)</f>
        <v>0</v>
      </c>
      <c r="S201" s="1260">
        <f>IF(데이터입력!AT203="",0,데이터입력!AT203)</f>
        <v>0</v>
      </c>
      <c r="T201" s="187">
        <f>IF(데이터입력!AU203="",0,데이터입력!AU203)</f>
        <v>0</v>
      </c>
      <c r="U201" s="186">
        <f>IF(데이터입력!AV203="",0,데이터입력!AV203)</f>
        <v>0</v>
      </c>
      <c r="V201" s="187">
        <f>IF(데이터입력!AW203="",0,데이터입력!AW203)</f>
        <v>0</v>
      </c>
      <c r="W201" s="1261">
        <f>IF(데이터입력!AX203="",0,데이터입력!AX203)</f>
        <v>0</v>
      </c>
      <c r="X201" s="931">
        <f>IF(데이터입력!AY203="",0,데이터입력!AY203)</f>
        <v>0</v>
      </c>
      <c r="Y201" s="931">
        <f>IF(데이터입력!AZ203="",0,데이터입력!AZ203)</f>
        <v>0</v>
      </c>
      <c r="Z201" s="599">
        <f>IF(데이터입력!BA203="",0,데이터입력!BA203)</f>
        <v>0</v>
      </c>
      <c r="AA201" s="935">
        <f>IF(데이터입력!BB203="",0,데이터입력!BB203)</f>
        <v>0</v>
      </c>
    </row>
    <row r="202" spans="1:27" hidden="1">
      <c r="A202" s="171">
        <f>IF(W202="","",SUBTOTAL(2,$W$11:W202))</f>
        <v>192</v>
      </c>
      <c r="B202" s="198" t="str">
        <f t="shared" si="10"/>
        <v>00</v>
      </c>
      <c r="C202" s="180" t="str">
        <f t="shared" si="11"/>
        <v/>
      </c>
      <c r="D202" s="180" t="str">
        <f t="shared" si="13"/>
        <v/>
      </c>
      <c r="E202" s="180" t="str">
        <f t="shared" si="13"/>
        <v/>
      </c>
      <c r="F202" s="181" t="str">
        <f t="shared" si="12"/>
        <v/>
      </c>
      <c r="G202" s="198" t="s">
        <v>485</v>
      </c>
      <c r="H202" s="198" t="s">
        <v>484</v>
      </c>
      <c r="I202" s="182">
        <f>IF(X202="","",X202*데이터입력!$Y$8)</f>
        <v>0</v>
      </c>
      <c r="J202" s="182">
        <f>R202*데이터입력!$Y$8</f>
        <v>0</v>
      </c>
      <c r="K202" s="182">
        <f>T202*데이터입력!$Y$8</f>
        <v>0</v>
      </c>
      <c r="L202" s="199">
        <f>IFERROR(U202*데이터입력!$Y$8,"")</f>
        <v>0</v>
      </c>
      <c r="M202" s="199">
        <f>IFERROR(V202*데이터입력!$Y$8,"")</f>
        <v>0</v>
      </c>
      <c r="N202" s="594"/>
      <c r="O202" s="184" t="str">
        <f>IF(데이터입력!AP204="","",데이터입력!AP204)</f>
        <v/>
      </c>
      <c r="P202" s="185" t="str">
        <f>IF(데이터입력!AQ204="","",데이터입력!AQ204)</f>
        <v/>
      </c>
      <c r="Q202" s="186">
        <f>IF(데이터입력!AR204="",0,데이터입력!AR204)</f>
        <v>0</v>
      </c>
      <c r="R202" s="187">
        <f>IF(데이터입력!AS204="",0,데이터입력!AS204)</f>
        <v>0</v>
      </c>
      <c r="S202" s="1260">
        <f>IF(데이터입력!AT204="",0,데이터입력!AT204)</f>
        <v>0</v>
      </c>
      <c r="T202" s="187">
        <f>IF(데이터입력!AU204="",0,데이터입력!AU204)</f>
        <v>0</v>
      </c>
      <c r="U202" s="186">
        <f>IF(데이터입력!AV204="",0,데이터입력!AV204)</f>
        <v>0</v>
      </c>
      <c r="V202" s="187">
        <f>IF(데이터입력!AW204="",0,데이터입력!AW204)</f>
        <v>0</v>
      </c>
      <c r="W202" s="1261">
        <f>IF(데이터입력!AX204="",0,데이터입력!AX204)</f>
        <v>0</v>
      </c>
      <c r="X202" s="931">
        <f>IF(데이터입력!AY204="",0,데이터입력!AY204)</f>
        <v>0</v>
      </c>
      <c r="Y202" s="931">
        <f>IF(데이터입력!AZ204="",0,데이터입력!AZ204)</f>
        <v>0</v>
      </c>
      <c r="Z202" s="599">
        <f>IF(데이터입력!BA204="",0,데이터입력!BA204)</f>
        <v>0</v>
      </c>
      <c r="AA202" s="935">
        <f>IF(데이터입력!BB204="",0,데이터입력!BB204)</f>
        <v>0</v>
      </c>
    </row>
    <row r="203" spans="1:27" hidden="1">
      <c r="A203" s="171">
        <f>IF(W203="","",SUBTOTAL(2,$W$11:W203))</f>
        <v>193</v>
      </c>
      <c r="B203" s="200" t="str">
        <f t="shared" si="10"/>
        <v>00</v>
      </c>
      <c r="C203" s="173" t="str">
        <f t="shared" si="11"/>
        <v/>
      </c>
      <c r="D203" s="201" t="str">
        <f t="shared" si="13"/>
        <v/>
      </c>
      <c r="E203" s="201" t="str">
        <f t="shared" si="13"/>
        <v/>
      </c>
      <c r="F203" s="174" t="str">
        <f t="shared" si="12"/>
        <v/>
      </c>
      <c r="G203" s="200" t="s">
        <v>485</v>
      </c>
      <c r="H203" s="200" t="s">
        <v>484</v>
      </c>
      <c r="I203" s="175">
        <f>IF(X203="","",X203*데이터입력!$Y$8)</f>
        <v>0</v>
      </c>
      <c r="J203" s="202">
        <f>R203*데이터입력!$Y$8</f>
        <v>0</v>
      </c>
      <c r="K203" s="202">
        <f>T203*데이터입력!$Y$8</f>
        <v>0</v>
      </c>
      <c r="L203" s="203">
        <f>IFERROR(U203*데이터입력!$Y$8,"")</f>
        <v>0</v>
      </c>
      <c r="M203" s="175">
        <f>IFERROR(V203*데이터입력!$Y$8,"")</f>
        <v>0</v>
      </c>
      <c r="N203" s="594"/>
      <c r="O203" s="184" t="str">
        <f>IF(데이터입력!AP205="","",데이터입력!AP205)</f>
        <v/>
      </c>
      <c r="P203" s="185" t="str">
        <f>IF(데이터입력!AQ205="","",데이터입력!AQ205)</f>
        <v/>
      </c>
      <c r="Q203" s="186">
        <f>IF(데이터입력!AR205="",0,데이터입력!AR205)</f>
        <v>0</v>
      </c>
      <c r="R203" s="187">
        <f>IF(데이터입력!AS205="",0,데이터입력!AS205)</f>
        <v>0</v>
      </c>
      <c r="S203" s="1260">
        <f>IF(데이터입력!AT205="",0,데이터입력!AT205)</f>
        <v>0</v>
      </c>
      <c r="T203" s="187">
        <f>IF(데이터입력!AU205="",0,데이터입력!AU205)</f>
        <v>0</v>
      </c>
      <c r="U203" s="186">
        <f>IF(데이터입력!AV205="",0,데이터입력!AV205)</f>
        <v>0</v>
      </c>
      <c r="V203" s="187">
        <f>IF(데이터입력!AW205="",0,데이터입력!AW205)</f>
        <v>0</v>
      </c>
      <c r="W203" s="1261">
        <f>IF(데이터입력!AX205="",0,데이터입력!AX205)</f>
        <v>0</v>
      </c>
      <c r="X203" s="931">
        <f>IF(데이터입력!AY205="",0,데이터입력!AY205)</f>
        <v>0</v>
      </c>
      <c r="Y203" s="931">
        <f>IF(데이터입력!AZ205="",0,데이터입력!AZ205)</f>
        <v>0</v>
      </c>
      <c r="Z203" s="599">
        <f>IF(데이터입력!BA205="",0,데이터입력!BA205)</f>
        <v>0</v>
      </c>
      <c r="AA203" s="935">
        <f>IF(데이터입력!BB205="",0,데이터입력!BB205)</f>
        <v>0</v>
      </c>
    </row>
    <row r="204" spans="1:27" hidden="1">
      <c r="A204" s="171">
        <f>IF(W204="","",SUBTOTAL(2,$W$11:W204))</f>
        <v>194</v>
      </c>
      <c r="B204" s="198" t="str">
        <f t="shared" si="10"/>
        <v>00</v>
      </c>
      <c r="C204" s="180" t="str">
        <f t="shared" si="11"/>
        <v/>
      </c>
      <c r="D204" s="180" t="str">
        <f t="shared" si="13"/>
        <v/>
      </c>
      <c r="E204" s="180" t="str">
        <f t="shared" si="13"/>
        <v/>
      </c>
      <c r="F204" s="181" t="str">
        <f t="shared" si="12"/>
        <v/>
      </c>
      <c r="G204" s="198" t="s">
        <v>485</v>
      </c>
      <c r="H204" s="198" t="s">
        <v>484</v>
      </c>
      <c r="I204" s="182">
        <f>IF(X204="","",X204*데이터입력!$Y$8)</f>
        <v>0</v>
      </c>
      <c r="J204" s="182">
        <f>R204*데이터입력!$Y$8</f>
        <v>0</v>
      </c>
      <c r="K204" s="182">
        <f>T204*데이터입력!$Y$8</f>
        <v>0</v>
      </c>
      <c r="L204" s="199">
        <f>IFERROR(U204*데이터입력!$Y$8,"")</f>
        <v>0</v>
      </c>
      <c r="M204" s="199">
        <f>IFERROR(V204*데이터입력!$Y$8,"")</f>
        <v>0</v>
      </c>
      <c r="N204" s="594"/>
      <c r="O204" s="184" t="str">
        <f>IF(데이터입력!AP206="","",데이터입력!AP206)</f>
        <v/>
      </c>
      <c r="P204" s="185" t="str">
        <f>IF(데이터입력!AQ206="","",데이터입력!AQ206)</f>
        <v/>
      </c>
      <c r="Q204" s="186">
        <f>IF(데이터입력!AR206="",0,데이터입력!AR206)</f>
        <v>0</v>
      </c>
      <c r="R204" s="187">
        <f>IF(데이터입력!AS206="",0,데이터입력!AS206)</f>
        <v>0</v>
      </c>
      <c r="S204" s="1260">
        <f>IF(데이터입력!AT206="",0,데이터입력!AT206)</f>
        <v>0</v>
      </c>
      <c r="T204" s="187">
        <f>IF(데이터입력!AU206="",0,데이터입력!AU206)</f>
        <v>0</v>
      </c>
      <c r="U204" s="186">
        <f>IF(데이터입력!AV206="",0,데이터입력!AV206)</f>
        <v>0</v>
      </c>
      <c r="V204" s="187">
        <f>IF(데이터입력!AW206="",0,데이터입력!AW206)</f>
        <v>0</v>
      </c>
      <c r="W204" s="1261">
        <f>IF(데이터입력!AX206="",0,데이터입력!AX206)</f>
        <v>0</v>
      </c>
      <c r="X204" s="931">
        <f>IF(데이터입력!AY206="",0,데이터입력!AY206)</f>
        <v>0</v>
      </c>
      <c r="Y204" s="931">
        <f>IF(데이터입력!AZ206="",0,데이터입력!AZ206)</f>
        <v>0</v>
      </c>
      <c r="Z204" s="599">
        <f>IF(데이터입력!BA206="",0,데이터입력!BA206)</f>
        <v>0</v>
      </c>
      <c r="AA204" s="935">
        <f>IF(데이터입력!BB206="",0,데이터입력!BB206)</f>
        <v>0</v>
      </c>
    </row>
    <row r="205" spans="1:27" hidden="1">
      <c r="A205" s="171">
        <f>IF(W205="","",SUBTOTAL(2,$W$11:W205))</f>
        <v>195</v>
      </c>
      <c r="B205" s="200" t="str">
        <f t="shared" si="10"/>
        <v>00</v>
      </c>
      <c r="C205" s="173" t="str">
        <f t="shared" si="11"/>
        <v/>
      </c>
      <c r="D205" s="201" t="str">
        <f t="shared" si="13"/>
        <v/>
      </c>
      <c r="E205" s="201" t="str">
        <f t="shared" si="13"/>
        <v/>
      </c>
      <c r="F205" s="174" t="str">
        <f t="shared" si="12"/>
        <v/>
      </c>
      <c r="G205" s="200" t="s">
        <v>485</v>
      </c>
      <c r="H205" s="200" t="s">
        <v>484</v>
      </c>
      <c r="I205" s="175">
        <f>IF(X205="","",X205*데이터입력!$Y$8)</f>
        <v>0</v>
      </c>
      <c r="J205" s="202">
        <f>R205*데이터입력!$Y$8</f>
        <v>0</v>
      </c>
      <c r="K205" s="202">
        <f>T205*데이터입력!$Y$8</f>
        <v>0</v>
      </c>
      <c r="L205" s="203">
        <f>IFERROR(U205*데이터입력!$Y$8,"")</f>
        <v>0</v>
      </c>
      <c r="M205" s="175">
        <f>IFERROR(V205*데이터입력!$Y$8,"")</f>
        <v>0</v>
      </c>
      <c r="N205" s="594"/>
      <c r="O205" s="184" t="str">
        <f>IF(데이터입력!AP207="","",데이터입력!AP207)</f>
        <v/>
      </c>
      <c r="P205" s="185" t="str">
        <f>IF(데이터입력!AQ207="","",데이터입력!AQ207)</f>
        <v/>
      </c>
      <c r="Q205" s="186">
        <f>IF(데이터입력!AR207="",0,데이터입력!AR207)</f>
        <v>0</v>
      </c>
      <c r="R205" s="187">
        <f>IF(데이터입력!AS207="",0,데이터입력!AS207)</f>
        <v>0</v>
      </c>
      <c r="S205" s="1260">
        <f>IF(데이터입력!AT207="",0,데이터입력!AT207)</f>
        <v>0</v>
      </c>
      <c r="T205" s="187">
        <f>IF(데이터입력!AU207="",0,데이터입력!AU207)</f>
        <v>0</v>
      </c>
      <c r="U205" s="186">
        <f>IF(데이터입력!AV207="",0,데이터입력!AV207)</f>
        <v>0</v>
      </c>
      <c r="V205" s="187">
        <f>IF(데이터입력!AW207="",0,데이터입력!AW207)</f>
        <v>0</v>
      </c>
      <c r="W205" s="1261">
        <f>IF(데이터입력!AX207="",0,데이터입력!AX207)</f>
        <v>0</v>
      </c>
      <c r="X205" s="931">
        <f>IF(데이터입력!AY207="",0,데이터입력!AY207)</f>
        <v>0</v>
      </c>
      <c r="Y205" s="931">
        <f>IF(데이터입력!AZ207="",0,데이터입력!AZ207)</f>
        <v>0</v>
      </c>
      <c r="Z205" s="599">
        <f>IF(데이터입력!BA207="",0,데이터입력!BA207)</f>
        <v>0</v>
      </c>
      <c r="AA205" s="935">
        <f>IF(데이터입력!BB207="",0,데이터입력!BB207)</f>
        <v>0</v>
      </c>
    </row>
    <row r="206" spans="1:27" hidden="1">
      <c r="A206" s="171">
        <f>IF(W206="","",SUBTOTAL(2,$W$11:W206))</f>
        <v>196</v>
      </c>
      <c r="B206" s="198" t="str">
        <f t="shared" si="10"/>
        <v>00</v>
      </c>
      <c r="C206" s="180" t="str">
        <f t="shared" si="11"/>
        <v/>
      </c>
      <c r="D206" s="180" t="str">
        <f t="shared" si="13"/>
        <v/>
      </c>
      <c r="E206" s="180" t="str">
        <f t="shared" si="13"/>
        <v/>
      </c>
      <c r="F206" s="181" t="str">
        <f t="shared" si="12"/>
        <v/>
      </c>
      <c r="G206" s="198" t="s">
        <v>485</v>
      </c>
      <c r="H206" s="198" t="s">
        <v>484</v>
      </c>
      <c r="I206" s="182">
        <f>IF(X206="","",X206*데이터입력!$Y$8)</f>
        <v>0</v>
      </c>
      <c r="J206" s="182">
        <f>R206*데이터입력!$Y$8</f>
        <v>0</v>
      </c>
      <c r="K206" s="182">
        <f>T206*데이터입력!$Y$8</f>
        <v>0</v>
      </c>
      <c r="L206" s="199">
        <f>IFERROR(U206*데이터입력!$Y$8,"")</f>
        <v>0</v>
      </c>
      <c r="M206" s="199">
        <f>IFERROR(V206*데이터입력!$Y$8,"")</f>
        <v>0</v>
      </c>
      <c r="N206" s="594"/>
      <c r="O206" s="184" t="str">
        <f>IF(데이터입력!AP208="","",데이터입력!AP208)</f>
        <v/>
      </c>
      <c r="P206" s="185" t="str">
        <f>IF(데이터입력!AQ208="","",데이터입력!AQ208)</f>
        <v/>
      </c>
      <c r="Q206" s="186">
        <f>IF(데이터입력!AR208="",0,데이터입력!AR208)</f>
        <v>0</v>
      </c>
      <c r="R206" s="187">
        <f>IF(데이터입력!AS208="",0,데이터입력!AS208)</f>
        <v>0</v>
      </c>
      <c r="S206" s="1260">
        <f>IF(데이터입력!AT208="",0,데이터입력!AT208)</f>
        <v>0</v>
      </c>
      <c r="T206" s="187">
        <f>IF(데이터입력!AU208="",0,데이터입력!AU208)</f>
        <v>0</v>
      </c>
      <c r="U206" s="186">
        <f>IF(데이터입력!AV208="",0,데이터입력!AV208)</f>
        <v>0</v>
      </c>
      <c r="V206" s="187">
        <f>IF(데이터입력!AW208="",0,데이터입력!AW208)</f>
        <v>0</v>
      </c>
      <c r="W206" s="1261">
        <f>IF(데이터입력!AX208="",0,데이터입력!AX208)</f>
        <v>0</v>
      </c>
      <c r="X206" s="931">
        <f>IF(데이터입력!AY208="",0,데이터입력!AY208)</f>
        <v>0</v>
      </c>
      <c r="Y206" s="931">
        <f>IF(데이터입력!AZ208="",0,데이터입력!AZ208)</f>
        <v>0</v>
      </c>
      <c r="Z206" s="599">
        <f>IF(데이터입력!BA208="",0,데이터입력!BA208)</f>
        <v>0</v>
      </c>
      <c r="AA206" s="935">
        <f>IF(데이터입력!BB208="",0,데이터입력!BB208)</f>
        <v>0</v>
      </c>
    </row>
    <row r="207" spans="1:27" hidden="1">
      <c r="A207" s="171">
        <f>IF(W207="","",SUBTOTAL(2,$W$11:W207))</f>
        <v>197</v>
      </c>
      <c r="B207" s="200" t="str">
        <f t="shared" si="10"/>
        <v>00</v>
      </c>
      <c r="C207" s="173" t="str">
        <f t="shared" si="11"/>
        <v/>
      </c>
      <c r="D207" s="201" t="str">
        <f t="shared" si="13"/>
        <v/>
      </c>
      <c r="E207" s="201" t="str">
        <f t="shared" si="13"/>
        <v/>
      </c>
      <c r="F207" s="174" t="str">
        <f t="shared" si="12"/>
        <v/>
      </c>
      <c r="G207" s="200" t="s">
        <v>485</v>
      </c>
      <c r="H207" s="200" t="s">
        <v>484</v>
      </c>
      <c r="I207" s="175">
        <f>IF(X207="","",X207*데이터입력!$Y$8)</f>
        <v>0</v>
      </c>
      <c r="J207" s="202">
        <f>R207*데이터입력!$Y$8</f>
        <v>0</v>
      </c>
      <c r="K207" s="202">
        <f>T207*데이터입력!$Y$8</f>
        <v>0</v>
      </c>
      <c r="L207" s="203">
        <f>IFERROR(U207*데이터입력!$Y$8,"")</f>
        <v>0</v>
      </c>
      <c r="M207" s="175">
        <f>IFERROR(V207*데이터입력!$Y$8,"")</f>
        <v>0</v>
      </c>
      <c r="N207" s="594"/>
      <c r="O207" s="184" t="str">
        <f>IF(데이터입력!AP209="","",데이터입력!AP209)</f>
        <v/>
      </c>
      <c r="P207" s="185" t="str">
        <f>IF(데이터입력!AQ209="","",데이터입력!AQ209)</f>
        <v/>
      </c>
      <c r="Q207" s="186">
        <f>IF(데이터입력!AR209="",0,데이터입력!AR209)</f>
        <v>0</v>
      </c>
      <c r="R207" s="187">
        <f>IF(데이터입력!AS209="",0,데이터입력!AS209)</f>
        <v>0</v>
      </c>
      <c r="S207" s="1260">
        <f>IF(데이터입력!AT209="",0,데이터입력!AT209)</f>
        <v>0</v>
      </c>
      <c r="T207" s="187">
        <f>IF(데이터입력!AU209="",0,데이터입력!AU209)</f>
        <v>0</v>
      </c>
      <c r="U207" s="186">
        <f>IF(데이터입력!AV209="",0,데이터입력!AV209)</f>
        <v>0</v>
      </c>
      <c r="V207" s="187">
        <f>IF(데이터입력!AW209="",0,데이터입력!AW209)</f>
        <v>0</v>
      </c>
      <c r="W207" s="1261">
        <f>IF(데이터입력!AX209="",0,데이터입력!AX209)</f>
        <v>0</v>
      </c>
      <c r="X207" s="931">
        <f>IF(데이터입력!AY209="",0,데이터입력!AY209)</f>
        <v>0</v>
      </c>
      <c r="Y207" s="931">
        <f>IF(데이터입력!AZ209="",0,데이터입력!AZ209)</f>
        <v>0</v>
      </c>
      <c r="Z207" s="599">
        <f>IF(데이터입력!BA209="",0,데이터입력!BA209)</f>
        <v>0</v>
      </c>
      <c r="AA207" s="935">
        <f>IF(데이터입력!BB209="",0,데이터입력!BB209)</f>
        <v>0</v>
      </c>
    </row>
    <row r="208" spans="1:27" hidden="1">
      <c r="A208" s="171">
        <f>IF(W208="","",SUBTOTAL(2,$W$11:W208))</f>
        <v>198</v>
      </c>
      <c r="B208" s="198" t="str">
        <f t="shared" si="10"/>
        <v>00</v>
      </c>
      <c r="C208" s="180" t="str">
        <f t="shared" si="11"/>
        <v/>
      </c>
      <c r="D208" s="180" t="str">
        <f t="shared" si="13"/>
        <v/>
      </c>
      <c r="E208" s="180" t="str">
        <f t="shared" si="13"/>
        <v/>
      </c>
      <c r="F208" s="181" t="str">
        <f t="shared" si="12"/>
        <v/>
      </c>
      <c r="G208" s="198" t="s">
        <v>485</v>
      </c>
      <c r="H208" s="198" t="s">
        <v>484</v>
      </c>
      <c r="I208" s="182">
        <f>IF(X208="","",X208*데이터입력!$Y$8)</f>
        <v>0</v>
      </c>
      <c r="J208" s="182">
        <f>R208*데이터입력!$Y$8</f>
        <v>0</v>
      </c>
      <c r="K208" s="182">
        <f>T208*데이터입력!$Y$8</f>
        <v>0</v>
      </c>
      <c r="L208" s="199">
        <f>IFERROR(U208*데이터입력!$Y$8,"")</f>
        <v>0</v>
      </c>
      <c r="M208" s="199">
        <f>IFERROR(V208*데이터입력!$Y$8,"")</f>
        <v>0</v>
      </c>
      <c r="N208" s="594"/>
      <c r="O208" s="184" t="str">
        <f>IF(데이터입력!AP210="","",데이터입력!AP210)</f>
        <v/>
      </c>
      <c r="P208" s="185" t="str">
        <f>IF(데이터입력!AQ210="","",데이터입력!AQ210)</f>
        <v/>
      </c>
      <c r="Q208" s="186">
        <f>IF(데이터입력!AR210="",0,데이터입력!AR210)</f>
        <v>0</v>
      </c>
      <c r="R208" s="187">
        <f>IF(데이터입력!AS210="",0,데이터입력!AS210)</f>
        <v>0</v>
      </c>
      <c r="S208" s="1260">
        <f>IF(데이터입력!AT210="",0,데이터입력!AT210)</f>
        <v>0</v>
      </c>
      <c r="T208" s="187">
        <f>IF(데이터입력!AU210="",0,데이터입력!AU210)</f>
        <v>0</v>
      </c>
      <c r="U208" s="186">
        <f>IF(데이터입력!AV210="",0,데이터입력!AV210)</f>
        <v>0</v>
      </c>
      <c r="V208" s="187">
        <f>IF(데이터입력!AW210="",0,데이터입력!AW210)</f>
        <v>0</v>
      </c>
      <c r="W208" s="1261">
        <f>IF(데이터입력!AX210="",0,데이터입력!AX210)</f>
        <v>0</v>
      </c>
      <c r="X208" s="931">
        <f>IF(데이터입력!AY210="",0,데이터입력!AY210)</f>
        <v>0</v>
      </c>
      <c r="Y208" s="931">
        <f>IF(데이터입력!AZ210="",0,데이터입력!AZ210)</f>
        <v>0</v>
      </c>
      <c r="Z208" s="599">
        <f>IF(데이터입력!BA210="",0,데이터입력!BA210)</f>
        <v>0</v>
      </c>
      <c r="AA208" s="935">
        <f>IF(데이터입력!BB210="",0,데이터입력!BB210)</f>
        <v>0</v>
      </c>
    </row>
    <row r="209" spans="1:27" hidden="1">
      <c r="A209" s="171">
        <f>IF(W209="","",SUBTOTAL(2,$W$11:W209))</f>
        <v>199</v>
      </c>
      <c r="B209" s="200" t="str">
        <f t="shared" si="10"/>
        <v>00</v>
      </c>
      <c r="C209" s="173" t="str">
        <f t="shared" si="11"/>
        <v/>
      </c>
      <c r="D209" s="201" t="str">
        <f t="shared" si="13"/>
        <v/>
      </c>
      <c r="E209" s="201" t="str">
        <f t="shared" si="13"/>
        <v/>
      </c>
      <c r="F209" s="174" t="str">
        <f t="shared" si="12"/>
        <v/>
      </c>
      <c r="G209" s="200" t="s">
        <v>485</v>
      </c>
      <c r="H209" s="200" t="s">
        <v>484</v>
      </c>
      <c r="I209" s="175">
        <f>IF(X209="","",X209*데이터입력!$Y$8)</f>
        <v>0</v>
      </c>
      <c r="J209" s="202">
        <f>R209*데이터입력!$Y$8</f>
        <v>0</v>
      </c>
      <c r="K209" s="202">
        <f>T209*데이터입력!$Y$8</f>
        <v>0</v>
      </c>
      <c r="L209" s="203">
        <f>IFERROR(U209*데이터입력!$Y$8,"")</f>
        <v>0</v>
      </c>
      <c r="M209" s="175">
        <f>IFERROR(V209*데이터입력!$Y$8,"")</f>
        <v>0</v>
      </c>
      <c r="N209" s="594"/>
      <c r="O209" s="184" t="str">
        <f>IF(데이터입력!AP211="","",데이터입력!AP211)</f>
        <v/>
      </c>
      <c r="P209" s="185" t="str">
        <f>IF(데이터입력!AQ211="","",데이터입력!AQ211)</f>
        <v/>
      </c>
      <c r="Q209" s="186">
        <f>IF(데이터입력!AR211="",0,데이터입력!AR211)</f>
        <v>0</v>
      </c>
      <c r="R209" s="187">
        <f>IF(데이터입력!AS211="",0,데이터입력!AS211)</f>
        <v>0</v>
      </c>
      <c r="S209" s="1260">
        <f>IF(데이터입력!AT211="",0,데이터입력!AT211)</f>
        <v>0</v>
      </c>
      <c r="T209" s="187">
        <f>IF(데이터입력!AU211="",0,데이터입력!AU211)</f>
        <v>0</v>
      </c>
      <c r="U209" s="186">
        <f>IF(데이터입력!AV211="",0,데이터입력!AV211)</f>
        <v>0</v>
      </c>
      <c r="V209" s="187">
        <f>IF(데이터입력!AW211="",0,데이터입력!AW211)</f>
        <v>0</v>
      </c>
      <c r="W209" s="1261">
        <f>IF(데이터입력!AX211="",0,데이터입력!AX211)</f>
        <v>0</v>
      </c>
      <c r="X209" s="931">
        <f>IF(데이터입력!AY211="",0,데이터입력!AY211)</f>
        <v>0</v>
      </c>
      <c r="Y209" s="931">
        <f>IF(데이터입력!AZ211="",0,데이터입력!AZ211)</f>
        <v>0</v>
      </c>
      <c r="Z209" s="599">
        <f>IF(데이터입력!BA211="",0,데이터입력!BA211)</f>
        <v>0</v>
      </c>
      <c r="AA209" s="935">
        <f>IF(데이터입력!BB211="",0,데이터입력!BB211)</f>
        <v>0</v>
      </c>
    </row>
    <row r="210" spans="1:27" hidden="1">
      <c r="A210" s="171">
        <f>IF(W210="","",SUBTOTAL(2,$W$11:W210))</f>
        <v>200</v>
      </c>
      <c r="B210" s="198" t="str">
        <f t="shared" si="10"/>
        <v>00</v>
      </c>
      <c r="C210" s="180" t="str">
        <f t="shared" si="11"/>
        <v/>
      </c>
      <c r="D210" s="180" t="str">
        <f t="shared" si="13"/>
        <v/>
      </c>
      <c r="E210" s="180" t="str">
        <f t="shared" si="13"/>
        <v/>
      </c>
      <c r="F210" s="181" t="str">
        <f t="shared" si="12"/>
        <v/>
      </c>
      <c r="G210" s="198" t="s">
        <v>485</v>
      </c>
      <c r="H210" s="198" t="s">
        <v>484</v>
      </c>
      <c r="I210" s="182">
        <f>IF(X210="","",X210*데이터입력!$Y$8)</f>
        <v>0</v>
      </c>
      <c r="J210" s="182">
        <f>R210*데이터입력!$Y$8</f>
        <v>0</v>
      </c>
      <c r="K210" s="182">
        <f>T210*데이터입력!$Y$8</f>
        <v>0</v>
      </c>
      <c r="L210" s="199">
        <f>IFERROR(U210*데이터입력!$Y$8,"")</f>
        <v>0</v>
      </c>
      <c r="M210" s="199">
        <f>IFERROR(V210*데이터입력!$Y$8,"")</f>
        <v>0</v>
      </c>
      <c r="N210" s="594"/>
      <c r="O210" s="184" t="str">
        <f>IF(데이터입력!AP212="","",데이터입력!AP212)</f>
        <v/>
      </c>
      <c r="P210" s="185" t="str">
        <f>IF(데이터입력!AQ212="","",데이터입력!AQ212)</f>
        <v/>
      </c>
      <c r="Q210" s="186">
        <f>IF(데이터입력!AR212="",0,데이터입력!AR212)</f>
        <v>0</v>
      </c>
      <c r="R210" s="187">
        <f>IF(데이터입력!AS212="",0,데이터입력!AS212)</f>
        <v>0</v>
      </c>
      <c r="S210" s="1260">
        <f>IF(데이터입력!AT212="",0,데이터입력!AT212)</f>
        <v>0</v>
      </c>
      <c r="T210" s="187">
        <f>IF(데이터입력!AU212="",0,데이터입력!AU212)</f>
        <v>0</v>
      </c>
      <c r="U210" s="186">
        <f>IF(데이터입력!AV212="",0,데이터입력!AV212)</f>
        <v>0</v>
      </c>
      <c r="V210" s="187">
        <f>IF(데이터입력!AW212="",0,데이터입력!AW212)</f>
        <v>0</v>
      </c>
      <c r="W210" s="1261">
        <f>IF(데이터입력!AX212="",0,데이터입력!AX212)</f>
        <v>0</v>
      </c>
      <c r="X210" s="931">
        <f>IF(데이터입력!AY212="",0,데이터입력!AY212)</f>
        <v>0</v>
      </c>
      <c r="Y210" s="931">
        <f>IF(데이터입력!AZ212="",0,데이터입력!AZ212)</f>
        <v>0</v>
      </c>
      <c r="Z210" s="599">
        <f>IF(데이터입력!BA212="",0,데이터입력!BA212)</f>
        <v>0</v>
      </c>
      <c r="AA210" s="935">
        <f>IF(데이터입력!BB212="",0,데이터입력!BB212)</f>
        <v>0</v>
      </c>
    </row>
    <row r="211" spans="1:27" hidden="1">
      <c r="A211" s="171">
        <f>IF(W211="","",SUBTOTAL(2,$W$11:W211))</f>
        <v>201</v>
      </c>
      <c r="B211" s="200" t="str">
        <f t="shared" si="10"/>
        <v>00</v>
      </c>
      <c r="C211" s="173" t="str">
        <f t="shared" si="11"/>
        <v/>
      </c>
      <c r="D211" s="201" t="str">
        <f t="shared" si="13"/>
        <v/>
      </c>
      <c r="E211" s="201" t="str">
        <f t="shared" si="13"/>
        <v/>
      </c>
      <c r="F211" s="174" t="str">
        <f t="shared" si="12"/>
        <v/>
      </c>
      <c r="G211" s="200" t="s">
        <v>485</v>
      </c>
      <c r="H211" s="200" t="s">
        <v>484</v>
      </c>
      <c r="I211" s="175">
        <f>IF(X211="","",X211*데이터입력!$Y$8)</f>
        <v>0</v>
      </c>
      <c r="J211" s="202">
        <f>R211*데이터입력!$Y$8</f>
        <v>0</v>
      </c>
      <c r="K211" s="202">
        <f>T211*데이터입력!$Y$8</f>
        <v>0</v>
      </c>
      <c r="L211" s="203">
        <f>IFERROR(U211*데이터입력!$Y$8,"")</f>
        <v>0</v>
      </c>
      <c r="M211" s="175">
        <f>IFERROR(V211*데이터입력!$Y$8,"")</f>
        <v>0</v>
      </c>
      <c r="N211" s="594"/>
      <c r="O211" s="184" t="str">
        <f>IF(데이터입력!AP213="","",데이터입력!AP213)</f>
        <v/>
      </c>
      <c r="P211" s="185" t="str">
        <f>IF(데이터입력!AQ213="","",데이터입력!AQ213)</f>
        <v/>
      </c>
      <c r="Q211" s="186">
        <f>IF(데이터입력!AR213="",0,데이터입력!AR213)</f>
        <v>0</v>
      </c>
      <c r="R211" s="187">
        <f>IF(데이터입력!AS213="",0,데이터입력!AS213)</f>
        <v>0</v>
      </c>
      <c r="S211" s="1260">
        <f>IF(데이터입력!AT213="",0,데이터입력!AT213)</f>
        <v>0</v>
      </c>
      <c r="T211" s="187">
        <f>IF(데이터입력!AU213="",0,데이터입력!AU213)</f>
        <v>0</v>
      </c>
      <c r="U211" s="186">
        <f>IF(데이터입력!AV213="",0,데이터입력!AV213)</f>
        <v>0</v>
      </c>
      <c r="V211" s="187">
        <f>IF(데이터입력!AW213="",0,데이터입력!AW213)</f>
        <v>0</v>
      </c>
      <c r="W211" s="1261">
        <f>IF(데이터입력!AX213="",0,데이터입력!AX213)</f>
        <v>0</v>
      </c>
      <c r="X211" s="931">
        <f>IF(데이터입력!AY213="",0,데이터입력!AY213)</f>
        <v>0</v>
      </c>
      <c r="Y211" s="931">
        <f>IF(데이터입력!AZ213="",0,데이터입력!AZ213)</f>
        <v>0</v>
      </c>
      <c r="Z211" s="599">
        <f>IF(데이터입력!BA213="",0,데이터입력!BA213)</f>
        <v>0</v>
      </c>
      <c r="AA211" s="935">
        <f>IF(데이터입력!BB213="",0,데이터입력!BB213)</f>
        <v>0</v>
      </c>
    </row>
    <row r="212" spans="1:27" hidden="1">
      <c r="A212" s="171">
        <f>IF(W212="","",SUBTOTAL(2,$W$11:W212))</f>
        <v>202</v>
      </c>
      <c r="B212" s="198" t="str">
        <f t="shared" si="10"/>
        <v>00</v>
      </c>
      <c r="C212" s="180" t="str">
        <f t="shared" si="11"/>
        <v/>
      </c>
      <c r="D212" s="180" t="str">
        <f t="shared" si="13"/>
        <v/>
      </c>
      <c r="E212" s="180" t="str">
        <f t="shared" si="13"/>
        <v/>
      </c>
      <c r="F212" s="181" t="str">
        <f t="shared" si="12"/>
        <v/>
      </c>
      <c r="G212" s="198" t="s">
        <v>485</v>
      </c>
      <c r="H212" s="198" t="s">
        <v>484</v>
      </c>
      <c r="I212" s="182">
        <f>IF(X212="","",X212*데이터입력!$Y$8)</f>
        <v>0</v>
      </c>
      <c r="J212" s="182">
        <f>R212*데이터입력!$Y$8</f>
        <v>0</v>
      </c>
      <c r="K212" s="182">
        <f>T212*데이터입력!$Y$8</f>
        <v>0</v>
      </c>
      <c r="L212" s="199">
        <f>IFERROR(U212*데이터입력!$Y$8,"")</f>
        <v>0</v>
      </c>
      <c r="M212" s="199">
        <f>IFERROR(V212*데이터입력!$Y$8,"")</f>
        <v>0</v>
      </c>
      <c r="N212" s="594"/>
      <c r="O212" s="184" t="str">
        <f>IF(데이터입력!AP214="","",데이터입력!AP214)</f>
        <v/>
      </c>
      <c r="P212" s="185" t="str">
        <f>IF(데이터입력!AQ214="","",데이터입력!AQ214)</f>
        <v/>
      </c>
      <c r="Q212" s="186">
        <f>IF(데이터입력!AR214="",0,데이터입력!AR214)</f>
        <v>0</v>
      </c>
      <c r="R212" s="187">
        <f>IF(데이터입력!AS214="",0,데이터입력!AS214)</f>
        <v>0</v>
      </c>
      <c r="S212" s="1260">
        <f>IF(데이터입력!AT214="",0,데이터입력!AT214)</f>
        <v>0</v>
      </c>
      <c r="T212" s="187">
        <f>IF(데이터입력!AU214="",0,데이터입력!AU214)</f>
        <v>0</v>
      </c>
      <c r="U212" s="186">
        <f>IF(데이터입력!AV214="",0,데이터입력!AV214)</f>
        <v>0</v>
      </c>
      <c r="V212" s="187">
        <f>IF(데이터입력!AW214="",0,데이터입력!AW214)</f>
        <v>0</v>
      </c>
      <c r="W212" s="1261">
        <f>IF(데이터입력!AX214="",0,데이터입력!AX214)</f>
        <v>0</v>
      </c>
      <c r="X212" s="931">
        <f>IF(데이터입력!AY214="",0,데이터입력!AY214)</f>
        <v>0</v>
      </c>
      <c r="Y212" s="931">
        <f>IF(데이터입력!AZ214="",0,데이터입력!AZ214)</f>
        <v>0</v>
      </c>
      <c r="Z212" s="599">
        <f>IF(데이터입력!BA214="",0,데이터입력!BA214)</f>
        <v>0</v>
      </c>
      <c r="AA212" s="935">
        <f>IF(데이터입력!BB214="",0,데이터입력!BB214)</f>
        <v>0</v>
      </c>
    </row>
    <row r="213" spans="1:27" hidden="1">
      <c r="A213" s="171">
        <f>IF(W213="","",SUBTOTAL(2,$W$11:W213))</f>
        <v>203</v>
      </c>
      <c r="B213" s="200" t="str">
        <f t="shared" si="10"/>
        <v>00</v>
      </c>
      <c r="C213" s="173" t="str">
        <f t="shared" si="11"/>
        <v/>
      </c>
      <c r="D213" s="201" t="str">
        <f t="shared" si="13"/>
        <v/>
      </c>
      <c r="E213" s="201" t="str">
        <f t="shared" si="13"/>
        <v/>
      </c>
      <c r="F213" s="174" t="str">
        <f t="shared" si="12"/>
        <v/>
      </c>
      <c r="G213" s="200" t="s">
        <v>485</v>
      </c>
      <c r="H213" s="200" t="s">
        <v>484</v>
      </c>
      <c r="I213" s="175">
        <f>IF(X213="","",X213*데이터입력!$Y$8)</f>
        <v>0</v>
      </c>
      <c r="J213" s="202">
        <f>R213*데이터입력!$Y$8</f>
        <v>0</v>
      </c>
      <c r="K213" s="202">
        <f>T213*데이터입력!$Y$8</f>
        <v>0</v>
      </c>
      <c r="L213" s="203">
        <f>IFERROR(U213*데이터입력!$Y$8,"")</f>
        <v>0</v>
      </c>
      <c r="M213" s="175">
        <f>IFERROR(V213*데이터입력!$Y$8,"")</f>
        <v>0</v>
      </c>
      <c r="N213" s="594"/>
      <c r="O213" s="184" t="str">
        <f>IF(데이터입력!AP215="","",데이터입력!AP215)</f>
        <v/>
      </c>
      <c r="P213" s="185" t="str">
        <f>IF(데이터입력!AQ215="","",데이터입력!AQ215)</f>
        <v/>
      </c>
      <c r="Q213" s="186">
        <f>IF(데이터입력!AR215="",0,데이터입력!AR215)</f>
        <v>0</v>
      </c>
      <c r="R213" s="187">
        <f>IF(데이터입력!AS215="",0,데이터입력!AS215)</f>
        <v>0</v>
      </c>
      <c r="S213" s="1260">
        <f>IF(데이터입력!AT215="",0,데이터입력!AT215)</f>
        <v>0</v>
      </c>
      <c r="T213" s="187">
        <f>IF(데이터입력!AU215="",0,데이터입력!AU215)</f>
        <v>0</v>
      </c>
      <c r="U213" s="186">
        <f>IF(데이터입력!AV215="",0,데이터입력!AV215)</f>
        <v>0</v>
      </c>
      <c r="V213" s="187">
        <f>IF(데이터입력!AW215="",0,데이터입력!AW215)</f>
        <v>0</v>
      </c>
      <c r="W213" s="1261">
        <f>IF(데이터입력!AX215="",0,데이터입력!AX215)</f>
        <v>0</v>
      </c>
      <c r="X213" s="931">
        <f>IF(데이터입력!AY215="",0,데이터입력!AY215)</f>
        <v>0</v>
      </c>
      <c r="Y213" s="931">
        <f>IF(데이터입력!AZ215="",0,데이터입력!AZ215)</f>
        <v>0</v>
      </c>
      <c r="Z213" s="599">
        <f>IF(데이터입력!BA215="",0,데이터입력!BA215)</f>
        <v>0</v>
      </c>
      <c r="AA213" s="935">
        <f>IF(데이터입력!BB215="",0,데이터입력!BB215)</f>
        <v>0</v>
      </c>
    </row>
    <row r="214" spans="1:27" hidden="1">
      <c r="A214" s="171">
        <f>IF(W214="","",SUBTOTAL(2,$W$11:W214))</f>
        <v>204</v>
      </c>
      <c r="B214" s="198" t="str">
        <f t="shared" si="10"/>
        <v>00</v>
      </c>
      <c r="C214" s="180" t="str">
        <f t="shared" si="11"/>
        <v/>
      </c>
      <c r="D214" s="180" t="str">
        <f t="shared" si="13"/>
        <v/>
      </c>
      <c r="E214" s="180" t="str">
        <f t="shared" si="13"/>
        <v/>
      </c>
      <c r="F214" s="181" t="str">
        <f t="shared" si="12"/>
        <v/>
      </c>
      <c r="G214" s="198" t="s">
        <v>485</v>
      </c>
      <c r="H214" s="198" t="s">
        <v>484</v>
      </c>
      <c r="I214" s="182">
        <f>IF(X214="","",X214*데이터입력!$Y$8)</f>
        <v>0</v>
      </c>
      <c r="J214" s="182">
        <f>R214*데이터입력!$Y$8</f>
        <v>0</v>
      </c>
      <c r="K214" s="182">
        <f>T214*데이터입력!$Y$8</f>
        <v>0</v>
      </c>
      <c r="L214" s="199">
        <f>IFERROR(U214*데이터입력!$Y$8,"")</f>
        <v>0</v>
      </c>
      <c r="M214" s="199">
        <f>IFERROR(V214*데이터입력!$Y$8,"")</f>
        <v>0</v>
      </c>
      <c r="N214" s="594"/>
      <c r="O214" s="184" t="str">
        <f>IF(데이터입력!AP216="","",데이터입력!AP216)</f>
        <v/>
      </c>
      <c r="P214" s="185" t="str">
        <f>IF(데이터입력!AQ216="","",데이터입력!AQ216)</f>
        <v/>
      </c>
      <c r="Q214" s="186">
        <f>IF(데이터입력!AR216="",0,데이터입력!AR216)</f>
        <v>0</v>
      </c>
      <c r="R214" s="187">
        <f>IF(데이터입력!AS216="",0,데이터입력!AS216)</f>
        <v>0</v>
      </c>
      <c r="S214" s="1260">
        <f>IF(데이터입력!AT216="",0,데이터입력!AT216)</f>
        <v>0</v>
      </c>
      <c r="T214" s="187">
        <f>IF(데이터입력!AU216="",0,데이터입력!AU216)</f>
        <v>0</v>
      </c>
      <c r="U214" s="186">
        <f>IF(데이터입력!AV216="",0,데이터입력!AV216)</f>
        <v>0</v>
      </c>
      <c r="V214" s="187">
        <f>IF(데이터입력!AW216="",0,데이터입력!AW216)</f>
        <v>0</v>
      </c>
      <c r="W214" s="1261">
        <f>IF(데이터입력!AX216="",0,데이터입력!AX216)</f>
        <v>0</v>
      </c>
      <c r="X214" s="931">
        <f>IF(데이터입력!AY216="",0,데이터입력!AY216)</f>
        <v>0</v>
      </c>
      <c r="Y214" s="931">
        <f>IF(데이터입력!AZ216="",0,데이터입력!AZ216)</f>
        <v>0</v>
      </c>
      <c r="Z214" s="599">
        <f>IF(데이터입력!BA216="",0,데이터입력!BA216)</f>
        <v>0</v>
      </c>
      <c r="AA214" s="935">
        <f>IF(데이터입력!BB216="",0,데이터입력!BB216)</f>
        <v>0</v>
      </c>
    </row>
    <row r="215" spans="1:27" hidden="1">
      <c r="A215" s="171">
        <f>IF(W215="","",SUBTOTAL(2,$W$11:W215))</f>
        <v>205</v>
      </c>
      <c r="B215" s="200" t="str">
        <f t="shared" si="10"/>
        <v>00</v>
      </c>
      <c r="C215" s="173" t="str">
        <f t="shared" si="11"/>
        <v/>
      </c>
      <c r="D215" s="201" t="str">
        <f t="shared" si="13"/>
        <v/>
      </c>
      <c r="E215" s="201" t="str">
        <f t="shared" si="13"/>
        <v/>
      </c>
      <c r="F215" s="174" t="str">
        <f t="shared" si="12"/>
        <v/>
      </c>
      <c r="G215" s="200" t="s">
        <v>485</v>
      </c>
      <c r="H215" s="200" t="s">
        <v>484</v>
      </c>
      <c r="I215" s="175">
        <f>IF(X215="","",X215*데이터입력!$Y$8)</f>
        <v>0</v>
      </c>
      <c r="J215" s="202">
        <f>R215*데이터입력!$Y$8</f>
        <v>0</v>
      </c>
      <c r="K215" s="202">
        <f>T215*데이터입력!$Y$8</f>
        <v>0</v>
      </c>
      <c r="L215" s="203">
        <f>IFERROR(U215*데이터입력!$Y$8,"")</f>
        <v>0</v>
      </c>
      <c r="M215" s="175">
        <f>IFERROR(V215*데이터입력!$Y$8,"")</f>
        <v>0</v>
      </c>
      <c r="N215" s="594"/>
      <c r="O215" s="184" t="str">
        <f>IF(데이터입력!AP217="","",데이터입력!AP217)</f>
        <v/>
      </c>
      <c r="P215" s="185" t="str">
        <f>IF(데이터입력!AQ217="","",데이터입력!AQ217)</f>
        <v/>
      </c>
      <c r="Q215" s="186">
        <f>IF(데이터입력!AR217="",0,데이터입력!AR217)</f>
        <v>0</v>
      </c>
      <c r="R215" s="187">
        <f>IF(데이터입력!AS217="",0,데이터입력!AS217)</f>
        <v>0</v>
      </c>
      <c r="S215" s="1260">
        <f>IF(데이터입력!AT217="",0,데이터입력!AT217)</f>
        <v>0</v>
      </c>
      <c r="T215" s="187">
        <f>IF(데이터입력!AU217="",0,데이터입력!AU217)</f>
        <v>0</v>
      </c>
      <c r="U215" s="186">
        <f>IF(데이터입력!AV217="",0,데이터입력!AV217)</f>
        <v>0</v>
      </c>
      <c r="V215" s="187">
        <f>IF(데이터입력!AW217="",0,데이터입력!AW217)</f>
        <v>0</v>
      </c>
      <c r="W215" s="1261">
        <f>IF(데이터입력!AX217="",0,데이터입력!AX217)</f>
        <v>0</v>
      </c>
      <c r="X215" s="931">
        <f>IF(데이터입력!AY217="",0,데이터입력!AY217)</f>
        <v>0</v>
      </c>
      <c r="Y215" s="931">
        <f>IF(데이터입력!AZ217="",0,데이터입력!AZ217)</f>
        <v>0</v>
      </c>
      <c r="Z215" s="599">
        <f>IF(데이터입력!BA217="",0,데이터입력!BA217)</f>
        <v>0</v>
      </c>
      <c r="AA215" s="935">
        <f>IF(데이터입력!BB217="",0,데이터입력!BB217)</f>
        <v>0</v>
      </c>
    </row>
    <row r="216" spans="1:27" hidden="1">
      <c r="A216" s="171">
        <f>IF(W216="","",SUBTOTAL(2,$W$11:W216))</f>
        <v>206</v>
      </c>
      <c r="B216" s="198" t="str">
        <f t="shared" si="10"/>
        <v>00</v>
      </c>
      <c r="C216" s="180" t="str">
        <f t="shared" si="11"/>
        <v/>
      </c>
      <c r="D216" s="180" t="str">
        <f t="shared" si="13"/>
        <v/>
      </c>
      <c r="E216" s="180" t="str">
        <f t="shared" si="13"/>
        <v/>
      </c>
      <c r="F216" s="181" t="str">
        <f t="shared" si="12"/>
        <v/>
      </c>
      <c r="G216" s="198" t="s">
        <v>485</v>
      </c>
      <c r="H216" s="198" t="s">
        <v>484</v>
      </c>
      <c r="I216" s="182">
        <f>IF(X216="","",X216*데이터입력!$Y$8)</f>
        <v>0</v>
      </c>
      <c r="J216" s="182">
        <f>R216*데이터입력!$Y$8</f>
        <v>0</v>
      </c>
      <c r="K216" s="182">
        <f>T216*데이터입력!$Y$8</f>
        <v>0</v>
      </c>
      <c r="L216" s="199">
        <f>IFERROR(U216*데이터입력!$Y$8,"")</f>
        <v>0</v>
      </c>
      <c r="M216" s="199">
        <f>IFERROR(V216*데이터입력!$Y$8,"")</f>
        <v>0</v>
      </c>
      <c r="N216" s="594"/>
      <c r="O216" s="184" t="str">
        <f>IF(데이터입력!AP218="","",데이터입력!AP218)</f>
        <v/>
      </c>
      <c r="P216" s="185" t="str">
        <f>IF(데이터입력!AQ218="","",데이터입력!AQ218)</f>
        <v/>
      </c>
      <c r="Q216" s="186">
        <f>IF(데이터입력!AR218="",0,데이터입력!AR218)</f>
        <v>0</v>
      </c>
      <c r="R216" s="187">
        <f>IF(데이터입력!AS218="",0,데이터입력!AS218)</f>
        <v>0</v>
      </c>
      <c r="S216" s="1260">
        <f>IF(데이터입력!AT218="",0,데이터입력!AT218)</f>
        <v>0</v>
      </c>
      <c r="T216" s="187">
        <f>IF(데이터입력!AU218="",0,데이터입력!AU218)</f>
        <v>0</v>
      </c>
      <c r="U216" s="186">
        <f>IF(데이터입력!AV218="",0,데이터입력!AV218)</f>
        <v>0</v>
      </c>
      <c r="V216" s="187">
        <f>IF(데이터입력!AW218="",0,데이터입력!AW218)</f>
        <v>0</v>
      </c>
      <c r="W216" s="1261">
        <f>IF(데이터입력!AX218="",0,데이터입력!AX218)</f>
        <v>0</v>
      </c>
      <c r="X216" s="931">
        <f>IF(데이터입력!AY218="",0,데이터입력!AY218)</f>
        <v>0</v>
      </c>
      <c r="Y216" s="931">
        <f>IF(데이터입력!AZ218="",0,데이터입력!AZ218)</f>
        <v>0</v>
      </c>
      <c r="Z216" s="599">
        <f>IF(데이터입력!BA218="",0,데이터입력!BA218)</f>
        <v>0</v>
      </c>
      <c r="AA216" s="935">
        <f>IF(데이터입력!BB218="",0,데이터입력!BB218)</f>
        <v>0</v>
      </c>
    </row>
    <row r="217" spans="1:27" hidden="1">
      <c r="A217" s="171">
        <f>IF(W217="","",SUBTOTAL(2,$W$11:W217))</f>
        <v>207</v>
      </c>
      <c r="B217" s="200" t="str">
        <f t="shared" si="10"/>
        <v>00</v>
      </c>
      <c r="C217" s="173" t="str">
        <f t="shared" si="11"/>
        <v/>
      </c>
      <c r="D217" s="201" t="str">
        <f t="shared" si="13"/>
        <v/>
      </c>
      <c r="E217" s="201" t="str">
        <f t="shared" si="13"/>
        <v/>
      </c>
      <c r="F217" s="174" t="str">
        <f t="shared" si="12"/>
        <v/>
      </c>
      <c r="G217" s="200" t="s">
        <v>485</v>
      </c>
      <c r="H217" s="200" t="s">
        <v>484</v>
      </c>
      <c r="I217" s="175">
        <f>IF(X217="","",X217*데이터입력!$Y$8)</f>
        <v>0</v>
      </c>
      <c r="J217" s="202">
        <f>R217*데이터입력!$Y$8</f>
        <v>0</v>
      </c>
      <c r="K217" s="202">
        <f>T217*데이터입력!$Y$8</f>
        <v>0</v>
      </c>
      <c r="L217" s="203">
        <f>IFERROR(U217*데이터입력!$Y$8,"")</f>
        <v>0</v>
      </c>
      <c r="M217" s="175">
        <f>IFERROR(V217*데이터입력!$Y$8,"")</f>
        <v>0</v>
      </c>
      <c r="N217" s="594"/>
      <c r="O217" s="184" t="str">
        <f>IF(데이터입력!AP219="","",데이터입력!AP219)</f>
        <v/>
      </c>
      <c r="P217" s="185" t="str">
        <f>IF(데이터입력!AQ219="","",데이터입력!AQ219)</f>
        <v/>
      </c>
      <c r="Q217" s="186">
        <f>IF(데이터입력!AR219="",0,데이터입력!AR219)</f>
        <v>0</v>
      </c>
      <c r="R217" s="187">
        <f>IF(데이터입력!AS219="",0,데이터입력!AS219)</f>
        <v>0</v>
      </c>
      <c r="S217" s="1260">
        <f>IF(데이터입력!AT219="",0,데이터입력!AT219)</f>
        <v>0</v>
      </c>
      <c r="T217" s="187">
        <f>IF(데이터입력!AU219="",0,데이터입력!AU219)</f>
        <v>0</v>
      </c>
      <c r="U217" s="186">
        <f>IF(데이터입력!AV219="",0,데이터입력!AV219)</f>
        <v>0</v>
      </c>
      <c r="V217" s="187">
        <f>IF(데이터입력!AW219="",0,데이터입력!AW219)</f>
        <v>0</v>
      </c>
      <c r="W217" s="1261">
        <f>IF(데이터입력!AX219="",0,데이터입력!AX219)</f>
        <v>0</v>
      </c>
      <c r="X217" s="931">
        <f>IF(데이터입력!AY219="",0,데이터입력!AY219)</f>
        <v>0</v>
      </c>
      <c r="Y217" s="931">
        <f>IF(데이터입력!AZ219="",0,데이터입력!AZ219)</f>
        <v>0</v>
      </c>
      <c r="Z217" s="599">
        <f>IF(데이터입력!BA219="",0,데이터입력!BA219)</f>
        <v>0</v>
      </c>
      <c r="AA217" s="935">
        <f>IF(데이터입력!BB219="",0,데이터입력!BB219)</f>
        <v>0</v>
      </c>
    </row>
    <row r="218" spans="1:27" hidden="1">
      <c r="A218" s="171">
        <f>IF(W218="","",SUBTOTAL(2,$W$11:W218))</f>
        <v>208</v>
      </c>
      <c r="B218" s="198" t="str">
        <f t="shared" si="10"/>
        <v>00</v>
      </c>
      <c r="C218" s="180" t="str">
        <f t="shared" si="11"/>
        <v/>
      </c>
      <c r="D218" s="180" t="str">
        <f t="shared" si="13"/>
        <v/>
      </c>
      <c r="E218" s="180" t="str">
        <f t="shared" si="13"/>
        <v/>
      </c>
      <c r="F218" s="181" t="str">
        <f t="shared" si="12"/>
        <v/>
      </c>
      <c r="G218" s="198" t="s">
        <v>485</v>
      </c>
      <c r="H218" s="198" t="s">
        <v>484</v>
      </c>
      <c r="I218" s="182">
        <f>IF(X218="","",X218*데이터입력!$Y$8)</f>
        <v>0</v>
      </c>
      <c r="J218" s="182">
        <f>R218*데이터입력!$Y$8</f>
        <v>0</v>
      </c>
      <c r="K218" s="182">
        <f>T218*데이터입력!$Y$8</f>
        <v>0</v>
      </c>
      <c r="L218" s="199">
        <f>IFERROR(U218*데이터입력!$Y$8,"")</f>
        <v>0</v>
      </c>
      <c r="M218" s="199">
        <f>IFERROR(V218*데이터입력!$Y$8,"")</f>
        <v>0</v>
      </c>
      <c r="N218" s="594"/>
      <c r="O218" s="184" t="str">
        <f>IF(데이터입력!AP220="","",데이터입력!AP220)</f>
        <v/>
      </c>
      <c r="P218" s="185" t="str">
        <f>IF(데이터입력!AQ220="","",데이터입력!AQ220)</f>
        <v/>
      </c>
      <c r="Q218" s="186">
        <f>IF(데이터입력!AR220="",0,데이터입력!AR220)</f>
        <v>0</v>
      </c>
      <c r="R218" s="187">
        <f>IF(데이터입력!AS220="",0,데이터입력!AS220)</f>
        <v>0</v>
      </c>
      <c r="S218" s="1260">
        <f>IF(데이터입력!AT220="",0,데이터입력!AT220)</f>
        <v>0</v>
      </c>
      <c r="T218" s="187">
        <f>IF(데이터입력!AU220="",0,데이터입력!AU220)</f>
        <v>0</v>
      </c>
      <c r="U218" s="186">
        <f>IF(데이터입력!AV220="",0,데이터입력!AV220)</f>
        <v>0</v>
      </c>
      <c r="V218" s="187">
        <f>IF(데이터입력!AW220="",0,데이터입력!AW220)</f>
        <v>0</v>
      </c>
      <c r="W218" s="1261">
        <f>IF(데이터입력!AX220="",0,데이터입력!AX220)</f>
        <v>0</v>
      </c>
      <c r="X218" s="931">
        <f>IF(데이터입력!AY220="",0,데이터입력!AY220)</f>
        <v>0</v>
      </c>
      <c r="Y218" s="931">
        <f>IF(데이터입력!AZ220="",0,데이터입력!AZ220)</f>
        <v>0</v>
      </c>
      <c r="Z218" s="599">
        <f>IF(데이터입력!BA220="",0,데이터입력!BA220)</f>
        <v>0</v>
      </c>
      <c r="AA218" s="935">
        <f>IF(데이터입력!BB220="",0,데이터입력!BB220)</f>
        <v>0</v>
      </c>
    </row>
    <row r="219" spans="1:27" hidden="1">
      <c r="A219" s="171">
        <f>IF(W219="","",SUBTOTAL(2,$W$11:W219))</f>
        <v>209</v>
      </c>
      <c r="B219" s="200" t="str">
        <f t="shared" si="10"/>
        <v>00</v>
      </c>
      <c r="C219" s="173" t="str">
        <f t="shared" si="11"/>
        <v/>
      </c>
      <c r="D219" s="201" t="str">
        <f t="shared" si="13"/>
        <v/>
      </c>
      <c r="E219" s="201" t="str">
        <f t="shared" si="13"/>
        <v/>
      </c>
      <c r="F219" s="174" t="str">
        <f t="shared" si="12"/>
        <v/>
      </c>
      <c r="G219" s="200" t="s">
        <v>485</v>
      </c>
      <c r="H219" s="200" t="s">
        <v>484</v>
      </c>
      <c r="I219" s="175">
        <f>IF(X219="","",X219*데이터입력!$Y$8)</f>
        <v>0</v>
      </c>
      <c r="J219" s="202">
        <f>R219*데이터입력!$Y$8</f>
        <v>0</v>
      </c>
      <c r="K219" s="202">
        <f>T219*데이터입력!$Y$8</f>
        <v>0</v>
      </c>
      <c r="L219" s="203">
        <f>IFERROR(U219*데이터입력!$Y$8,"")</f>
        <v>0</v>
      </c>
      <c r="M219" s="175">
        <f>IFERROR(V219*데이터입력!$Y$8,"")</f>
        <v>0</v>
      </c>
      <c r="N219" s="594"/>
      <c r="O219" s="184" t="str">
        <f>IF(데이터입력!AP221="","",데이터입력!AP221)</f>
        <v/>
      </c>
      <c r="P219" s="185" t="str">
        <f>IF(데이터입력!AQ221="","",데이터입력!AQ221)</f>
        <v/>
      </c>
      <c r="Q219" s="186">
        <f>IF(데이터입력!AR221="",0,데이터입력!AR221)</f>
        <v>0</v>
      </c>
      <c r="R219" s="187">
        <f>IF(데이터입력!AS221="",0,데이터입력!AS221)</f>
        <v>0</v>
      </c>
      <c r="S219" s="1260">
        <f>IF(데이터입력!AT221="",0,데이터입력!AT221)</f>
        <v>0</v>
      </c>
      <c r="T219" s="187">
        <f>IF(데이터입력!AU221="",0,데이터입력!AU221)</f>
        <v>0</v>
      </c>
      <c r="U219" s="186">
        <f>IF(데이터입력!AV221="",0,데이터입력!AV221)</f>
        <v>0</v>
      </c>
      <c r="V219" s="187">
        <f>IF(데이터입력!AW221="",0,데이터입력!AW221)</f>
        <v>0</v>
      </c>
      <c r="W219" s="1261">
        <f>IF(데이터입력!AX221="",0,데이터입력!AX221)</f>
        <v>0</v>
      </c>
      <c r="X219" s="931">
        <f>IF(데이터입력!AY221="",0,데이터입력!AY221)</f>
        <v>0</v>
      </c>
      <c r="Y219" s="931">
        <f>IF(데이터입력!AZ221="",0,데이터입력!AZ221)</f>
        <v>0</v>
      </c>
      <c r="Z219" s="599">
        <f>IF(데이터입력!BA221="",0,데이터입력!BA221)</f>
        <v>0</v>
      </c>
      <c r="AA219" s="935">
        <f>IF(데이터입력!BB221="",0,데이터입력!BB221)</f>
        <v>0</v>
      </c>
    </row>
    <row r="220" spans="1:27" hidden="1">
      <c r="A220" s="171">
        <f>IF(W220="","",SUBTOTAL(2,$W$11:W220))</f>
        <v>210</v>
      </c>
      <c r="B220" s="198" t="str">
        <f t="shared" si="10"/>
        <v>00</v>
      </c>
      <c r="C220" s="180" t="str">
        <f t="shared" si="11"/>
        <v/>
      </c>
      <c r="D220" s="180" t="str">
        <f t="shared" si="13"/>
        <v/>
      </c>
      <c r="E220" s="180" t="str">
        <f t="shared" si="13"/>
        <v/>
      </c>
      <c r="F220" s="181" t="str">
        <f t="shared" si="12"/>
        <v/>
      </c>
      <c r="G220" s="198" t="s">
        <v>485</v>
      </c>
      <c r="H220" s="198" t="s">
        <v>484</v>
      </c>
      <c r="I220" s="182">
        <f>IF(X220="","",X220*데이터입력!$Y$8)</f>
        <v>0</v>
      </c>
      <c r="J220" s="182">
        <f>R220*데이터입력!$Y$8</f>
        <v>0</v>
      </c>
      <c r="K220" s="182">
        <f>T220*데이터입력!$Y$8</f>
        <v>0</v>
      </c>
      <c r="L220" s="199">
        <f>IFERROR(U220*데이터입력!$Y$8,"")</f>
        <v>0</v>
      </c>
      <c r="M220" s="199">
        <f>IFERROR(V220*데이터입력!$Y$8,"")</f>
        <v>0</v>
      </c>
      <c r="N220" s="594"/>
      <c r="O220" s="184" t="str">
        <f>IF(데이터입력!AP222="","",데이터입력!AP222)</f>
        <v/>
      </c>
      <c r="P220" s="185" t="str">
        <f>IF(데이터입력!AQ222="","",데이터입력!AQ222)</f>
        <v/>
      </c>
      <c r="Q220" s="186">
        <f>IF(데이터입력!AR222="",0,데이터입력!AR222)</f>
        <v>0</v>
      </c>
      <c r="R220" s="187">
        <f>IF(데이터입력!AS222="",0,데이터입력!AS222)</f>
        <v>0</v>
      </c>
      <c r="S220" s="1260">
        <f>IF(데이터입력!AT222="",0,데이터입력!AT222)</f>
        <v>0</v>
      </c>
      <c r="T220" s="187">
        <f>IF(데이터입력!AU222="",0,데이터입력!AU222)</f>
        <v>0</v>
      </c>
      <c r="U220" s="186">
        <f>IF(데이터입력!AV222="",0,데이터입력!AV222)</f>
        <v>0</v>
      </c>
      <c r="V220" s="187">
        <f>IF(데이터입력!AW222="",0,데이터입력!AW222)</f>
        <v>0</v>
      </c>
      <c r="W220" s="1261">
        <f>IF(데이터입력!AX222="",0,데이터입력!AX222)</f>
        <v>0</v>
      </c>
      <c r="X220" s="931">
        <f>IF(데이터입력!AY222="",0,데이터입력!AY222)</f>
        <v>0</v>
      </c>
      <c r="Y220" s="931">
        <f>IF(데이터입력!AZ222="",0,데이터입력!AZ222)</f>
        <v>0</v>
      </c>
      <c r="Z220" s="599">
        <f>IF(데이터입력!BA222="",0,데이터입력!BA222)</f>
        <v>0</v>
      </c>
      <c r="AA220" s="935">
        <f>IF(데이터입력!BB222="",0,데이터입력!BB222)</f>
        <v>0</v>
      </c>
    </row>
    <row r="221" spans="1:27" hidden="1">
      <c r="A221" s="171">
        <f>IF(W221="","",SUBTOTAL(2,$W$11:W221))</f>
        <v>211</v>
      </c>
      <c r="B221" s="200" t="str">
        <f t="shared" si="10"/>
        <v>00</v>
      </c>
      <c r="C221" s="173" t="str">
        <f t="shared" si="11"/>
        <v/>
      </c>
      <c r="D221" s="201" t="str">
        <f t="shared" si="13"/>
        <v/>
      </c>
      <c r="E221" s="201" t="str">
        <f t="shared" si="13"/>
        <v/>
      </c>
      <c r="F221" s="174" t="str">
        <f t="shared" si="12"/>
        <v/>
      </c>
      <c r="G221" s="200" t="s">
        <v>485</v>
      </c>
      <c r="H221" s="200" t="s">
        <v>484</v>
      </c>
      <c r="I221" s="175">
        <f>IF(X221="","",X221*데이터입력!$Y$8)</f>
        <v>0</v>
      </c>
      <c r="J221" s="202">
        <f>R221*데이터입력!$Y$8</f>
        <v>0</v>
      </c>
      <c r="K221" s="202">
        <f>T221*데이터입력!$Y$8</f>
        <v>0</v>
      </c>
      <c r="L221" s="203">
        <f>IFERROR(U221*데이터입력!$Y$8,"")</f>
        <v>0</v>
      </c>
      <c r="M221" s="175">
        <f>IFERROR(V221*데이터입력!$Y$8,"")</f>
        <v>0</v>
      </c>
      <c r="N221" s="594"/>
      <c r="O221" s="184" t="str">
        <f>IF(데이터입력!AP223="","",데이터입력!AP223)</f>
        <v/>
      </c>
      <c r="P221" s="185" t="str">
        <f>IF(데이터입력!AQ223="","",데이터입력!AQ223)</f>
        <v/>
      </c>
      <c r="Q221" s="186">
        <f>IF(데이터입력!AR223="",0,데이터입력!AR223)</f>
        <v>0</v>
      </c>
      <c r="R221" s="187">
        <f>IF(데이터입력!AS223="",0,데이터입력!AS223)</f>
        <v>0</v>
      </c>
      <c r="S221" s="1260">
        <f>IF(데이터입력!AT223="",0,데이터입력!AT223)</f>
        <v>0</v>
      </c>
      <c r="T221" s="187">
        <f>IF(데이터입력!AU223="",0,데이터입력!AU223)</f>
        <v>0</v>
      </c>
      <c r="U221" s="186">
        <f>IF(데이터입력!AV223="",0,데이터입력!AV223)</f>
        <v>0</v>
      </c>
      <c r="V221" s="187">
        <f>IF(데이터입력!AW223="",0,데이터입력!AW223)</f>
        <v>0</v>
      </c>
      <c r="W221" s="1261">
        <f>IF(데이터입력!AX223="",0,데이터입력!AX223)</f>
        <v>0</v>
      </c>
      <c r="X221" s="931">
        <f>IF(데이터입력!AY223="",0,데이터입력!AY223)</f>
        <v>0</v>
      </c>
      <c r="Y221" s="931">
        <f>IF(데이터입력!AZ223="",0,데이터입력!AZ223)</f>
        <v>0</v>
      </c>
      <c r="Z221" s="599">
        <f>IF(데이터입력!BA223="",0,데이터입력!BA223)</f>
        <v>0</v>
      </c>
      <c r="AA221" s="935">
        <f>IF(데이터입력!BB223="",0,데이터입력!BB223)</f>
        <v>0</v>
      </c>
    </row>
    <row r="222" spans="1:27" hidden="1">
      <c r="A222" s="171">
        <f>IF(W222="","",SUBTOTAL(2,$W$11:W222))</f>
        <v>212</v>
      </c>
      <c r="B222" s="198" t="str">
        <f t="shared" si="10"/>
        <v>00</v>
      </c>
      <c r="C222" s="180" t="str">
        <f t="shared" si="11"/>
        <v/>
      </c>
      <c r="D222" s="180" t="str">
        <f t="shared" si="13"/>
        <v/>
      </c>
      <c r="E222" s="180" t="str">
        <f t="shared" si="13"/>
        <v/>
      </c>
      <c r="F222" s="181" t="str">
        <f t="shared" si="12"/>
        <v/>
      </c>
      <c r="G222" s="198" t="s">
        <v>485</v>
      </c>
      <c r="H222" s="198" t="s">
        <v>484</v>
      </c>
      <c r="I222" s="182">
        <f>IF(X222="","",X222*데이터입력!$Y$8)</f>
        <v>0</v>
      </c>
      <c r="J222" s="182">
        <f>R222*데이터입력!$Y$8</f>
        <v>0</v>
      </c>
      <c r="K222" s="182">
        <f>T222*데이터입력!$Y$8</f>
        <v>0</v>
      </c>
      <c r="L222" s="199">
        <f>IFERROR(U222*데이터입력!$Y$8,"")</f>
        <v>0</v>
      </c>
      <c r="M222" s="199">
        <f>IFERROR(V222*데이터입력!$Y$8,"")</f>
        <v>0</v>
      </c>
      <c r="N222" s="594"/>
      <c r="O222" s="184" t="str">
        <f>IF(데이터입력!AP224="","",데이터입력!AP224)</f>
        <v/>
      </c>
      <c r="P222" s="185" t="str">
        <f>IF(데이터입력!AQ224="","",데이터입력!AQ224)</f>
        <v/>
      </c>
      <c r="Q222" s="186">
        <f>IF(데이터입력!AR224="",0,데이터입력!AR224)</f>
        <v>0</v>
      </c>
      <c r="R222" s="187">
        <f>IF(데이터입력!AS224="",0,데이터입력!AS224)</f>
        <v>0</v>
      </c>
      <c r="S222" s="1260">
        <f>IF(데이터입력!AT224="",0,데이터입력!AT224)</f>
        <v>0</v>
      </c>
      <c r="T222" s="187">
        <f>IF(데이터입력!AU224="",0,데이터입력!AU224)</f>
        <v>0</v>
      </c>
      <c r="U222" s="186">
        <f>IF(데이터입력!AV224="",0,데이터입력!AV224)</f>
        <v>0</v>
      </c>
      <c r="V222" s="187">
        <f>IF(데이터입력!AW224="",0,데이터입력!AW224)</f>
        <v>0</v>
      </c>
      <c r="W222" s="1261">
        <f>IF(데이터입력!AX224="",0,데이터입력!AX224)</f>
        <v>0</v>
      </c>
      <c r="X222" s="931">
        <f>IF(데이터입력!AY224="",0,데이터입력!AY224)</f>
        <v>0</v>
      </c>
      <c r="Y222" s="931">
        <f>IF(데이터입력!AZ224="",0,데이터입력!AZ224)</f>
        <v>0</v>
      </c>
      <c r="Z222" s="599">
        <f>IF(데이터입력!BA224="",0,데이터입력!BA224)</f>
        <v>0</v>
      </c>
      <c r="AA222" s="935">
        <f>IF(데이터입력!BB224="",0,데이터입력!BB224)</f>
        <v>0</v>
      </c>
    </row>
    <row r="223" spans="1:27" hidden="1">
      <c r="A223" s="171">
        <f>IF(W223="","",SUBTOTAL(2,$W$11:W223))</f>
        <v>213</v>
      </c>
      <c r="B223" s="200" t="str">
        <f t="shared" si="10"/>
        <v>00</v>
      </c>
      <c r="C223" s="173" t="str">
        <f t="shared" si="11"/>
        <v/>
      </c>
      <c r="D223" s="201" t="str">
        <f t="shared" si="13"/>
        <v/>
      </c>
      <c r="E223" s="201" t="str">
        <f t="shared" si="13"/>
        <v/>
      </c>
      <c r="F223" s="174" t="str">
        <f t="shared" si="12"/>
        <v/>
      </c>
      <c r="G223" s="200" t="s">
        <v>485</v>
      </c>
      <c r="H223" s="200" t="s">
        <v>484</v>
      </c>
      <c r="I223" s="175">
        <f>IF(X223="","",X223*데이터입력!$Y$8)</f>
        <v>0</v>
      </c>
      <c r="J223" s="202">
        <f>R223*데이터입력!$Y$8</f>
        <v>0</v>
      </c>
      <c r="K223" s="202">
        <f>T223*데이터입력!$Y$8</f>
        <v>0</v>
      </c>
      <c r="L223" s="203">
        <f>IFERROR(U223*데이터입력!$Y$8,"")</f>
        <v>0</v>
      </c>
      <c r="M223" s="175">
        <f>IFERROR(V223*데이터입력!$Y$8,"")</f>
        <v>0</v>
      </c>
      <c r="N223" s="594"/>
      <c r="O223" s="184" t="str">
        <f>IF(데이터입력!AP225="","",데이터입력!AP225)</f>
        <v/>
      </c>
      <c r="P223" s="185" t="str">
        <f>IF(데이터입력!AQ225="","",데이터입력!AQ225)</f>
        <v/>
      </c>
      <c r="Q223" s="186">
        <f>IF(데이터입력!AR225="",0,데이터입력!AR225)</f>
        <v>0</v>
      </c>
      <c r="R223" s="187">
        <f>IF(데이터입력!AS225="",0,데이터입력!AS225)</f>
        <v>0</v>
      </c>
      <c r="S223" s="1260">
        <f>IF(데이터입력!AT225="",0,데이터입력!AT225)</f>
        <v>0</v>
      </c>
      <c r="T223" s="187">
        <f>IF(데이터입력!AU225="",0,데이터입력!AU225)</f>
        <v>0</v>
      </c>
      <c r="U223" s="186">
        <f>IF(데이터입력!AV225="",0,데이터입력!AV225)</f>
        <v>0</v>
      </c>
      <c r="V223" s="187">
        <f>IF(데이터입력!AW225="",0,데이터입력!AW225)</f>
        <v>0</v>
      </c>
      <c r="W223" s="1261">
        <f>IF(데이터입력!AX225="",0,데이터입력!AX225)</f>
        <v>0</v>
      </c>
      <c r="X223" s="931">
        <f>IF(데이터입력!AY225="",0,데이터입력!AY225)</f>
        <v>0</v>
      </c>
      <c r="Y223" s="931">
        <f>IF(데이터입력!AZ225="",0,데이터입력!AZ225)</f>
        <v>0</v>
      </c>
      <c r="Z223" s="599">
        <f>IF(데이터입력!BA225="",0,데이터입력!BA225)</f>
        <v>0</v>
      </c>
      <c r="AA223" s="935">
        <f>IF(데이터입력!BB225="",0,데이터입력!BB225)</f>
        <v>0</v>
      </c>
    </row>
    <row r="224" spans="1:27" hidden="1">
      <c r="A224" s="171">
        <f>IF(W224="","",SUBTOTAL(2,$W$11:W224))</f>
        <v>214</v>
      </c>
      <c r="B224" s="198" t="str">
        <f t="shared" si="10"/>
        <v>00</v>
      </c>
      <c r="C224" s="180" t="str">
        <f t="shared" si="11"/>
        <v/>
      </c>
      <c r="D224" s="180" t="str">
        <f t="shared" si="13"/>
        <v/>
      </c>
      <c r="E224" s="180" t="str">
        <f t="shared" si="13"/>
        <v/>
      </c>
      <c r="F224" s="181" t="str">
        <f t="shared" si="12"/>
        <v/>
      </c>
      <c r="G224" s="198" t="s">
        <v>485</v>
      </c>
      <c r="H224" s="198" t="s">
        <v>484</v>
      </c>
      <c r="I224" s="182">
        <f>IF(X224="","",X224*데이터입력!$Y$8)</f>
        <v>0</v>
      </c>
      <c r="J224" s="182">
        <f>R224*데이터입력!$Y$8</f>
        <v>0</v>
      </c>
      <c r="K224" s="182">
        <f>T224*데이터입력!$Y$8</f>
        <v>0</v>
      </c>
      <c r="L224" s="199">
        <f>IFERROR(U224*데이터입력!$Y$8,"")</f>
        <v>0</v>
      </c>
      <c r="M224" s="199">
        <f>IFERROR(V224*데이터입력!$Y$8,"")</f>
        <v>0</v>
      </c>
      <c r="N224" s="594"/>
      <c r="O224" s="184" t="str">
        <f>IF(데이터입력!AP226="","",데이터입력!AP226)</f>
        <v/>
      </c>
      <c r="P224" s="185" t="str">
        <f>IF(데이터입력!AQ226="","",데이터입력!AQ226)</f>
        <v/>
      </c>
      <c r="Q224" s="186">
        <f>IF(데이터입력!AR226="",0,데이터입력!AR226)</f>
        <v>0</v>
      </c>
      <c r="R224" s="187">
        <f>IF(데이터입력!AS226="",0,데이터입력!AS226)</f>
        <v>0</v>
      </c>
      <c r="S224" s="1260">
        <f>IF(데이터입력!AT226="",0,데이터입력!AT226)</f>
        <v>0</v>
      </c>
      <c r="T224" s="187">
        <f>IF(데이터입력!AU226="",0,데이터입력!AU226)</f>
        <v>0</v>
      </c>
      <c r="U224" s="186">
        <f>IF(데이터입력!AV226="",0,데이터입력!AV226)</f>
        <v>0</v>
      </c>
      <c r="V224" s="187">
        <f>IF(데이터입력!AW226="",0,데이터입력!AW226)</f>
        <v>0</v>
      </c>
      <c r="W224" s="1261">
        <f>IF(데이터입력!AX226="",0,데이터입력!AX226)</f>
        <v>0</v>
      </c>
      <c r="X224" s="931">
        <f>IF(데이터입력!AY226="",0,데이터입력!AY226)</f>
        <v>0</v>
      </c>
      <c r="Y224" s="931">
        <f>IF(데이터입력!AZ226="",0,데이터입력!AZ226)</f>
        <v>0</v>
      </c>
      <c r="Z224" s="599">
        <f>IF(데이터입력!BA226="",0,데이터입력!BA226)</f>
        <v>0</v>
      </c>
      <c r="AA224" s="935">
        <f>IF(데이터입력!BB226="",0,데이터입력!BB226)</f>
        <v>0</v>
      </c>
    </row>
    <row r="225" spans="1:27" hidden="1">
      <c r="A225" s="171">
        <f>IF(W225="","",SUBTOTAL(2,$W$11:W225))</f>
        <v>215</v>
      </c>
      <c r="B225" s="200" t="str">
        <f t="shared" si="10"/>
        <v>00</v>
      </c>
      <c r="C225" s="173" t="str">
        <f t="shared" si="11"/>
        <v/>
      </c>
      <c r="D225" s="201" t="str">
        <f t="shared" si="13"/>
        <v/>
      </c>
      <c r="E225" s="201" t="str">
        <f t="shared" si="13"/>
        <v/>
      </c>
      <c r="F225" s="174" t="str">
        <f t="shared" si="12"/>
        <v/>
      </c>
      <c r="G225" s="200" t="s">
        <v>485</v>
      </c>
      <c r="H225" s="200" t="s">
        <v>484</v>
      </c>
      <c r="I225" s="175">
        <f>IF(X225="","",X225*데이터입력!$Y$8)</f>
        <v>0</v>
      </c>
      <c r="J225" s="202">
        <f>R225*데이터입력!$Y$8</f>
        <v>0</v>
      </c>
      <c r="K225" s="202">
        <f>T225*데이터입력!$Y$8</f>
        <v>0</v>
      </c>
      <c r="L225" s="203">
        <f>IFERROR(U225*데이터입력!$Y$8,"")</f>
        <v>0</v>
      </c>
      <c r="M225" s="175">
        <f>IFERROR(V225*데이터입력!$Y$8,"")</f>
        <v>0</v>
      </c>
      <c r="N225" s="594"/>
      <c r="O225" s="184" t="str">
        <f>IF(데이터입력!AP227="","",데이터입력!AP227)</f>
        <v/>
      </c>
      <c r="P225" s="185" t="str">
        <f>IF(데이터입력!AQ227="","",데이터입력!AQ227)</f>
        <v/>
      </c>
      <c r="Q225" s="186">
        <f>IF(데이터입력!AR227="",0,데이터입력!AR227)</f>
        <v>0</v>
      </c>
      <c r="R225" s="187">
        <f>IF(데이터입력!AS227="",0,데이터입력!AS227)</f>
        <v>0</v>
      </c>
      <c r="S225" s="1260">
        <f>IF(데이터입력!AT227="",0,데이터입력!AT227)</f>
        <v>0</v>
      </c>
      <c r="T225" s="187">
        <f>IF(데이터입력!AU227="",0,데이터입력!AU227)</f>
        <v>0</v>
      </c>
      <c r="U225" s="186">
        <f>IF(데이터입력!AV227="",0,데이터입력!AV227)</f>
        <v>0</v>
      </c>
      <c r="V225" s="187">
        <f>IF(데이터입력!AW227="",0,데이터입력!AW227)</f>
        <v>0</v>
      </c>
      <c r="W225" s="1261">
        <f>IF(데이터입력!AX227="",0,데이터입력!AX227)</f>
        <v>0</v>
      </c>
      <c r="X225" s="931">
        <f>IF(데이터입력!AY227="",0,데이터입력!AY227)</f>
        <v>0</v>
      </c>
      <c r="Y225" s="931">
        <f>IF(데이터입력!AZ227="",0,데이터입력!AZ227)</f>
        <v>0</v>
      </c>
      <c r="Z225" s="599">
        <f>IF(데이터입력!BA227="",0,데이터입력!BA227)</f>
        <v>0</v>
      </c>
      <c r="AA225" s="935">
        <f>IF(데이터입력!BB227="",0,데이터입력!BB227)</f>
        <v>0</v>
      </c>
    </row>
    <row r="226" spans="1:27" hidden="1">
      <c r="A226" s="171">
        <f>IF(W226="","",SUBTOTAL(2,$W$11:W226))</f>
        <v>216</v>
      </c>
      <c r="B226" s="198" t="str">
        <f t="shared" si="10"/>
        <v>00</v>
      </c>
      <c r="C226" s="180" t="str">
        <f t="shared" si="11"/>
        <v/>
      </c>
      <c r="D226" s="180" t="str">
        <f t="shared" si="13"/>
        <v/>
      </c>
      <c r="E226" s="180" t="str">
        <f t="shared" si="13"/>
        <v/>
      </c>
      <c r="F226" s="181" t="str">
        <f t="shared" si="12"/>
        <v/>
      </c>
      <c r="G226" s="198" t="s">
        <v>485</v>
      </c>
      <c r="H226" s="198" t="s">
        <v>484</v>
      </c>
      <c r="I226" s="182">
        <f>IF(X226="","",X226*데이터입력!$Y$8)</f>
        <v>0</v>
      </c>
      <c r="J226" s="182">
        <f>R226*데이터입력!$Y$8</f>
        <v>0</v>
      </c>
      <c r="K226" s="182">
        <f>T226*데이터입력!$Y$8</f>
        <v>0</v>
      </c>
      <c r="L226" s="199">
        <f>IFERROR(U226*데이터입력!$Y$8,"")</f>
        <v>0</v>
      </c>
      <c r="M226" s="199">
        <f>IFERROR(V226*데이터입력!$Y$8,"")</f>
        <v>0</v>
      </c>
      <c r="N226" s="594"/>
      <c r="O226" s="184" t="str">
        <f>IF(데이터입력!AP228="","",데이터입력!AP228)</f>
        <v/>
      </c>
      <c r="P226" s="185" t="str">
        <f>IF(데이터입력!AQ228="","",데이터입력!AQ228)</f>
        <v/>
      </c>
      <c r="Q226" s="186">
        <f>IF(데이터입력!AR228="",0,데이터입력!AR228)</f>
        <v>0</v>
      </c>
      <c r="R226" s="187">
        <f>IF(데이터입력!AS228="",0,데이터입력!AS228)</f>
        <v>0</v>
      </c>
      <c r="S226" s="1260">
        <f>IF(데이터입력!AT228="",0,데이터입력!AT228)</f>
        <v>0</v>
      </c>
      <c r="T226" s="187">
        <f>IF(데이터입력!AU228="",0,데이터입력!AU228)</f>
        <v>0</v>
      </c>
      <c r="U226" s="186">
        <f>IF(데이터입력!AV228="",0,데이터입력!AV228)</f>
        <v>0</v>
      </c>
      <c r="V226" s="187">
        <f>IF(데이터입력!AW228="",0,데이터입력!AW228)</f>
        <v>0</v>
      </c>
      <c r="W226" s="1261">
        <f>IF(데이터입력!AX228="",0,데이터입력!AX228)</f>
        <v>0</v>
      </c>
      <c r="X226" s="931">
        <f>IF(데이터입력!AY228="",0,데이터입력!AY228)</f>
        <v>0</v>
      </c>
      <c r="Y226" s="931">
        <f>IF(데이터입력!AZ228="",0,데이터입력!AZ228)</f>
        <v>0</v>
      </c>
      <c r="Z226" s="599">
        <f>IF(데이터입력!BA228="",0,데이터입력!BA228)</f>
        <v>0</v>
      </c>
      <c r="AA226" s="935">
        <f>IF(데이터입력!BB228="",0,데이터입력!BB228)</f>
        <v>0</v>
      </c>
    </row>
    <row r="227" spans="1:27" hidden="1">
      <c r="A227" s="171">
        <f>IF(W227="","",SUBTOTAL(2,$W$11:W227))</f>
        <v>217</v>
      </c>
      <c r="B227" s="200" t="str">
        <f t="shared" si="10"/>
        <v>00</v>
      </c>
      <c r="C227" s="173" t="str">
        <f t="shared" si="11"/>
        <v/>
      </c>
      <c r="D227" s="201" t="str">
        <f t="shared" si="13"/>
        <v/>
      </c>
      <c r="E227" s="201" t="str">
        <f t="shared" si="13"/>
        <v/>
      </c>
      <c r="F227" s="174" t="str">
        <f t="shared" si="12"/>
        <v/>
      </c>
      <c r="G227" s="200" t="s">
        <v>485</v>
      </c>
      <c r="H227" s="200" t="s">
        <v>484</v>
      </c>
      <c r="I227" s="175">
        <f>IF(X227="","",X227*데이터입력!$Y$8)</f>
        <v>0</v>
      </c>
      <c r="J227" s="202">
        <f>R227*데이터입력!$Y$8</f>
        <v>0</v>
      </c>
      <c r="K227" s="202">
        <f>T227*데이터입력!$Y$8</f>
        <v>0</v>
      </c>
      <c r="L227" s="203">
        <f>IFERROR(U227*데이터입력!$Y$8,"")</f>
        <v>0</v>
      </c>
      <c r="M227" s="175">
        <f>IFERROR(V227*데이터입력!$Y$8,"")</f>
        <v>0</v>
      </c>
      <c r="N227" s="594"/>
      <c r="O227" s="184" t="str">
        <f>IF(데이터입력!AP229="","",데이터입력!AP229)</f>
        <v/>
      </c>
      <c r="P227" s="185" t="str">
        <f>IF(데이터입력!AQ229="","",데이터입력!AQ229)</f>
        <v/>
      </c>
      <c r="Q227" s="186">
        <f>IF(데이터입력!AR229="",0,데이터입력!AR229)</f>
        <v>0</v>
      </c>
      <c r="R227" s="187">
        <f>IF(데이터입력!AS229="",0,데이터입력!AS229)</f>
        <v>0</v>
      </c>
      <c r="S227" s="1260">
        <f>IF(데이터입력!AT229="",0,데이터입력!AT229)</f>
        <v>0</v>
      </c>
      <c r="T227" s="187">
        <f>IF(데이터입력!AU229="",0,데이터입력!AU229)</f>
        <v>0</v>
      </c>
      <c r="U227" s="186">
        <f>IF(데이터입력!AV229="",0,데이터입력!AV229)</f>
        <v>0</v>
      </c>
      <c r="V227" s="187">
        <f>IF(데이터입력!AW229="",0,데이터입력!AW229)</f>
        <v>0</v>
      </c>
      <c r="W227" s="1261">
        <f>IF(데이터입력!AX229="",0,데이터입력!AX229)</f>
        <v>0</v>
      </c>
      <c r="X227" s="931">
        <f>IF(데이터입력!AY229="",0,데이터입력!AY229)</f>
        <v>0</v>
      </c>
      <c r="Y227" s="931">
        <f>IF(데이터입력!AZ229="",0,데이터입력!AZ229)</f>
        <v>0</v>
      </c>
      <c r="Z227" s="599">
        <f>IF(데이터입력!BA229="",0,데이터입력!BA229)</f>
        <v>0</v>
      </c>
      <c r="AA227" s="935">
        <f>IF(데이터입력!BB229="",0,데이터입력!BB229)</f>
        <v>0</v>
      </c>
    </row>
    <row r="228" spans="1:27" hidden="1">
      <c r="A228" s="171">
        <f>IF(W228="","",SUBTOTAL(2,$W$11:W228))</f>
        <v>218</v>
      </c>
      <c r="B228" s="198" t="str">
        <f t="shared" si="10"/>
        <v>00</v>
      </c>
      <c r="C228" s="180" t="str">
        <f t="shared" si="11"/>
        <v/>
      </c>
      <c r="D228" s="180" t="str">
        <f t="shared" si="13"/>
        <v/>
      </c>
      <c r="E228" s="180" t="str">
        <f t="shared" si="13"/>
        <v/>
      </c>
      <c r="F228" s="181" t="str">
        <f t="shared" si="12"/>
        <v/>
      </c>
      <c r="G228" s="198" t="s">
        <v>485</v>
      </c>
      <c r="H228" s="198" t="s">
        <v>484</v>
      </c>
      <c r="I228" s="182">
        <f>IF(X228="","",X228*데이터입력!$Y$8)</f>
        <v>0</v>
      </c>
      <c r="J228" s="182">
        <f>R228*데이터입력!$Y$8</f>
        <v>0</v>
      </c>
      <c r="K228" s="182">
        <f>T228*데이터입력!$Y$8</f>
        <v>0</v>
      </c>
      <c r="L228" s="199">
        <f>IFERROR(U228*데이터입력!$Y$8,"")</f>
        <v>0</v>
      </c>
      <c r="M228" s="199">
        <f>IFERROR(V228*데이터입력!$Y$8,"")</f>
        <v>0</v>
      </c>
      <c r="N228" s="594"/>
      <c r="O228" s="184" t="str">
        <f>IF(데이터입력!AP230="","",데이터입력!AP230)</f>
        <v/>
      </c>
      <c r="P228" s="185" t="str">
        <f>IF(데이터입력!AQ230="","",데이터입력!AQ230)</f>
        <v/>
      </c>
      <c r="Q228" s="186">
        <f>IF(데이터입력!AR230="",0,데이터입력!AR230)</f>
        <v>0</v>
      </c>
      <c r="R228" s="187">
        <f>IF(데이터입력!AS230="",0,데이터입력!AS230)</f>
        <v>0</v>
      </c>
      <c r="S228" s="1260">
        <f>IF(데이터입력!AT230="",0,데이터입력!AT230)</f>
        <v>0</v>
      </c>
      <c r="T228" s="187">
        <f>IF(데이터입력!AU230="",0,데이터입력!AU230)</f>
        <v>0</v>
      </c>
      <c r="U228" s="186">
        <f>IF(데이터입력!AV230="",0,데이터입력!AV230)</f>
        <v>0</v>
      </c>
      <c r="V228" s="187">
        <f>IF(데이터입력!AW230="",0,데이터입력!AW230)</f>
        <v>0</v>
      </c>
      <c r="W228" s="1261">
        <f>IF(데이터입력!AX230="",0,데이터입력!AX230)</f>
        <v>0</v>
      </c>
      <c r="X228" s="931">
        <f>IF(데이터입력!AY230="",0,데이터입력!AY230)</f>
        <v>0</v>
      </c>
      <c r="Y228" s="931">
        <f>IF(데이터입력!AZ230="",0,데이터입력!AZ230)</f>
        <v>0</v>
      </c>
      <c r="Z228" s="599">
        <f>IF(데이터입력!BA230="",0,데이터입력!BA230)</f>
        <v>0</v>
      </c>
      <c r="AA228" s="935">
        <f>IF(데이터입력!BB230="",0,데이터입력!BB230)</f>
        <v>0</v>
      </c>
    </row>
    <row r="229" spans="1:27" hidden="1">
      <c r="A229" s="171">
        <f>IF(W229="","",SUBTOTAL(2,$W$11:W229))</f>
        <v>219</v>
      </c>
      <c r="B229" s="200" t="str">
        <f t="shared" si="10"/>
        <v>00</v>
      </c>
      <c r="C229" s="173" t="str">
        <f t="shared" si="11"/>
        <v/>
      </c>
      <c r="D229" s="201" t="str">
        <f t="shared" si="13"/>
        <v/>
      </c>
      <c r="E229" s="201" t="str">
        <f t="shared" si="13"/>
        <v/>
      </c>
      <c r="F229" s="174" t="str">
        <f t="shared" si="12"/>
        <v/>
      </c>
      <c r="G229" s="200" t="s">
        <v>485</v>
      </c>
      <c r="H229" s="200" t="s">
        <v>484</v>
      </c>
      <c r="I229" s="175">
        <f>IF(X229="","",X229*데이터입력!$Y$8)</f>
        <v>0</v>
      </c>
      <c r="J229" s="202">
        <f>R229*데이터입력!$Y$8</f>
        <v>0</v>
      </c>
      <c r="K229" s="202">
        <f>T229*데이터입력!$Y$8</f>
        <v>0</v>
      </c>
      <c r="L229" s="203">
        <f>IFERROR(U229*데이터입력!$Y$8,"")</f>
        <v>0</v>
      </c>
      <c r="M229" s="175">
        <f>IFERROR(V229*데이터입력!$Y$8,"")</f>
        <v>0</v>
      </c>
      <c r="N229" s="594"/>
      <c r="O229" s="184" t="str">
        <f>IF(데이터입력!AP231="","",데이터입력!AP231)</f>
        <v/>
      </c>
      <c r="P229" s="185" t="str">
        <f>IF(데이터입력!AQ231="","",데이터입력!AQ231)</f>
        <v/>
      </c>
      <c r="Q229" s="186">
        <f>IF(데이터입력!AR231="",0,데이터입력!AR231)</f>
        <v>0</v>
      </c>
      <c r="R229" s="187">
        <f>IF(데이터입력!AS231="",0,데이터입력!AS231)</f>
        <v>0</v>
      </c>
      <c r="S229" s="1260">
        <f>IF(데이터입력!AT231="",0,데이터입력!AT231)</f>
        <v>0</v>
      </c>
      <c r="T229" s="187">
        <f>IF(데이터입력!AU231="",0,데이터입력!AU231)</f>
        <v>0</v>
      </c>
      <c r="U229" s="186">
        <f>IF(데이터입력!AV231="",0,데이터입력!AV231)</f>
        <v>0</v>
      </c>
      <c r="V229" s="187">
        <f>IF(데이터입력!AW231="",0,데이터입력!AW231)</f>
        <v>0</v>
      </c>
      <c r="W229" s="1261">
        <f>IF(데이터입력!AX231="",0,데이터입력!AX231)</f>
        <v>0</v>
      </c>
      <c r="X229" s="931">
        <f>IF(데이터입력!AY231="",0,데이터입력!AY231)</f>
        <v>0</v>
      </c>
      <c r="Y229" s="931">
        <f>IF(데이터입력!AZ231="",0,데이터입력!AZ231)</f>
        <v>0</v>
      </c>
      <c r="Z229" s="599">
        <f>IF(데이터입력!BA231="",0,데이터입력!BA231)</f>
        <v>0</v>
      </c>
      <c r="AA229" s="935">
        <f>IF(데이터입력!BB231="",0,데이터입력!BB231)</f>
        <v>0</v>
      </c>
    </row>
    <row r="230" spans="1:27" hidden="1">
      <c r="A230" s="171">
        <f>IF(W230="","",SUBTOTAL(2,$W$11:W230))</f>
        <v>220</v>
      </c>
      <c r="B230" s="198" t="str">
        <f t="shared" si="10"/>
        <v>00</v>
      </c>
      <c r="C230" s="180" t="str">
        <f t="shared" si="11"/>
        <v/>
      </c>
      <c r="D230" s="180" t="str">
        <f t="shared" si="13"/>
        <v/>
      </c>
      <c r="E230" s="180" t="str">
        <f t="shared" si="13"/>
        <v/>
      </c>
      <c r="F230" s="181" t="str">
        <f t="shared" si="12"/>
        <v/>
      </c>
      <c r="G230" s="198" t="s">
        <v>485</v>
      </c>
      <c r="H230" s="198" t="s">
        <v>484</v>
      </c>
      <c r="I230" s="182">
        <f>IF(X230="","",X230*데이터입력!$Y$8)</f>
        <v>0</v>
      </c>
      <c r="J230" s="182">
        <f>R230*데이터입력!$Y$8</f>
        <v>0</v>
      </c>
      <c r="K230" s="182">
        <f>T230*데이터입력!$Y$8</f>
        <v>0</v>
      </c>
      <c r="L230" s="199">
        <f>IFERROR(U230*데이터입력!$Y$8,"")</f>
        <v>0</v>
      </c>
      <c r="M230" s="199">
        <f>IFERROR(V230*데이터입력!$Y$8,"")</f>
        <v>0</v>
      </c>
      <c r="N230" s="594"/>
      <c r="O230" s="184" t="str">
        <f>IF(데이터입력!AP232="","",데이터입력!AP232)</f>
        <v/>
      </c>
      <c r="P230" s="185" t="str">
        <f>IF(데이터입력!AQ232="","",데이터입력!AQ232)</f>
        <v/>
      </c>
      <c r="Q230" s="186">
        <f>IF(데이터입력!AR232="",0,데이터입력!AR232)</f>
        <v>0</v>
      </c>
      <c r="R230" s="187">
        <f>IF(데이터입력!AS232="",0,데이터입력!AS232)</f>
        <v>0</v>
      </c>
      <c r="S230" s="1260">
        <f>IF(데이터입력!AT232="",0,데이터입력!AT232)</f>
        <v>0</v>
      </c>
      <c r="T230" s="187">
        <f>IF(데이터입력!AU232="",0,데이터입력!AU232)</f>
        <v>0</v>
      </c>
      <c r="U230" s="186">
        <f>IF(데이터입력!AV232="",0,데이터입력!AV232)</f>
        <v>0</v>
      </c>
      <c r="V230" s="187">
        <f>IF(데이터입력!AW232="",0,데이터입력!AW232)</f>
        <v>0</v>
      </c>
      <c r="W230" s="1261">
        <f>IF(데이터입력!AX232="",0,데이터입력!AX232)</f>
        <v>0</v>
      </c>
      <c r="X230" s="931">
        <f>IF(데이터입력!AY232="",0,데이터입력!AY232)</f>
        <v>0</v>
      </c>
      <c r="Y230" s="931">
        <f>IF(데이터입력!AZ232="",0,데이터입력!AZ232)</f>
        <v>0</v>
      </c>
      <c r="Z230" s="599">
        <f>IF(데이터입력!BA232="",0,데이터입력!BA232)</f>
        <v>0</v>
      </c>
      <c r="AA230" s="935">
        <f>IF(데이터입력!BB232="",0,데이터입력!BB232)</f>
        <v>0</v>
      </c>
    </row>
    <row r="231" spans="1:27" hidden="1">
      <c r="A231" s="171">
        <f>IF(W231="","",SUBTOTAL(2,$W$11:W231))</f>
        <v>221</v>
      </c>
      <c r="B231" s="200" t="str">
        <f t="shared" si="10"/>
        <v>00</v>
      </c>
      <c r="C231" s="173" t="str">
        <f t="shared" si="11"/>
        <v/>
      </c>
      <c r="D231" s="201" t="str">
        <f t="shared" si="13"/>
        <v/>
      </c>
      <c r="E231" s="201" t="str">
        <f t="shared" si="13"/>
        <v/>
      </c>
      <c r="F231" s="174" t="str">
        <f t="shared" si="12"/>
        <v/>
      </c>
      <c r="G231" s="200" t="s">
        <v>485</v>
      </c>
      <c r="H231" s="200" t="s">
        <v>484</v>
      </c>
      <c r="I231" s="175">
        <f>IF(X231="","",X231*데이터입력!$Y$8)</f>
        <v>0</v>
      </c>
      <c r="J231" s="202">
        <f>R231*데이터입력!$Y$8</f>
        <v>0</v>
      </c>
      <c r="K231" s="202">
        <f>T231*데이터입력!$Y$8</f>
        <v>0</v>
      </c>
      <c r="L231" s="203">
        <f>IFERROR(U231*데이터입력!$Y$8,"")</f>
        <v>0</v>
      </c>
      <c r="M231" s="175">
        <f>IFERROR(V231*데이터입력!$Y$8,"")</f>
        <v>0</v>
      </c>
      <c r="N231" s="594"/>
      <c r="O231" s="184" t="str">
        <f>IF(데이터입력!AP233="","",데이터입력!AP233)</f>
        <v/>
      </c>
      <c r="P231" s="185" t="str">
        <f>IF(데이터입력!AQ233="","",데이터입력!AQ233)</f>
        <v/>
      </c>
      <c r="Q231" s="186">
        <f>IF(데이터입력!AR233="",0,데이터입력!AR233)</f>
        <v>0</v>
      </c>
      <c r="R231" s="187">
        <f>IF(데이터입력!AS233="",0,데이터입력!AS233)</f>
        <v>0</v>
      </c>
      <c r="S231" s="1260">
        <f>IF(데이터입력!AT233="",0,데이터입력!AT233)</f>
        <v>0</v>
      </c>
      <c r="T231" s="187">
        <f>IF(데이터입력!AU233="",0,데이터입력!AU233)</f>
        <v>0</v>
      </c>
      <c r="U231" s="186">
        <f>IF(데이터입력!AV233="",0,데이터입력!AV233)</f>
        <v>0</v>
      </c>
      <c r="V231" s="187">
        <f>IF(데이터입력!AW233="",0,데이터입력!AW233)</f>
        <v>0</v>
      </c>
      <c r="W231" s="1261">
        <f>IF(데이터입력!AX233="",0,데이터입력!AX233)</f>
        <v>0</v>
      </c>
      <c r="X231" s="931">
        <f>IF(데이터입력!AY233="",0,데이터입력!AY233)</f>
        <v>0</v>
      </c>
      <c r="Y231" s="931">
        <f>IF(데이터입력!AZ233="",0,데이터입력!AZ233)</f>
        <v>0</v>
      </c>
      <c r="Z231" s="599">
        <f>IF(데이터입력!BA233="",0,데이터입력!BA233)</f>
        <v>0</v>
      </c>
      <c r="AA231" s="935">
        <f>IF(데이터입력!BB233="",0,데이터입력!BB233)</f>
        <v>0</v>
      </c>
    </row>
    <row r="232" spans="1:27" hidden="1">
      <c r="A232" s="171">
        <f>IF(W232="","",SUBTOTAL(2,$W$11:W232))</f>
        <v>222</v>
      </c>
      <c r="B232" s="198" t="str">
        <f t="shared" si="10"/>
        <v>00</v>
      </c>
      <c r="C232" s="180" t="str">
        <f t="shared" si="11"/>
        <v/>
      </c>
      <c r="D232" s="180" t="str">
        <f t="shared" si="13"/>
        <v/>
      </c>
      <c r="E232" s="180" t="str">
        <f t="shared" si="13"/>
        <v/>
      </c>
      <c r="F232" s="181" t="str">
        <f t="shared" si="12"/>
        <v/>
      </c>
      <c r="G232" s="198" t="s">
        <v>485</v>
      </c>
      <c r="H232" s="198" t="s">
        <v>484</v>
      </c>
      <c r="I232" s="182">
        <f>IF(X232="","",X232*데이터입력!$Y$8)</f>
        <v>0</v>
      </c>
      <c r="J232" s="182">
        <f>R232*데이터입력!$Y$8</f>
        <v>0</v>
      </c>
      <c r="K232" s="182">
        <f>T232*데이터입력!$Y$8</f>
        <v>0</v>
      </c>
      <c r="L232" s="199">
        <f>IFERROR(U232*데이터입력!$Y$8,"")</f>
        <v>0</v>
      </c>
      <c r="M232" s="199">
        <f>IFERROR(V232*데이터입력!$Y$8,"")</f>
        <v>0</v>
      </c>
      <c r="N232" s="594"/>
      <c r="O232" s="184" t="str">
        <f>IF(데이터입력!AP234="","",데이터입력!AP234)</f>
        <v/>
      </c>
      <c r="P232" s="185" t="str">
        <f>IF(데이터입력!AQ234="","",데이터입력!AQ234)</f>
        <v/>
      </c>
      <c r="Q232" s="186">
        <f>IF(데이터입력!AR234="",0,데이터입력!AR234)</f>
        <v>0</v>
      </c>
      <c r="R232" s="187">
        <f>IF(데이터입력!AS234="",0,데이터입력!AS234)</f>
        <v>0</v>
      </c>
      <c r="S232" s="1260">
        <f>IF(데이터입력!AT234="",0,데이터입력!AT234)</f>
        <v>0</v>
      </c>
      <c r="T232" s="187">
        <f>IF(데이터입력!AU234="",0,데이터입력!AU234)</f>
        <v>0</v>
      </c>
      <c r="U232" s="186">
        <f>IF(데이터입력!AV234="",0,데이터입력!AV234)</f>
        <v>0</v>
      </c>
      <c r="V232" s="187">
        <f>IF(데이터입력!AW234="",0,데이터입력!AW234)</f>
        <v>0</v>
      </c>
      <c r="W232" s="1261">
        <f>IF(데이터입력!AX234="",0,데이터입력!AX234)</f>
        <v>0</v>
      </c>
      <c r="X232" s="931">
        <f>IF(데이터입력!AY234="",0,데이터입력!AY234)</f>
        <v>0</v>
      </c>
      <c r="Y232" s="931">
        <f>IF(데이터입력!AZ234="",0,데이터입력!AZ234)</f>
        <v>0</v>
      </c>
      <c r="Z232" s="599">
        <f>IF(데이터입력!BA234="",0,데이터입력!BA234)</f>
        <v>0</v>
      </c>
      <c r="AA232" s="935">
        <f>IF(데이터입력!BB234="",0,데이터입력!BB234)</f>
        <v>0</v>
      </c>
    </row>
    <row r="233" spans="1:27" hidden="1">
      <c r="A233" s="171">
        <f>IF(W233="","",SUBTOTAL(2,$W$11:W233))</f>
        <v>223</v>
      </c>
      <c r="B233" s="200" t="str">
        <f t="shared" si="10"/>
        <v>00</v>
      </c>
      <c r="C233" s="173" t="str">
        <f t="shared" si="11"/>
        <v/>
      </c>
      <c r="D233" s="201" t="str">
        <f t="shared" si="13"/>
        <v/>
      </c>
      <c r="E233" s="201" t="str">
        <f t="shared" si="13"/>
        <v/>
      </c>
      <c r="F233" s="174" t="str">
        <f t="shared" si="12"/>
        <v/>
      </c>
      <c r="G233" s="200" t="s">
        <v>485</v>
      </c>
      <c r="H233" s="200" t="s">
        <v>484</v>
      </c>
      <c r="I233" s="175">
        <f>IF(X233="","",X233*데이터입력!$Y$8)</f>
        <v>0</v>
      </c>
      <c r="J233" s="202">
        <f>R233*데이터입력!$Y$8</f>
        <v>0</v>
      </c>
      <c r="K233" s="202">
        <f>T233*데이터입력!$Y$8</f>
        <v>0</v>
      </c>
      <c r="L233" s="203">
        <f>IFERROR(U233*데이터입력!$Y$8,"")</f>
        <v>0</v>
      </c>
      <c r="M233" s="175">
        <f>IFERROR(V233*데이터입력!$Y$8,"")</f>
        <v>0</v>
      </c>
      <c r="N233" s="594"/>
      <c r="O233" s="184" t="str">
        <f>IF(데이터입력!AP235="","",데이터입력!AP235)</f>
        <v/>
      </c>
      <c r="P233" s="185" t="str">
        <f>IF(데이터입력!AQ235="","",데이터입력!AQ235)</f>
        <v/>
      </c>
      <c r="Q233" s="186">
        <f>IF(데이터입력!AR235="",0,데이터입력!AR235)</f>
        <v>0</v>
      </c>
      <c r="R233" s="187">
        <f>IF(데이터입력!AS235="",0,데이터입력!AS235)</f>
        <v>0</v>
      </c>
      <c r="S233" s="1260">
        <f>IF(데이터입력!AT235="",0,데이터입력!AT235)</f>
        <v>0</v>
      </c>
      <c r="T233" s="187">
        <f>IF(데이터입력!AU235="",0,데이터입력!AU235)</f>
        <v>0</v>
      </c>
      <c r="U233" s="186">
        <f>IF(데이터입력!AV235="",0,데이터입력!AV235)</f>
        <v>0</v>
      </c>
      <c r="V233" s="187">
        <f>IF(데이터입력!AW235="",0,데이터입력!AW235)</f>
        <v>0</v>
      </c>
      <c r="W233" s="1261">
        <f>IF(데이터입력!AX235="",0,데이터입력!AX235)</f>
        <v>0</v>
      </c>
      <c r="X233" s="931">
        <f>IF(데이터입력!AY235="",0,데이터입력!AY235)</f>
        <v>0</v>
      </c>
      <c r="Y233" s="931">
        <f>IF(데이터입력!AZ235="",0,데이터입력!AZ235)</f>
        <v>0</v>
      </c>
      <c r="Z233" s="599">
        <f>IF(데이터입력!BA235="",0,데이터입력!BA235)</f>
        <v>0</v>
      </c>
      <c r="AA233" s="935">
        <f>IF(데이터입력!BB235="",0,데이터입력!BB235)</f>
        <v>0</v>
      </c>
    </row>
    <row r="234" spans="1:27" hidden="1">
      <c r="A234" s="171">
        <f>IF(W234="","",SUBTOTAL(2,$W$11:W234))</f>
        <v>224</v>
      </c>
      <c r="B234" s="198" t="str">
        <f t="shared" si="10"/>
        <v>00</v>
      </c>
      <c r="C234" s="180" t="str">
        <f t="shared" si="11"/>
        <v/>
      </c>
      <c r="D234" s="180" t="str">
        <f t="shared" si="13"/>
        <v/>
      </c>
      <c r="E234" s="180" t="str">
        <f t="shared" si="13"/>
        <v/>
      </c>
      <c r="F234" s="181" t="str">
        <f t="shared" si="12"/>
        <v/>
      </c>
      <c r="G234" s="198" t="s">
        <v>485</v>
      </c>
      <c r="H234" s="198" t="s">
        <v>484</v>
      </c>
      <c r="I234" s="182">
        <f>IF(X234="","",X234*데이터입력!$Y$8)</f>
        <v>0</v>
      </c>
      <c r="J234" s="182">
        <f>R234*데이터입력!$Y$8</f>
        <v>0</v>
      </c>
      <c r="K234" s="182">
        <f>T234*데이터입력!$Y$8</f>
        <v>0</v>
      </c>
      <c r="L234" s="199">
        <f>IFERROR(U234*데이터입력!$Y$8,"")</f>
        <v>0</v>
      </c>
      <c r="M234" s="199">
        <f>IFERROR(V234*데이터입력!$Y$8,"")</f>
        <v>0</v>
      </c>
      <c r="N234" s="594"/>
      <c r="O234" s="184" t="str">
        <f>IF(데이터입력!AP236="","",데이터입력!AP236)</f>
        <v/>
      </c>
      <c r="P234" s="185" t="str">
        <f>IF(데이터입력!AQ236="","",데이터입력!AQ236)</f>
        <v/>
      </c>
      <c r="Q234" s="186">
        <f>IF(데이터입력!AR236="",0,데이터입력!AR236)</f>
        <v>0</v>
      </c>
      <c r="R234" s="187">
        <f>IF(데이터입력!AS236="",0,데이터입력!AS236)</f>
        <v>0</v>
      </c>
      <c r="S234" s="1260">
        <f>IF(데이터입력!AT236="",0,데이터입력!AT236)</f>
        <v>0</v>
      </c>
      <c r="T234" s="187">
        <f>IF(데이터입력!AU236="",0,데이터입력!AU236)</f>
        <v>0</v>
      </c>
      <c r="U234" s="186">
        <f>IF(데이터입력!AV236="",0,데이터입력!AV236)</f>
        <v>0</v>
      </c>
      <c r="V234" s="187">
        <f>IF(데이터입력!AW236="",0,데이터입력!AW236)</f>
        <v>0</v>
      </c>
      <c r="W234" s="1261">
        <f>IF(데이터입력!AX236="",0,데이터입력!AX236)</f>
        <v>0</v>
      </c>
      <c r="X234" s="931">
        <f>IF(데이터입력!AY236="",0,데이터입력!AY236)</f>
        <v>0</v>
      </c>
      <c r="Y234" s="931">
        <f>IF(데이터입력!AZ236="",0,데이터입력!AZ236)</f>
        <v>0</v>
      </c>
      <c r="Z234" s="599">
        <f>IF(데이터입력!BA236="",0,데이터입력!BA236)</f>
        <v>0</v>
      </c>
      <c r="AA234" s="935">
        <f>IF(데이터입력!BB236="",0,데이터입력!BB236)</f>
        <v>0</v>
      </c>
    </row>
    <row r="235" spans="1:27" hidden="1">
      <c r="A235" s="171">
        <f>IF(W235="","",SUBTOTAL(2,$W$11:W235))</f>
        <v>225</v>
      </c>
      <c r="B235" s="200" t="str">
        <f t="shared" si="10"/>
        <v>00</v>
      </c>
      <c r="C235" s="173" t="str">
        <f t="shared" si="11"/>
        <v/>
      </c>
      <c r="D235" s="201" t="str">
        <f t="shared" si="13"/>
        <v/>
      </c>
      <c r="E235" s="201" t="str">
        <f t="shared" si="13"/>
        <v/>
      </c>
      <c r="F235" s="174" t="str">
        <f t="shared" si="12"/>
        <v/>
      </c>
      <c r="G235" s="200" t="s">
        <v>485</v>
      </c>
      <c r="H235" s="200" t="s">
        <v>484</v>
      </c>
      <c r="I235" s="175">
        <f>IF(X235="","",X235*데이터입력!$Y$8)</f>
        <v>0</v>
      </c>
      <c r="J235" s="202">
        <f>R235*데이터입력!$Y$8</f>
        <v>0</v>
      </c>
      <c r="K235" s="202">
        <f>T235*데이터입력!$Y$8</f>
        <v>0</v>
      </c>
      <c r="L235" s="203">
        <f>IFERROR(U235*데이터입력!$Y$8,"")</f>
        <v>0</v>
      </c>
      <c r="M235" s="175">
        <f>IFERROR(V235*데이터입력!$Y$8,"")</f>
        <v>0</v>
      </c>
      <c r="N235" s="594"/>
      <c r="O235" s="184" t="str">
        <f>IF(데이터입력!AP237="","",데이터입력!AP237)</f>
        <v/>
      </c>
      <c r="P235" s="185" t="str">
        <f>IF(데이터입력!AQ237="","",데이터입력!AQ237)</f>
        <v/>
      </c>
      <c r="Q235" s="186">
        <f>IF(데이터입력!AR237="",0,데이터입력!AR237)</f>
        <v>0</v>
      </c>
      <c r="R235" s="187">
        <f>IF(데이터입력!AS237="",0,데이터입력!AS237)</f>
        <v>0</v>
      </c>
      <c r="S235" s="1260">
        <f>IF(데이터입력!AT237="",0,데이터입력!AT237)</f>
        <v>0</v>
      </c>
      <c r="T235" s="187">
        <f>IF(데이터입력!AU237="",0,데이터입력!AU237)</f>
        <v>0</v>
      </c>
      <c r="U235" s="186">
        <f>IF(데이터입력!AV237="",0,데이터입력!AV237)</f>
        <v>0</v>
      </c>
      <c r="V235" s="187">
        <f>IF(데이터입력!AW237="",0,데이터입력!AW237)</f>
        <v>0</v>
      </c>
      <c r="W235" s="1261">
        <f>IF(데이터입력!AX237="",0,데이터입력!AX237)</f>
        <v>0</v>
      </c>
      <c r="X235" s="931">
        <f>IF(데이터입력!AY237="",0,데이터입력!AY237)</f>
        <v>0</v>
      </c>
      <c r="Y235" s="931">
        <f>IF(데이터입력!AZ237="",0,데이터입력!AZ237)</f>
        <v>0</v>
      </c>
      <c r="Z235" s="599">
        <f>IF(데이터입력!BA237="",0,데이터입력!BA237)</f>
        <v>0</v>
      </c>
      <c r="AA235" s="935">
        <f>IF(데이터입력!BB237="",0,데이터입력!BB237)</f>
        <v>0</v>
      </c>
    </row>
    <row r="236" spans="1:27" hidden="1">
      <c r="A236" s="171">
        <f>IF(W236="","",SUBTOTAL(2,$W$11:W236))</f>
        <v>226</v>
      </c>
      <c r="B236" s="198" t="str">
        <f t="shared" si="10"/>
        <v>00</v>
      </c>
      <c r="C236" s="180" t="str">
        <f t="shared" si="11"/>
        <v/>
      </c>
      <c r="D236" s="180" t="str">
        <f t="shared" si="13"/>
        <v/>
      </c>
      <c r="E236" s="180" t="str">
        <f t="shared" si="13"/>
        <v/>
      </c>
      <c r="F236" s="181" t="str">
        <f t="shared" si="12"/>
        <v/>
      </c>
      <c r="G236" s="198" t="s">
        <v>485</v>
      </c>
      <c r="H236" s="198" t="s">
        <v>484</v>
      </c>
      <c r="I236" s="182">
        <f>IF(X236="","",X236*데이터입력!$Y$8)</f>
        <v>0</v>
      </c>
      <c r="J236" s="182">
        <f>R236*데이터입력!$Y$8</f>
        <v>0</v>
      </c>
      <c r="K236" s="182">
        <f>T236*데이터입력!$Y$8</f>
        <v>0</v>
      </c>
      <c r="L236" s="199">
        <f>IFERROR(U236*데이터입력!$Y$8,"")</f>
        <v>0</v>
      </c>
      <c r="M236" s="199">
        <f>IFERROR(V236*데이터입력!$Y$8,"")</f>
        <v>0</v>
      </c>
      <c r="N236" s="594"/>
      <c r="O236" s="184" t="str">
        <f>IF(데이터입력!AP238="","",데이터입력!AP238)</f>
        <v/>
      </c>
      <c r="P236" s="185" t="str">
        <f>IF(데이터입력!AQ238="","",데이터입력!AQ238)</f>
        <v/>
      </c>
      <c r="Q236" s="186">
        <f>IF(데이터입력!AR238="",0,데이터입력!AR238)</f>
        <v>0</v>
      </c>
      <c r="R236" s="187">
        <f>IF(데이터입력!AS238="",0,데이터입력!AS238)</f>
        <v>0</v>
      </c>
      <c r="S236" s="1260">
        <f>IF(데이터입력!AT238="",0,데이터입력!AT238)</f>
        <v>0</v>
      </c>
      <c r="T236" s="187">
        <f>IF(데이터입력!AU238="",0,데이터입력!AU238)</f>
        <v>0</v>
      </c>
      <c r="U236" s="186">
        <f>IF(데이터입력!AV238="",0,데이터입력!AV238)</f>
        <v>0</v>
      </c>
      <c r="V236" s="187">
        <f>IF(데이터입력!AW238="",0,데이터입력!AW238)</f>
        <v>0</v>
      </c>
      <c r="W236" s="1261">
        <f>IF(데이터입력!AX238="",0,데이터입력!AX238)</f>
        <v>0</v>
      </c>
      <c r="X236" s="931">
        <f>IF(데이터입력!AY238="",0,데이터입력!AY238)</f>
        <v>0</v>
      </c>
      <c r="Y236" s="931">
        <f>IF(데이터입력!AZ238="",0,데이터입력!AZ238)</f>
        <v>0</v>
      </c>
      <c r="Z236" s="599">
        <f>IF(데이터입력!BA238="",0,데이터입력!BA238)</f>
        <v>0</v>
      </c>
      <c r="AA236" s="935">
        <f>IF(데이터입력!BB238="",0,데이터입력!BB238)</f>
        <v>0</v>
      </c>
    </row>
    <row r="237" spans="1:27" hidden="1">
      <c r="A237" s="171">
        <f>IF(W237="","",SUBTOTAL(2,$W$11:W237))</f>
        <v>227</v>
      </c>
      <c r="B237" s="200" t="str">
        <f t="shared" si="10"/>
        <v>00</v>
      </c>
      <c r="C237" s="173" t="str">
        <f t="shared" si="11"/>
        <v/>
      </c>
      <c r="D237" s="201" t="str">
        <f t="shared" si="13"/>
        <v/>
      </c>
      <c r="E237" s="201" t="str">
        <f t="shared" si="13"/>
        <v/>
      </c>
      <c r="F237" s="174" t="str">
        <f t="shared" si="12"/>
        <v/>
      </c>
      <c r="G237" s="200" t="s">
        <v>485</v>
      </c>
      <c r="H237" s="200" t="s">
        <v>484</v>
      </c>
      <c r="I237" s="175">
        <f>IF(X237="","",X237*데이터입력!$Y$8)</f>
        <v>0</v>
      </c>
      <c r="J237" s="202">
        <f>R237*데이터입력!$Y$8</f>
        <v>0</v>
      </c>
      <c r="K237" s="202">
        <f>T237*데이터입력!$Y$8</f>
        <v>0</v>
      </c>
      <c r="L237" s="203">
        <f>IFERROR(U237*데이터입력!$Y$8,"")</f>
        <v>0</v>
      </c>
      <c r="M237" s="175">
        <f>IFERROR(V237*데이터입력!$Y$8,"")</f>
        <v>0</v>
      </c>
      <c r="N237" s="594"/>
      <c r="O237" s="184" t="str">
        <f>IF(데이터입력!AP239="","",데이터입력!AP239)</f>
        <v/>
      </c>
      <c r="P237" s="185" t="str">
        <f>IF(데이터입력!AQ239="","",데이터입력!AQ239)</f>
        <v/>
      </c>
      <c r="Q237" s="186">
        <f>IF(데이터입력!AR239="",0,데이터입력!AR239)</f>
        <v>0</v>
      </c>
      <c r="R237" s="187">
        <f>IF(데이터입력!AS239="",0,데이터입력!AS239)</f>
        <v>0</v>
      </c>
      <c r="S237" s="1260">
        <f>IF(데이터입력!AT239="",0,데이터입력!AT239)</f>
        <v>0</v>
      </c>
      <c r="T237" s="187">
        <f>IF(데이터입력!AU239="",0,데이터입력!AU239)</f>
        <v>0</v>
      </c>
      <c r="U237" s="186">
        <f>IF(데이터입력!AV239="",0,데이터입력!AV239)</f>
        <v>0</v>
      </c>
      <c r="V237" s="187">
        <f>IF(데이터입력!AW239="",0,데이터입력!AW239)</f>
        <v>0</v>
      </c>
      <c r="W237" s="1261">
        <f>IF(데이터입력!AX239="",0,데이터입력!AX239)</f>
        <v>0</v>
      </c>
      <c r="X237" s="931">
        <f>IF(데이터입력!AY239="",0,데이터입력!AY239)</f>
        <v>0</v>
      </c>
      <c r="Y237" s="931">
        <f>IF(데이터입력!AZ239="",0,데이터입력!AZ239)</f>
        <v>0</v>
      </c>
      <c r="Z237" s="599">
        <f>IF(데이터입력!BA239="",0,데이터입력!BA239)</f>
        <v>0</v>
      </c>
      <c r="AA237" s="935">
        <f>IF(데이터입력!BB239="",0,데이터입력!BB239)</f>
        <v>0</v>
      </c>
    </row>
    <row r="238" spans="1:27" hidden="1">
      <c r="A238" s="171">
        <f>IF(W238="","",SUBTOTAL(2,$W$11:W238))</f>
        <v>228</v>
      </c>
      <c r="B238" s="198" t="str">
        <f t="shared" si="10"/>
        <v>00</v>
      </c>
      <c r="C238" s="180" t="str">
        <f t="shared" si="11"/>
        <v/>
      </c>
      <c r="D238" s="180" t="str">
        <f t="shared" si="13"/>
        <v/>
      </c>
      <c r="E238" s="180" t="str">
        <f t="shared" si="13"/>
        <v/>
      </c>
      <c r="F238" s="181" t="str">
        <f t="shared" si="12"/>
        <v/>
      </c>
      <c r="G238" s="198" t="s">
        <v>485</v>
      </c>
      <c r="H238" s="198" t="s">
        <v>484</v>
      </c>
      <c r="I238" s="182">
        <f>IF(X238="","",X238*데이터입력!$Y$8)</f>
        <v>0</v>
      </c>
      <c r="J238" s="182">
        <f>R238*데이터입력!$Y$8</f>
        <v>0</v>
      </c>
      <c r="K238" s="182">
        <f>T238*데이터입력!$Y$8</f>
        <v>0</v>
      </c>
      <c r="L238" s="199">
        <f>IFERROR(U238*데이터입력!$Y$8,"")</f>
        <v>0</v>
      </c>
      <c r="M238" s="199">
        <f>IFERROR(V238*데이터입력!$Y$8,"")</f>
        <v>0</v>
      </c>
      <c r="N238" s="594"/>
      <c r="O238" s="184" t="str">
        <f>IF(데이터입력!AP240="","",데이터입력!AP240)</f>
        <v/>
      </c>
      <c r="P238" s="185" t="str">
        <f>IF(데이터입력!AQ240="","",데이터입력!AQ240)</f>
        <v/>
      </c>
      <c r="Q238" s="186">
        <f>IF(데이터입력!AR240="",0,데이터입력!AR240)</f>
        <v>0</v>
      </c>
      <c r="R238" s="187">
        <f>IF(데이터입력!AS240="",0,데이터입력!AS240)</f>
        <v>0</v>
      </c>
      <c r="S238" s="1260">
        <f>IF(데이터입력!AT240="",0,데이터입력!AT240)</f>
        <v>0</v>
      </c>
      <c r="T238" s="187">
        <f>IF(데이터입력!AU240="",0,데이터입력!AU240)</f>
        <v>0</v>
      </c>
      <c r="U238" s="186">
        <f>IF(데이터입력!AV240="",0,데이터입력!AV240)</f>
        <v>0</v>
      </c>
      <c r="V238" s="187">
        <f>IF(데이터입력!AW240="",0,데이터입력!AW240)</f>
        <v>0</v>
      </c>
      <c r="W238" s="1261">
        <f>IF(데이터입력!AX240="",0,데이터입력!AX240)</f>
        <v>0</v>
      </c>
      <c r="X238" s="931">
        <f>IF(데이터입력!AY240="",0,데이터입력!AY240)</f>
        <v>0</v>
      </c>
      <c r="Y238" s="931">
        <f>IF(데이터입력!AZ240="",0,데이터입력!AZ240)</f>
        <v>0</v>
      </c>
      <c r="Z238" s="599">
        <f>IF(데이터입력!BA240="",0,데이터입력!BA240)</f>
        <v>0</v>
      </c>
      <c r="AA238" s="935">
        <f>IF(데이터입력!BB240="",0,데이터입력!BB240)</f>
        <v>0</v>
      </c>
    </row>
    <row r="239" spans="1:27" hidden="1">
      <c r="A239" s="171">
        <f>IF(W239="","",SUBTOTAL(2,$W$11:W239))</f>
        <v>229</v>
      </c>
      <c r="B239" s="200" t="str">
        <f t="shared" si="10"/>
        <v>00</v>
      </c>
      <c r="C239" s="173" t="str">
        <f t="shared" si="11"/>
        <v/>
      </c>
      <c r="D239" s="201" t="str">
        <f t="shared" si="13"/>
        <v/>
      </c>
      <c r="E239" s="201" t="str">
        <f t="shared" si="13"/>
        <v/>
      </c>
      <c r="F239" s="174" t="str">
        <f t="shared" si="12"/>
        <v/>
      </c>
      <c r="G239" s="200" t="s">
        <v>485</v>
      </c>
      <c r="H239" s="200" t="s">
        <v>484</v>
      </c>
      <c r="I239" s="175">
        <f>IF(X239="","",X239*데이터입력!$Y$8)</f>
        <v>0</v>
      </c>
      <c r="J239" s="202">
        <f>R239*데이터입력!$Y$8</f>
        <v>0</v>
      </c>
      <c r="K239" s="202">
        <f>T239*데이터입력!$Y$8</f>
        <v>0</v>
      </c>
      <c r="L239" s="203">
        <f>IFERROR(U239*데이터입력!$Y$8,"")</f>
        <v>0</v>
      </c>
      <c r="M239" s="175">
        <f>IFERROR(V239*데이터입력!$Y$8,"")</f>
        <v>0</v>
      </c>
      <c r="N239" s="594"/>
      <c r="O239" s="184" t="str">
        <f>IF(데이터입력!AP241="","",데이터입력!AP241)</f>
        <v/>
      </c>
      <c r="P239" s="185" t="str">
        <f>IF(데이터입력!AQ241="","",데이터입력!AQ241)</f>
        <v/>
      </c>
      <c r="Q239" s="186">
        <f>IF(데이터입력!AR241="",0,데이터입력!AR241)</f>
        <v>0</v>
      </c>
      <c r="R239" s="187">
        <f>IF(데이터입력!AS241="",0,데이터입력!AS241)</f>
        <v>0</v>
      </c>
      <c r="S239" s="1260">
        <f>IF(데이터입력!AT241="",0,데이터입력!AT241)</f>
        <v>0</v>
      </c>
      <c r="T239" s="187">
        <f>IF(데이터입력!AU241="",0,데이터입력!AU241)</f>
        <v>0</v>
      </c>
      <c r="U239" s="186">
        <f>IF(데이터입력!AV241="",0,데이터입력!AV241)</f>
        <v>0</v>
      </c>
      <c r="V239" s="187">
        <f>IF(데이터입력!AW241="",0,데이터입력!AW241)</f>
        <v>0</v>
      </c>
      <c r="W239" s="1261">
        <f>IF(데이터입력!AX241="",0,데이터입력!AX241)</f>
        <v>0</v>
      </c>
      <c r="X239" s="931">
        <f>IF(데이터입력!AY241="",0,데이터입력!AY241)</f>
        <v>0</v>
      </c>
      <c r="Y239" s="931">
        <f>IF(데이터입력!AZ241="",0,데이터입력!AZ241)</f>
        <v>0</v>
      </c>
      <c r="Z239" s="599">
        <f>IF(데이터입력!BA241="",0,데이터입력!BA241)</f>
        <v>0</v>
      </c>
      <c r="AA239" s="935">
        <f>IF(데이터입력!BB241="",0,데이터입력!BB241)</f>
        <v>0</v>
      </c>
    </row>
    <row r="240" spans="1:27" hidden="1">
      <c r="A240" s="171">
        <f>IF(W240="","",SUBTOTAL(2,$W$11:W240))</f>
        <v>230</v>
      </c>
      <c r="B240" s="198" t="str">
        <f t="shared" si="10"/>
        <v>00</v>
      </c>
      <c r="C240" s="180" t="str">
        <f t="shared" si="11"/>
        <v/>
      </c>
      <c r="D240" s="180" t="str">
        <f t="shared" si="13"/>
        <v/>
      </c>
      <c r="E240" s="180" t="str">
        <f t="shared" si="13"/>
        <v/>
      </c>
      <c r="F240" s="181" t="str">
        <f t="shared" si="12"/>
        <v/>
      </c>
      <c r="G240" s="198" t="s">
        <v>485</v>
      </c>
      <c r="H240" s="198" t="s">
        <v>484</v>
      </c>
      <c r="I240" s="182">
        <f>IF(X240="","",X240*데이터입력!$Y$8)</f>
        <v>0</v>
      </c>
      <c r="J240" s="182">
        <f>R240*데이터입력!$Y$8</f>
        <v>0</v>
      </c>
      <c r="K240" s="182">
        <f>T240*데이터입력!$Y$8</f>
        <v>0</v>
      </c>
      <c r="L240" s="199">
        <f>IFERROR(U240*데이터입력!$Y$8,"")</f>
        <v>0</v>
      </c>
      <c r="M240" s="199">
        <f>IFERROR(V240*데이터입력!$Y$8,"")</f>
        <v>0</v>
      </c>
      <c r="N240" s="594"/>
      <c r="O240" s="184" t="str">
        <f>IF(데이터입력!AP242="","",데이터입력!AP242)</f>
        <v/>
      </c>
      <c r="P240" s="185" t="str">
        <f>IF(데이터입력!AQ242="","",데이터입력!AQ242)</f>
        <v/>
      </c>
      <c r="Q240" s="186">
        <f>IF(데이터입력!AR242="",0,데이터입력!AR242)</f>
        <v>0</v>
      </c>
      <c r="R240" s="187">
        <f>IF(데이터입력!AS242="",0,데이터입력!AS242)</f>
        <v>0</v>
      </c>
      <c r="S240" s="1260">
        <f>IF(데이터입력!AT242="",0,데이터입력!AT242)</f>
        <v>0</v>
      </c>
      <c r="T240" s="187">
        <f>IF(데이터입력!AU242="",0,데이터입력!AU242)</f>
        <v>0</v>
      </c>
      <c r="U240" s="186">
        <f>IF(데이터입력!AV242="",0,데이터입력!AV242)</f>
        <v>0</v>
      </c>
      <c r="V240" s="187">
        <f>IF(데이터입력!AW242="",0,데이터입력!AW242)</f>
        <v>0</v>
      </c>
      <c r="W240" s="1261">
        <f>IF(데이터입력!AX242="",0,데이터입력!AX242)</f>
        <v>0</v>
      </c>
      <c r="X240" s="931">
        <f>IF(데이터입력!AY242="",0,데이터입력!AY242)</f>
        <v>0</v>
      </c>
      <c r="Y240" s="931">
        <f>IF(데이터입력!AZ242="",0,데이터입력!AZ242)</f>
        <v>0</v>
      </c>
      <c r="Z240" s="599">
        <f>IF(데이터입력!BA242="",0,데이터입력!BA242)</f>
        <v>0</v>
      </c>
      <c r="AA240" s="935">
        <f>IF(데이터입력!BB242="",0,데이터입력!BB242)</f>
        <v>0</v>
      </c>
    </row>
    <row r="241" spans="1:27" hidden="1">
      <c r="A241" s="171">
        <f>IF(W241="","",SUBTOTAL(2,$W$11:W241))</f>
        <v>231</v>
      </c>
      <c r="B241" s="200" t="str">
        <f t="shared" si="10"/>
        <v>00</v>
      </c>
      <c r="C241" s="173" t="str">
        <f t="shared" si="11"/>
        <v/>
      </c>
      <c r="D241" s="201" t="str">
        <f t="shared" si="13"/>
        <v/>
      </c>
      <c r="E241" s="201" t="str">
        <f t="shared" si="13"/>
        <v/>
      </c>
      <c r="F241" s="174" t="str">
        <f t="shared" si="12"/>
        <v/>
      </c>
      <c r="G241" s="200" t="s">
        <v>485</v>
      </c>
      <c r="H241" s="200" t="s">
        <v>484</v>
      </c>
      <c r="I241" s="175">
        <f>IF(X241="","",X241*데이터입력!$Y$8)</f>
        <v>0</v>
      </c>
      <c r="J241" s="202">
        <f>R241*데이터입력!$Y$8</f>
        <v>0</v>
      </c>
      <c r="K241" s="202">
        <f>T241*데이터입력!$Y$8</f>
        <v>0</v>
      </c>
      <c r="L241" s="203">
        <f>IFERROR(U241*데이터입력!$Y$8,"")</f>
        <v>0</v>
      </c>
      <c r="M241" s="175">
        <f>IFERROR(V241*데이터입력!$Y$8,"")</f>
        <v>0</v>
      </c>
      <c r="N241" s="594"/>
      <c r="O241" s="184" t="str">
        <f>IF(데이터입력!AP243="","",데이터입력!AP243)</f>
        <v/>
      </c>
      <c r="P241" s="185" t="str">
        <f>IF(데이터입력!AQ243="","",데이터입력!AQ243)</f>
        <v/>
      </c>
      <c r="Q241" s="186">
        <f>IF(데이터입력!AR243="",0,데이터입력!AR243)</f>
        <v>0</v>
      </c>
      <c r="R241" s="187">
        <f>IF(데이터입력!AS243="",0,데이터입력!AS243)</f>
        <v>0</v>
      </c>
      <c r="S241" s="1260">
        <f>IF(데이터입력!AT243="",0,데이터입력!AT243)</f>
        <v>0</v>
      </c>
      <c r="T241" s="187">
        <f>IF(데이터입력!AU243="",0,데이터입력!AU243)</f>
        <v>0</v>
      </c>
      <c r="U241" s="186">
        <f>IF(데이터입력!AV243="",0,데이터입력!AV243)</f>
        <v>0</v>
      </c>
      <c r="V241" s="187">
        <f>IF(데이터입력!AW243="",0,데이터입력!AW243)</f>
        <v>0</v>
      </c>
      <c r="W241" s="1261">
        <f>IF(데이터입력!AX243="",0,데이터입력!AX243)</f>
        <v>0</v>
      </c>
      <c r="X241" s="931">
        <f>IF(데이터입력!AY243="",0,데이터입력!AY243)</f>
        <v>0</v>
      </c>
      <c r="Y241" s="931">
        <f>IF(데이터입력!AZ243="",0,데이터입력!AZ243)</f>
        <v>0</v>
      </c>
      <c r="Z241" s="599">
        <f>IF(데이터입력!BA243="",0,데이터입력!BA243)</f>
        <v>0</v>
      </c>
      <c r="AA241" s="935">
        <f>IF(데이터입력!BB243="",0,데이터입력!BB243)</f>
        <v>0</v>
      </c>
    </row>
    <row r="242" spans="1:27" hidden="1">
      <c r="A242" s="171">
        <f>IF(W242="","",SUBTOTAL(2,$W$11:W242))</f>
        <v>232</v>
      </c>
      <c r="B242" s="198" t="str">
        <f t="shared" si="10"/>
        <v>00</v>
      </c>
      <c r="C242" s="180" t="str">
        <f t="shared" si="11"/>
        <v/>
      </c>
      <c r="D242" s="180" t="str">
        <f t="shared" si="13"/>
        <v/>
      </c>
      <c r="E242" s="180" t="str">
        <f t="shared" si="13"/>
        <v/>
      </c>
      <c r="F242" s="181" t="str">
        <f t="shared" si="12"/>
        <v/>
      </c>
      <c r="G242" s="198" t="s">
        <v>485</v>
      </c>
      <c r="H242" s="198" t="s">
        <v>484</v>
      </c>
      <c r="I242" s="182">
        <f>IF(X242="","",X242*데이터입력!$Y$8)</f>
        <v>0</v>
      </c>
      <c r="J242" s="182">
        <f>R242*데이터입력!$Y$8</f>
        <v>0</v>
      </c>
      <c r="K242" s="182">
        <f>T242*데이터입력!$Y$8</f>
        <v>0</v>
      </c>
      <c r="L242" s="199">
        <f>IFERROR(U242*데이터입력!$Y$8,"")</f>
        <v>0</v>
      </c>
      <c r="M242" s="199">
        <f>IFERROR(V242*데이터입력!$Y$8,"")</f>
        <v>0</v>
      </c>
      <c r="N242" s="594"/>
      <c r="O242" s="184" t="str">
        <f>IF(데이터입력!AP244="","",데이터입력!AP244)</f>
        <v/>
      </c>
      <c r="P242" s="185" t="str">
        <f>IF(데이터입력!AQ244="","",데이터입력!AQ244)</f>
        <v/>
      </c>
      <c r="Q242" s="186">
        <f>IF(데이터입력!AR244="",0,데이터입력!AR244)</f>
        <v>0</v>
      </c>
      <c r="R242" s="187">
        <f>IF(데이터입력!AS244="",0,데이터입력!AS244)</f>
        <v>0</v>
      </c>
      <c r="S242" s="1260">
        <f>IF(데이터입력!AT244="",0,데이터입력!AT244)</f>
        <v>0</v>
      </c>
      <c r="T242" s="187">
        <f>IF(데이터입력!AU244="",0,데이터입력!AU244)</f>
        <v>0</v>
      </c>
      <c r="U242" s="186">
        <f>IF(데이터입력!AV244="",0,데이터입력!AV244)</f>
        <v>0</v>
      </c>
      <c r="V242" s="187">
        <f>IF(데이터입력!AW244="",0,데이터입력!AW244)</f>
        <v>0</v>
      </c>
      <c r="W242" s="1261">
        <f>IF(데이터입력!AX244="",0,데이터입력!AX244)</f>
        <v>0</v>
      </c>
      <c r="X242" s="931">
        <f>IF(데이터입력!AY244="",0,데이터입력!AY244)</f>
        <v>0</v>
      </c>
      <c r="Y242" s="931">
        <f>IF(데이터입력!AZ244="",0,데이터입력!AZ244)</f>
        <v>0</v>
      </c>
      <c r="Z242" s="599">
        <f>IF(데이터입력!BA244="",0,데이터입력!BA244)</f>
        <v>0</v>
      </c>
      <c r="AA242" s="935">
        <f>IF(데이터입력!BB244="",0,데이터입력!BB244)</f>
        <v>0</v>
      </c>
    </row>
    <row r="243" spans="1:27" hidden="1">
      <c r="A243" s="171">
        <f>IF(W243="","",SUBTOTAL(2,$W$11:W243))</f>
        <v>233</v>
      </c>
      <c r="B243" s="200" t="str">
        <f t="shared" si="10"/>
        <v>00</v>
      </c>
      <c r="C243" s="173" t="str">
        <f t="shared" si="11"/>
        <v/>
      </c>
      <c r="D243" s="201" t="str">
        <f t="shared" si="13"/>
        <v/>
      </c>
      <c r="E243" s="201" t="str">
        <f t="shared" si="13"/>
        <v/>
      </c>
      <c r="F243" s="174" t="str">
        <f t="shared" si="12"/>
        <v/>
      </c>
      <c r="G243" s="200" t="s">
        <v>485</v>
      </c>
      <c r="H243" s="200" t="s">
        <v>484</v>
      </c>
      <c r="I243" s="175">
        <f>IF(X243="","",X243*데이터입력!$Y$8)</f>
        <v>0</v>
      </c>
      <c r="J243" s="202">
        <f>R243*데이터입력!$Y$8</f>
        <v>0</v>
      </c>
      <c r="K243" s="202">
        <f>T243*데이터입력!$Y$8</f>
        <v>0</v>
      </c>
      <c r="L243" s="203">
        <f>IFERROR(U243*데이터입력!$Y$8,"")</f>
        <v>0</v>
      </c>
      <c r="M243" s="175">
        <f>IFERROR(V243*데이터입력!$Y$8,"")</f>
        <v>0</v>
      </c>
      <c r="N243" s="594"/>
      <c r="O243" s="184" t="str">
        <f>IF(데이터입력!AP245="","",데이터입력!AP245)</f>
        <v/>
      </c>
      <c r="P243" s="185" t="str">
        <f>IF(데이터입력!AQ245="","",데이터입력!AQ245)</f>
        <v/>
      </c>
      <c r="Q243" s="186">
        <f>IF(데이터입력!AR245="",0,데이터입력!AR245)</f>
        <v>0</v>
      </c>
      <c r="R243" s="187">
        <f>IF(데이터입력!AS245="",0,데이터입력!AS245)</f>
        <v>0</v>
      </c>
      <c r="S243" s="1260">
        <f>IF(데이터입력!AT245="",0,데이터입력!AT245)</f>
        <v>0</v>
      </c>
      <c r="T243" s="187">
        <f>IF(데이터입력!AU245="",0,데이터입력!AU245)</f>
        <v>0</v>
      </c>
      <c r="U243" s="186">
        <f>IF(데이터입력!AV245="",0,데이터입력!AV245)</f>
        <v>0</v>
      </c>
      <c r="V243" s="187">
        <f>IF(데이터입력!AW245="",0,데이터입력!AW245)</f>
        <v>0</v>
      </c>
      <c r="W243" s="1261">
        <f>IF(데이터입력!AX245="",0,데이터입력!AX245)</f>
        <v>0</v>
      </c>
      <c r="X243" s="931">
        <f>IF(데이터입력!AY245="",0,데이터입력!AY245)</f>
        <v>0</v>
      </c>
      <c r="Y243" s="931">
        <f>IF(데이터입력!AZ245="",0,데이터입력!AZ245)</f>
        <v>0</v>
      </c>
      <c r="Z243" s="599">
        <f>IF(데이터입력!BA245="",0,데이터입력!BA245)</f>
        <v>0</v>
      </c>
      <c r="AA243" s="935">
        <f>IF(데이터입력!BB245="",0,데이터입력!BB245)</f>
        <v>0</v>
      </c>
    </row>
    <row r="244" spans="1:27" hidden="1">
      <c r="A244" s="171">
        <f>IF(W244="","",SUBTOTAL(2,$W$11:W244))</f>
        <v>234</v>
      </c>
      <c r="B244" s="198" t="str">
        <f t="shared" si="10"/>
        <v>00</v>
      </c>
      <c r="C244" s="180" t="str">
        <f t="shared" si="11"/>
        <v/>
      </c>
      <c r="D244" s="180" t="str">
        <f t="shared" si="13"/>
        <v/>
      </c>
      <c r="E244" s="180" t="str">
        <f t="shared" si="13"/>
        <v/>
      </c>
      <c r="F244" s="181" t="str">
        <f t="shared" si="12"/>
        <v/>
      </c>
      <c r="G244" s="198" t="s">
        <v>485</v>
      </c>
      <c r="H244" s="198" t="s">
        <v>484</v>
      </c>
      <c r="I244" s="182">
        <f>IF(X244="","",X244*데이터입력!$Y$8)</f>
        <v>0</v>
      </c>
      <c r="J244" s="182">
        <f>R244*데이터입력!$Y$8</f>
        <v>0</v>
      </c>
      <c r="K244" s="182">
        <f>T244*데이터입력!$Y$8</f>
        <v>0</v>
      </c>
      <c r="L244" s="199">
        <f>IFERROR(U244*데이터입력!$Y$8,"")</f>
        <v>0</v>
      </c>
      <c r="M244" s="199">
        <f>IFERROR(V244*데이터입력!$Y$8,"")</f>
        <v>0</v>
      </c>
      <c r="N244" s="594"/>
      <c r="O244" s="184" t="str">
        <f>IF(데이터입력!AP246="","",데이터입력!AP246)</f>
        <v/>
      </c>
      <c r="P244" s="185" t="str">
        <f>IF(데이터입력!AQ246="","",데이터입력!AQ246)</f>
        <v/>
      </c>
      <c r="Q244" s="186">
        <f>IF(데이터입력!AR246="",0,데이터입력!AR246)</f>
        <v>0</v>
      </c>
      <c r="R244" s="187">
        <f>IF(데이터입력!AS246="",0,데이터입력!AS246)</f>
        <v>0</v>
      </c>
      <c r="S244" s="1260">
        <f>IF(데이터입력!AT246="",0,데이터입력!AT246)</f>
        <v>0</v>
      </c>
      <c r="T244" s="187">
        <f>IF(데이터입력!AU246="",0,데이터입력!AU246)</f>
        <v>0</v>
      </c>
      <c r="U244" s="186">
        <f>IF(데이터입력!AV246="",0,데이터입력!AV246)</f>
        <v>0</v>
      </c>
      <c r="V244" s="187">
        <f>IF(데이터입력!AW246="",0,데이터입력!AW246)</f>
        <v>0</v>
      </c>
      <c r="W244" s="1261">
        <f>IF(데이터입력!AX246="",0,데이터입력!AX246)</f>
        <v>0</v>
      </c>
      <c r="X244" s="931">
        <f>IF(데이터입력!AY246="",0,데이터입력!AY246)</f>
        <v>0</v>
      </c>
      <c r="Y244" s="931">
        <f>IF(데이터입력!AZ246="",0,데이터입력!AZ246)</f>
        <v>0</v>
      </c>
      <c r="Z244" s="599">
        <f>IF(데이터입력!BA246="",0,데이터입력!BA246)</f>
        <v>0</v>
      </c>
      <c r="AA244" s="935">
        <f>IF(데이터입력!BB246="",0,데이터입력!BB246)</f>
        <v>0</v>
      </c>
    </row>
    <row r="245" spans="1:27" hidden="1">
      <c r="A245" s="171">
        <f>IF(W245="","",SUBTOTAL(2,$W$11:W245))</f>
        <v>235</v>
      </c>
      <c r="B245" s="200" t="str">
        <f t="shared" si="10"/>
        <v>00</v>
      </c>
      <c r="C245" s="173" t="str">
        <f t="shared" si="11"/>
        <v/>
      </c>
      <c r="D245" s="201" t="str">
        <f t="shared" si="13"/>
        <v/>
      </c>
      <c r="E245" s="201" t="str">
        <f t="shared" si="13"/>
        <v/>
      </c>
      <c r="F245" s="174" t="str">
        <f t="shared" si="12"/>
        <v/>
      </c>
      <c r="G245" s="200" t="s">
        <v>485</v>
      </c>
      <c r="H245" s="200" t="s">
        <v>484</v>
      </c>
      <c r="I245" s="175">
        <f>IF(X245="","",X245*데이터입력!$Y$8)</f>
        <v>0</v>
      </c>
      <c r="J245" s="202">
        <f>R245*데이터입력!$Y$8</f>
        <v>0</v>
      </c>
      <c r="K245" s="202">
        <f>T245*데이터입력!$Y$8</f>
        <v>0</v>
      </c>
      <c r="L245" s="203">
        <f>IFERROR(U245*데이터입력!$Y$8,"")</f>
        <v>0</v>
      </c>
      <c r="M245" s="175">
        <f>IFERROR(V245*데이터입력!$Y$8,"")</f>
        <v>0</v>
      </c>
      <c r="N245" s="594"/>
      <c r="O245" s="184" t="str">
        <f>IF(데이터입력!AP247="","",데이터입력!AP247)</f>
        <v/>
      </c>
      <c r="P245" s="185" t="str">
        <f>IF(데이터입력!AQ247="","",데이터입력!AQ247)</f>
        <v/>
      </c>
      <c r="Q245" s="186">
        <f>IF(데이터입력!AR247="",0,데이터입력!AR247)</f>
        <v>0</v>
      </c>
      <c r="R245" s="187">
        <f>IF(데이터입력!AS247="",0,데이터입력!AS247)</f>
        <v>0</v>
      </c>
      <c r="S245" s="1260">
        <f>IF(데이터입력!AT247="",0,데이터입력!AT247)</f>
        <v>0</v>
      </c>
      <c r="T245" s="187">
        <f>IF(데이터입력!AU247="",0,데이터입력!AU247)</f>
        <v>0</v>
      </c>
      <c r="U245" s="186">
        <f>IF(데이터입력!AV247="",0,데이터입력!AV247)</f>
        <v>0</v>
      </c>
      <c r="V245" s="187">
        <f>IF(데이터입력!AW247="",0,데이터입력!AW247)</f>
        <v>0</v>
      </c>
      <c r="W245" s="1261">
        <f>IF(데이터입력!AX247="",0,데이터입력!AX247)</f>
        <v>0</v>
      </c>
      <c r="X245" s="931">
        <f>IF(데이터입력!AY247="",0,데이터입력!AY247)</f>
        <v>0</v>
      </c>
      <c r="Y245" s="931">
        <f>IF(데이터입력!AZ247="",0,데이터입력!AZ247)</f>
        <v>0</v>
      </c>
      <c r="Z245" s="599">
        <f>IF(데이터입력!BA247="",0,데이터입력!BA247)</f>
        <v>0</v>
      </c>
      <c r="AA245" s="935">
        <f>IF(데이터입력!BB247="",0,데이터입력!BB247)</f>
        <v>0</v>
      </c>
    </row>
    <row r="246" spans="1:27" hidden="1">
      <c r="A246" s="171">
        <f>IF(W246="","",SUBTOTAL(2,$W$11:W246))</f>
        <v>236</v>
      </c>
      <c r="B246" s="198" t="str">
        <f t="shared" si="10"/>
        <v>00</v>
      </c>
      <c r="C246" s="180" t="str">
        <f t="shared" si="11"/>
        <v/>
      </c>
      <c r="D246" s="180" t="str">
        <f t="shared" si="13"/>
        <v/>
      </c>
      <c r="E246" s="180" t="str">
        <f t="shared" si="13"/>
        <v/>
      </c>
      <c r="F246" s="181" t="str">
        <f t="shared" si="12"/>
        <v/>
      </c>
      <c r="G246" s="198" t="s">
        <v>485</v>
      </c>
      <c r="H246" s="198" t="s">
        <v>484</v>
      </c>
      <c r="I246" s="182">
        <f>IF(X246="","",X246*데이터입력!$Y$8)</f>
        <v>0</v>
      </c>
      <c r="J246" s="182">
        <f>R246*데이터입력!$Y$8</f>
        <v>0</v>
      </c>
      <c r="K246" s="182">
        <f>T246*데이터입력!$Y$8</f>
        <v>0</v>
      </c>
      <c r="L246" s="199">
        <f>IFERROR(U246*데이터입력!$Y$8,"")</f>
        <v>0</v>
      </c>
      <c r="M246" s="199">
        <f>IFERROR(V246*데이터입력!$Y$8,"")</f>
        <v>0</v>
      </c>
      <c r="N246" s="594"/>
      <c r="O246" s="184" t="str">
        <f>IF(데이터입력!AP248="","",데이터입력!AP248)</f>
        <v/>
      </c>
      <c r="P246" s="185" t="str">
        <f>IF(데이터입력!AQ248="","",데이터입력!AQ248)</f>
        <v/>
      </c>
      <c r="Q246" s="186">
        <f>IF(데이터입력!AR248="",0,데이터입력!AR248)</f>
        <v>0</v>
      </c>
      <c r="R246" s="187">
        <f>IF(데이터입력!AS248="",0,데이터입력!AS248)</f>
        <v>0</v>
      </c>
      <c r="S246" s="1260">
        <f>IF(데이터입력!AT248="",0,데이터입력!AT248)</f>
        <v>0</v>
      </c>
      <c r="T246" s="187">
        <f>IF(데이터입력!AU248="",0,데이터입력!AU248)</f>
        <v>0</v>
      </c>
      <c r="U246" s="186">
        <f>IF(데이터입력!AV248="",0,데이터입력!AV248)</f>
        <v>0</v>
      </c>
      <c r="V246" s="187">
        <f>IF(데이터입력!AW248="",0,데이터입력!AW248)</f>
        <v>0</v>
      </c>
      <c r="W246" s="1261">
        <f>IF(데이터입력!AX248="",0,데이터입력!AX248)</f>
        <v>0</v>
      </c>
      <c r="X246" s="931">
        <f>IF(데이터입력!AY248="",0,데이터입력!AY248)</f>
        <v>0</v>
      </c>
      <c r="Y246" s="931">
        <f>IF(데이터입력!AZ248="",0,데이터입력!AZ248)</f>
        <v>0</v>
      </c>
      <c r="Z246" s="599">
        <f>IF(데이터입력!BA248="",0,데이터입력!BA248)</f>
        <v>0</v>
      </c>
      <c r="AA246" s="935">
        <f>IF(데이터입력!BB248="",0,데이터입력!BB248)</f>
        <v>0</v>
      </c>
    </row>
    <row r="247" spans="1:27" hidden="1">
      <c r="A247" s="171">
        <f>IF(W247="","",SUBTOTAL(2,$W$11:W247))</f>
        <v>237</v>
      </c>
      <c r="B247" s="200" t="str">
        <f t="shared" si="10"/>
        <v>00</v>
      </c>
      <c r="C247" s="173" t="str">
        <f t="shared" si="11"/>
        <v/>
      </c>
      <c r="D247" s="201" t="str">
        <f t="shared" si="13"/>
        <v/>
      </c>
      <c r="E247" s="201" t="str">
        <f t="shared" si="13"/>
        <v/>
      </c>
      <c r="F247" s="174" t="str">
        <f t="shared" si="12"/>
        <v/>
      </c>
      <c r="G247" s="200" t="s">
        <v>485</v>
      </c>
      <c r="H247" s="200" t="s">
        <v>484</v>
      </c>
      <c r="I247" s="175">
        <f>IF(X247="","",X247*데이터입력!$Y$8)</f>
        <v>0</v>
      </c>
      <c r="J247" s="202">
        <f>R247*데이터입력!$Y$8</f>
        <v>0</v>
      </c>
      <c r="K247" s="202">
        <f>T247*데이터입력!$Y$8</f>
        <v>0</v>
      </c>
      <c r="L247" s="203">
        <f>IFERROR(U247*데이터입력!$Y$8,"")</f>
        <v>0</v>
      </c>
      <c r="M247" s="175">
        <f>IFERROR(V247*데이터입력!$Y$8,"")</f>
        <v>0</v>
      </c>
      <c r="N247" s="594"/>
      <c r="O247" s="184" t="str">
        <f>IF(데이터입력!AP249="","",데이터입력!AP249)</f>
        <v/>
      </c>
      <c r="P247" s="185" t="str">
        <f>IF(데이터입력!AQ249="","",데이터입력!AQ249)</f>
        <v/>
      </c>
      <c r="Q247" s="186">
        <f>IF(데이터입력!AR249="",0,데이터입력!AR249)</f>
        <v>0</v>
      </c>
      <c r="R247" s="187">
        <f>IF(데이터입력!AS249="",0,데이터입력!AS249)</f>
        <v>0</v>
      </c>
      <c r="S247" s="1260">
        <f>IF(데이터입력!AT249="",0,데이터입력!AT249)</f>
        <v>0</v>
      </c>
      <c r="T247" s="187">
        <f>IF(데이터입력!AU249="",0,데이터입력!AU249)</f>
        <v>0</v>
      </c>
      <c r="U247" s="186">
        <f>IF(데이터입력!AV249="",0,데이터입력!AV249)</f>
        <v>0</v>
      </c>
      <c r="V247" s="187">
        <f>IF(데이터입력!AW249="",0,데이터입력!AW249)</f>
        <v>0</v>
      </c>
      <c r="W247" s="1261">
        <f>IF(데이터입력!AX249="",0,데이터입력!AX249)</f>
        <v>0</v>
      </c>
      <c r="X247" s="931">
        <f>IF(데이터입력!AY249="",0,데이터입력!AY249)</f>
        <v>0</v>
      </c>
      <c r="Y247" s="931">
        <f>IF(데이터입력!AZ249="",0,데이터입력!AZ249)</f>
        <v>0</v>
      </c>
      <c r="Z247" s="599">
        <f>IF(데이터입력!BA249="",0,데이터입력!BA249)</f>
        <v>0</v>
      </c>
      <c r="AA247" s="935">
        <f>IF(데이터입력!BB249="",0,데이터입력!BB249)</f>
        <v>0</v>
      </c>
    </row>
    <row r="248" spans="1:27" hidden="1">
      <c r="A248" s="171">
        <f>IF(W248="","",SUBTOTAL(2,$W$11:W248))</f>
        <v>238</v>
      </c>
      <c r="B248" s="198" t="str">
        <f t="shared" si="10"/>
        <v>00</v>
      </c>
      <c r="C248" s="180" t="str">
        <f t="shared" si="11"/>
        <v/>
      </c>
      <c r="D248" s="180" t="str">
        <f t="shared" si="13"/>
        <v/>
      </c>
      <c r="E248" s="180" t="str">
        <f t="shared" si="13"/>
        <v/>
      </c>
      <c r="F248" s="181" t="str">
        <f t="shared" si="12"/>
        <v/>
      </c>
      <c r="G248" s="198" t="s">
        <v>485</v>
      </c>
      <c r="H248" s="198" t="s">
        <v>484</v>
      </c>
      <c r="I248" s="182">
        <f>IF(X248="","",X248*데이터입력!$Y$8)</f>
        <v>0</v>
      </c>
      <c r="J248" s="182">
        <f>R248*데이터입력!$Y$8</f>
        <v>0</v>
      </c>
      <c r="K248" s="182">
        <f>T248*데이터입력!$Y$8</f>
        <v>0</v>
      </c>
      <c r="L248" s="199">
        <f>IFERROR(U248*데이터입력!$Y$8,"")</f>
        <v>0</v>
      </c>
      <c r="M248" s="199">
        <f>IFERROR(V248*데이터입력!$Y$8,"")</f>
        <v>0</v>
      </c>
      <c r="N248" s="594"/>
      <c r="O248" s="184" t="str">
        <f>IF(데이터입력!AP250="","",데이터입력!AP250)</f>
        <v/>
      </c>
      <c r="P248" s="185" t="str">
        <f>IF(데이터입력!AQ250="","",데이터입력!AQ250)</f>
        <v/>
      </c>
      <c r="Q248" s="186">
        <f>IF(데이터입력!AR250="",0,데이터입력!AR250)</f>
        <v>0</v>
      </c>
      <c r="R248" s="187">
        <f>IF(데이터입력!AS250="",0,데이터입력!AS250)</f>
        <v>0</v>
      </c>
      <c r="S248" s="1260">
        <f>IF(데이터입력!AT250="",0,데이터입력!AT250)</f>
        <v>0</v>
      </c>
      <c r="T248" s="187">
        <f>IF(데이터입력!AU250="",0,데이터입력!AU250)</f>
        <v>0</v>
      </c>
      <c r="U248" s="186">
        <f>IF(데이터입력!AV250="",0,데이터입력!AV250)</f>
        <v>0</v>
      </c>
      <c r="V248" s="187">
        <f>IF(데이터입력!AW250="",0,데이터입력!AW250)</f>
        <v>0</v>
      </c>
      <c r="W248" s="1261">
        <f>IF(데이터입력!AX250="",0,데이터입력!AX250)</f>
        <v>0</v>
      </c>
      <c r="X248" s="931">
        <f>IF(데이터입력!AY250="",0,데이터입력!AY250)</f>
        <v>0</v>
      </c>
      <c r="Y248" s="931">
        <f>IF(데이터입력!AZ250="",0,데이터입력!AZ250)</f>
        <v>0</v>
      </c>
      <c r="Z248" s="599">
        <f>IF(데이터입력!BA250="",0,데이터입력!BA250)</f>
        <v>0</v>
      </c>
      <c r="AA248" s="935">
        <f>IF(데이터입력!BB250="",0,데이터입력!BB250)</f>
        <v>0</v>
      </c>
    </row>
    <row r="249" spans="1:27" hidden="1">
      <c r="A249" s="171">
        <f>IF(W249="","",SUBTOTAL(2,$W$11:W249))</f>
        <v>239</v>
      </c>
      <c r="B249" s="200" t="str">
        <f t="shared" si="10"/>
        <v>00</v>
      </c>
      <c r="C249" s="173" t="str">
        <f t="shared" si="11"/>
        <v/>
      </c>
      <c r="D249" s="201" t="str">
        <f t="shared" si="13"/>
        <v/>
      </c>
      <c r="E249" s="201" t="str">
        <f t="shared" si="13"/>
        <v/>
      </c>
      <c r="F249" s="174" t="str">
        <f t="shared" si="12"/>
        <v/>
      </c>
      <c r="G249" s="200" t="s">
        <v>485</v>
      </c>
      <c r="H249" s="200" t="s">
        <v>484</v>
      </c>
      <c r="I249" s="175">
        <f>IF(X249="","",X249*데이터입력!$Y$8)</f>
        <v>0</v>
      </c>
      <c r="J249" s="202">
        <f>R249*데이터입력!$Y$8</f>
        <v>0</v>
      </c>
      <c r="K249" s="202">
        <f>T249*데이터입력!$Y$8</f>
        <v>0</v>
      </c>
      <c r="L249" s="203">
        <f>IFERROR(U249*데이터입력!$Y$8,"")</f>
        <v>0</v>
      </c>
      <c r="M249" s="175">
        <f>IFERROR(V249*데이터입력!$Y$8,"")</f>
        <v>0</v>
      </c>
      <c r="N249" s="594"/>
      <c r="O249" s="184" t="str">
        <f>IF(데이터입력!AP251="","",데이터입력!AP251)</f>
        <v/>
      </c>
      <c r="P249" s="185" t="str">
        <f>IF(데이터입력!AQ251="","",데이터입력!AQ251)</f>
        <v/>
      </c>
      <c r="Q249" s="186">
        <f>IF(데이터입력!AR251="",0,데이터입력!AR251)</f>
        <v>0</v>
      </c>
      <c r="R249" s="187">
        <f>IF(데이터입력!AS251="",0,데이터입력!AS251)</f>
        <v>0</v>
      </c>
      <c r="S249" s="1260">
        <f>IF(데이터입력!AT251="",0,데이터입력!AT251)</f>
        <v>0</v>
      </c>
      <c r="T249" s="187">
        <f>IF(데이터입력!AU251="",0,데이터입력!AU251)</f>
        <v>0</v>
      </c>
      <c r="U249" s="186">
        <f>IF(데이터입력!AV251="",0,데이터입력!AV251)</f>
        <v>0</v>
      </c>
      <c r="V249" s="187">
        <f>IF(데이터입력!AW251="",0,데이터입력!AW251)</f>
        <v>0</v>
      </c>
      <c r="W249" s="1261">
        <f>IF(데이터입력!AX251="",0,데이터입력!AX251)</f>
        <v>0</v>
      </c>
      <c r="X249" s="931">
        <f>IF(데이터입력!AY251="",0,데이터입력!AY251)</f>
        <v>0</v>
      </c>
      <c r="Y249" s="931">
        <f>IF(데이터입력!AZ251="",0,데이터입력!AZ251)</f>
        <v>0</v>
      </c>
      <c r="Z249" s="599">
        <f>IF(데이터입력!BA251="",0,데이터입력!BA251)</f>
        <v>0</v>
      </c>
      <c r="AA249" s="935">
        <f>IF(데이터입력!BB251="",0,데이터입력!BB251)</f>
        <v>0</v>
      </c>
    </row>
    <row r="250" spans="1:27" hidden="1">
      <c r="A250" s="171">
        <f>IF(W250="","",SUBTOTAL(2,$W$11:W250))</f>
        <v>240</v>
      </c>
      <c r="B250" s="198" t="str">
        <f t="shared" si="10"/>
        <v>00</v>
      </c>
      <c r="C250" s="180" t="str">
        <f t="shared" si="11"/>
        <v/>
      </c>
      <c r="D250" s="180" t="str">
        <f t="shared" si="13"/>
        <v/>
      </c>
      <c r="E250" s="180" t="str">
        <f t="shared" si="13"/>
        <v/>
      </c>
      <c r="F250" s="181" t="str">
        <f t="shared" si="12"/>
        <v/>
      </c>
      <c r="G250" s="198" t="s">
        <v>485</v>
      </c>
      <c r="H250" s="198" t="s">
        <v>484</v>
      </c>
      <c r="I250" s="182">
        <f>IF(X250="","",X250*데이터입력!$Y$8)</f>
        <v>0</v>
      </c>
      <c r="J250" s="182">
        <f>R250*데이터입력!$Y$8</f>
        <v>0</v>
      </c>
      <c r="K250" s="182">
        <f>T250*데이터입력!$Y$8</f>
        <v>0</v>
      </c>
      <c r="L250" s="199">
        <f>IFERROR(U250*데이터입력!$Y$8,"")</f>
        <v>0</v>
      </c>
      <c r="M250" s="199">
        <f>IFERROR(V250*데이터입력!$Y$8,"")</f>
        <v>0</v>
      </c>
      <c r="N250" s="594"/>
      <c r="O250" s="184" t="str">
        <f>IF(데이터입력!AP252="","",데이터입력!AP252)</f>
        <v/>
      </c>
      <c r="P250" s="185" t="str">
        <f>IF(데이터입력!AQ252="","",데이터입력!AQ252)</f>
        <v/>
      </c>
      <c r="Q250" s="186">
        <f>IF(데이터입력!AR252="",0,데이터입력!AR252)</f>
        <v>0</v>
      </c>
      <c r="R250" s="187">
        <f>IF(데이터입력!AS252="",0,데이터입력!AS252)</f>
        <v>0</v>
      </c>
      <c r="S250" s="1260">
        <f>IF(데이터입력!AT252="",0,데이터입력!AT252)</f>
        <v>0</v>
      </c>
      <c r="T250" s="187">
        <f>IF(데이터입력!AU252="",0,데이터입력!AU252)</f>
        <v>0</v>
      </c>
      <c r="U250" s="186">
        <f>IF(데이터입력!AV252="",0,데이터입력!AV252)</f>
        <v>0</v>
      </c>
      <c r="V250" s="187">
        <f>IF(데이터입력!AW252="",0,데이터입력!AW252)</f>
        <v>0</v>
      </c>
      <c r="W250" s="1261">
        <f>IF(데이터입력!AX252="",0,데이터입력!AX252)</f>
        <v>0</v>
      </c>
      <c r="X250" s="931">
        <f>IF(데이터입력!AY252="",0,데이터입력!AY252)</f>
        <v>0</v>
      </c>
      <c r="Y250" s="931">
        <f>IF(데이터입력!AZ252="",0,데이터입력!AZ252)</f>
        <v>0</v>
      </c>
      <c r="Z250" s="599">
        <f>IF(데이터입력!BA252="",0,데이터입력!BA252)</f>
        <v>0</v>
      </c>
      <c r="AA250" s="935">
        <f>IF(데이터입력!BB252="",0,데이터입력!BB252)</f>
        <v>0</v>
      </c>
    </row>
    <row r="251" spans="1:27" hidden="1">
      <c r="A251" s="171">
        <f>IF(W251="","",SUBTOTAL(2,$W$11:W251))</f>
        <v>241</v>
      </c>
      <c r="B251" s="200" t="str">
        <f t="shared" si="10"/>
        <v>00</v>
      </c>
      <c r="C251" s="173" t="str">
        <f t="shared" si="11"/>
        <v/>
      </c>
      <c r="D251" s="201" t="str">
        <f t="shared" si="13"/>
        <v/>
      </c>
      <c r="E251" s="201" t="str">
        <f t="shared" si="13"/>
        <v/>
      </c>
      <c r="F251" s="174" t="str">
        <f t="shared" si="12"/>
        <v/>
      </c>
      <c r="G251" s="200" t="s">
        <v>485</v>
      </c>
      <c r="H251" s="200" t="s">
        <v>484</v>
      </c>
      <c r="I251" s="175">
        <f>IF(X251="","",X251*데이터입력!$Y$8)</f>
        <v>0</v>
      </c>
      <c r="J251" s="202">
        <f>R251*데이터입력!$Y$8</f>
        <v>0</v>
      </c>
      <c r="K251" s="202">
        <f>T251*데이터입력!$Y$8</f>
        <v>0</v>
      </c>
      <c r="L251" s="203">
        <f>IFERROR(U251*데이터입력!$Y$8,"")</f>
        <v>0</v>
      </c>
      <c r="M251" s="175">
        <f>IFERROR(V251*데이터입력!$Y$8,"")</f>
        <v>0</v>
      </c>
      <c r="N251" s="594"/>
      <c r="O251" s="184" t="str">
        <f>IF(데이터입력!AP253="","",데이터입력!AP253)</f>
        <v/>
      </c>
      <c r="P251" s="185" t="str">
        <f>IF(데이터입력!AQ253="","",데이터입력!AQ253)</f>
        <v/>
      </c>
      <c r="Q251" s="186">
        <f>IF(데이터입력!AR253="",0,데이터입력!AR253)</f>
        <v>0</v>
      </c>
      <c r="R251" s="187">
        <f>IF(데이터입력!AS253="",0,데이터입력!AS253)</f>
        <v>0</v>
      </c>
      <c r="S251" s="1260">
        <f>IF(데이터입력!AT253="",0,데이터입력!AT253)</f>
        <v>0</v>
      </c>
      <c r="T251" s="187">
        <f>IF(데이터입력!AU253="",0,데이터입력!AU253)</f>
        <v>0</v>
      </c>
      <c r="U251" s="186">
        <f>IF(데이터입력!AV253="",0,데이터입력!AV253)</f>
        <v>0</v>
      </c>
      <c r="V251" s="187">
        <f>IF(데이터입력!AW253="",0,데이터입력!AW253)</f>
        <v>0</v>
      </c>
      <c r="W251" s="1261">
        <f>IF(데이터입력!AX253="",0,데이터입력!AX253)</f>
        <v>0</v>
      </c>
      <c r="X251" s="931">
        <f>IF(데이터입력!AY253="",0,데이터입력!AY253)</f>
        <v>0</v>
      </c>
      <c r="Y251" s="931">
        <f>IF(데이터입력!AZ253="",0,데이터입력!AZ253)</f>
        <v>0</v>
      </c>
      <c r="Z251" s="599">
        <f>IF(데이터입력!BA253="",0,데이터입력!BA253)</f>
        <v>0</v>
      </c>
      <c r="AA251" s="935">
        <f>IF(데이터입력!BB253="",0,데이터입력!BB253)</f>
        <v>0</v>
      </c>
    </row>
    <row r="252" spans="1:27" hidden="1">
      <c r="A252" s="171">
        <f>IF(W252="","",SUBTOTAL(2,$W$11:W252))</f>
        <v>242</v>
      </c>
      <c r="B252" s="198" t="str">
        <f t="shared" si="10"/>
        <v>00</v>
      </c>
      <c r="C252" s="180" t="str">
        <f t="shared" si="11"/>
        <v/>
      </c>
      <c r="D252" s="180" t="str">
        <f t="shared" si="13"/>
        <v/>
      </c>
      <c r="E252" s="180" t="str">
        <f t="shared" si="13"/>
        <v/>
      </c>
      <c r="F252" s="181" t="str">
        <f t="shared" si="12"/>
        <v/>
      </c>
      <c r="G252" s="198" t="s">
        <v>485</v>
      </c>
      <c r="H252" s="198" t="s">
        <v>484</v>
      </c>
      <c r="I252" s="182">
        <f>IF(X252="","",X252*데이터입력!$Y$8)</f>
        <v>0</v>
      </c>
      <c r="J252" s="182">
        <f>R252*데이터입력!$Y$8</f>
        <v>0</v>
      </c>
      <c r="K252" s="182">
        <f>T252*데이터입력!$Y$8</f>
        <v>0</v>
      </c>
      <c r="L252" s="199">
        <f>IFERROR(U252*데이터입력!$Y$8,"")</f>
        <v>0</v>
      </c>
      <c r="M252" s="199">
        <f>IFERROR(V252*데이터입력!$Y$8,"")</f>
        <v>0</v>
      </c>
      <c r="N252" s="594"/>
      <c r="O252" s="184" t="str">
        <f>IF(데이터입력!AP254="","",데이터입력!AP254)</f>
        <v/>
      </c>
      <c r="P252" s="185" t="str">
        <f>IF(데이터입력!AQ254="","",데이터입력!AQ254)</f>
        <v/>
      </c>
      <c r="Q252" s="186">
        <f>IF(데이터입력!AR254="",0,데이터입력!AR254)</f>
        <v>0</v>
      </c>
      <c r="R252" s="187">
        <f>IF(데이터입력!AS254="",0,데이터입력!AS254)</f>
        <v>0</v>
      </c>
      <c r="S252" s="1260">
        <f>IF(데이터입력!AT254="",0,데이터입력!AT254)</f>
        <v>0</v>
      </c>
      <c r="T252" s="187">
        <f>IF(데이터입력!AU254="",0,데이터입력!AU254)</f>
        <v>0</v>
      </c>
      <c r="U252" s="186">
        <f>IF(데이터입력!AV254="",0,데이터입력!AV254)</f>
        <v>0</v>
      </c>
      <c r="V252" s="187">
        <f>IF(데이터입력!AW254="",0,데이터입력!AW254)</f>
        <v>0</v>
      </c>
      <c r="W252" s="1261">
        <f>IF(데이터입력!AX254="",0,데이터입력!AX254)</f>
        <v>0</v>
      </c>
      <c r="X252" s="931">
        <f>IF(데이터입력!AY254="",0,데이터입력!AY254)</f>
        <v>0</v>
      </c>
      <c r="Y252" s="931">
        <f>IF(데이터입력!AZ254="",0,데이터입력!AZ254)</f>
        <v>0</v>
      </c>
      <c r="Z252" s="599">
        <f>IF(데이터입력!BA254="",0,데이터입력!BA254)</f>
        <v>0</v>
      </c>
      <c r="AA252" s="935">
        <f>IF(데이터입력!BB254="",0,데이터입력!BB254)</f>
        <v>0</v>
      </c>
    </row>
    <row r="253" spans="1:27" hidden="1">
      <c r="A253" s="171">
        <f>IF(W253="","",SUBTOTAL(2,$W$11:W253))</f>
        <v>243</v>
      </c>
      <c r="B253" s="200" t="str">
        <f t="shared" si="10"/>
        <v>00</v>
      </c>
      <c r="C253" s="173" t="str">
        <f t="shared" si="11"/>
        <v/>
      </c>
      <c r="D253" s="201" t="str">
        <f t="shared" si="13"/>
        <v/>
      </c>
      <c r="E253" s="201" t="str">
        <f t="shared" si="13"/>
        <v/>
      </c>
      <c r="F253" s="174" t="str">
        <f t="shared" si="12"/>
        <v/>
      </c>
      <c r="G253" s="200" t="s">
        <v>485</v>
      </c>
      <c r="H253" s="200" t="s">
        <v>484</v>
      </c>
      <c r="I253" s="175">
        <f>IF(X253="","",X253*데이터입력!$Y$8)</f>
        <v>0</v>
      </c>
      <c r="J253" s="202">
        <f>R253*데이터입력!$Y$8</f>
        <v>0</v>
      </c>
      <c r="K253" s="202">
        <f>T253*데이터입력!$Y$8</f>
        <v>0</v>
      </c>
      <c r="L253" s="203">
        <f>IFERROR(U253*데이터입력!$Y$8,"")</f>
        <v>0</v>
      </c>
      <c r="M253" s="175">
        <f>IFERROR(V253*데이터입력!$Y$8,"")</f>
        <v>0</v>
      </c>
      <c r="N253" s="594"/>
      <c r="O253" s="184" t="str">
        <f>IF(데이터입력!AP255="","",데이터입력!AP255)</f>
        <v/>
      </c>
      <c r="P253" s="185" t="str">
        <f>IF(데이터입력!AQ255="","",데이터입력!AQ255)</f>
        <v/>
      </c>
      <c r="Q253" s="186">
        <f>IF(데이터입력!AR255="",0,데이터입력!AR255)</f>
        <v>0</v>
      </c>
      <c r="R253" s="187">
        <f>IF(데이터입력!AS255="",0,데이터입력!AS255)</f>
        <v>0</v>
      </c>
      <c r="S253" s="1260">
        <f>IF(데이터입력!AT255="",0,데이터입력!AT255)</f>
        <v>0</v>
      </c>
      <c r="T253" s="187">
        <f>IF(데이터입력!AU255="",0,데이터입력!AU255)</f>
        <v>0</v>
      </c>
      <c r="U253" s="186">
        <f>IF(데이터입력!AV255="",0,데이터입력!AV255)</f>
        <v>0</v>
      </c>
      <c r="V253" s="187">
        <f>IF(데이터입력!AW255="",0,데이터입력!AW255)</f>
        <v>0</v>
      </c>
      <c r="W253" s="1261">
        <f>IF(데이터입력!AX255="",0,데이터입력!AX255)</f>
        <v>0</v>
      </c>
      <c r="X253" s="931">
        <f>IF(데이터입력!AY255="",0,데이터입력!AY255)</f>
        <v>0</v>
      </c>
      <c r="Y253" s="931">
        <f>IF(데이터입력!AZ255="",0,데이터입력!AZ255)</f>
        <v>0</v>
      </c>
      <c r="Z253" s="599">
        <f>IF(데이터입력!BA255="",0,데이터입력!BA255)</f>
        <v>0</v>
      </c>
      <c r="AA253" s="935">
        <f>IF(데이터입력!BB255="",0,데이터입력!BB255)</f>
        <v>0</v>
      </c>
    </row>
    <row r="254" spans="1:27" hidden="1">
      <c r="A254" s="171">
        <f>IF(W254="","",SUBTOTAL(2,$W$11:W254))</f>
        <v>244</v>
      </c>
      <c r="B254" s="198" t="str">
        <f t="shared" si="10"/>
        <v>00</v>
      </c>
      <c r="C254" s="180" t="str">
        <f t="shared" si="11"/>
        <v/>
      </c>
      <c r="D254" s="180" t="str">
        <f t="shared" si="13"/>
        <v/>
      </c>
      <c r="E254" s="180" t="str">
        <f t="shared" si="13"/>
        <v/>
      </c>
      <c r="F254" s="181" t="str">
        <f t="shared" si="12"/>
        <v/>
      </c>
      <c r="G254" s="198" t="s">
        <v>485</v>
      </c>
      <c r="H254" s="198" t="s">
        <v>484</v>
      </c>
      <c r="I254" s="182">
        <f>IF(X254="","",X254*데이터입력!$Y$8)</f>
        <v>0</v>
      </c>
      <c r="J254" s="182">
        <f>R254*데이터입력!$Y$8</f>
        <v>0</v>
      </c>
      <c r="K254" s="182">
        <f>T254*데이터입력!$Y$8</f>
        <v>0</v>
      </c>
      <c r="L254" s="199">
        <f>IFERROR(U254*데이터입력!$Y$8,"")</f>
        <v>0</v>
      </c>
      <c r="M254" s="199">
        <f>IFERROR(V254*데이터입력!$Y$8,"")</f>
        <v>0</v>
      </c>
      <c r="N254" s="594"/>
      <c r="O254" s="184" t="str">
        <f>IF(데이터입력!AP256="","",데이터입력!AP256)</f>
        <v/>
      </c>
      <c r="P254" s="185" t="str">
        <f>IF(데이터입력!AQ256="","",데이터입력!AQ256)</f>
        <v/>
      </c>
      <c r="Q254" s="186">
        <f>IF(데이터입력!AR256="",0,데이터입력!AR256)</f>
        <v>0</v>
      </c>
      <c r="R254" s="187">
        <f>IF(데이터입력!AS256="",0,데이터입력!AS256)</f>
        <v>0</v>
      </c>
      <c r="S254" s="1260">
        <f>IF(데이터입력!AT256="",0,데이터입력!AT256)</f>
        <v>0</v>
      </c>
      <c r="T254" s="187">
        <f>IF(데이터입력!AU256="",0,데이터입력!AU256)</f>
        <v>0</v>
      </c>
      <c r="U254" s="186">
        <f>IF(데이터입력!AV256="",0,데이터입력!AV256)</f>
        <v>0</v>
      </c>
      <c r="V254" s="187">
        <f>IF(데이터입력!AW256="",0,데이터입력!AW256)</f>
        <v>0</v>
      </c>
      <c r="W254" s="1261">
        <f>IF(데이터입력!AX256="",0,데이터입력!AX256)</f>
        <v>0</v>
      </c>
      <c r="X254" s="931">
        <f>IF(데이터입력!AY256="",0,데이터입력!AY256)</f>
        <v>0</v>
      </c>
      <c r="Y254" s="931">
        <f>IF(데이터입력!AZ256="",0,데이터입력!AZ256)</f>
        <v>0</v>
      </c>
      <c r="Z254" s="599">
        <f>IF(데이터입력!BA256="",0,데이터입력!BA256)</f>
        <v>0</v>
      </c>
      <c r="AA254" s="935">
        <f>IF(데이터입력!BB256="",0,데이터입력!BB256)</f>
        <v>0</v>
      </c>
    </row>
    <row r="255" spans="1:27" hidden="1">
      <c r="A255" s="171">
        <f>IF(W255="","",SUBTOTAL(2,$W$11:W255))</f>
        <v>245</v>
      </c>
      <c r="B255" s="200" t="str">
        <f t="shared" si="10"/>
        <v>00</v>
      </c>
      <c r="C255" s="173" t="str">
        <f t="shared" si="11"/>
        <v/>
      </c>
      <c r="D255" s="201" t="str">
        <f t="shared" si="13"/>
        <v/>
      </c>
      <c r="E255" s="201" t="str">
        <f t="shared" si="13"/>
        <v/>
      </c>
      <c r="F255" s="174" t="str">
        <f t="shared" si="12"/>
        <v/>
      </c>
      <c r="G255" s="200" t="s">
        <v>485</v>
      </c>
      <c r="H255" s="200" t="s">
        <v>484</v>
      </c>
      <c r="I255" s="175">
        <f>IF(X255="","",X255*데이터입력!$Y$8)</f>
        <v>0</v>
      </c>
      <c r="J255" s="202">
        <f>R255*데이터입력!$Y$8</f>
        <v>0</v>
      </c>
      <c r="K255" s="202">
        <f>T255*데이터입력!$Y$8</f>
        <v>0</v>
      </c>
      <c r="L255" s="203">
        <f>IFERROR(U255*데이터입력!$Y$8,"")</f>
        <v>0</v>
      </c>
      <c r="M255" s="175">
        <f>IFERROR(V255*데이터입력!$Y$8,"")</f>
        <v>0</v>
      </c>
      <c r="N255" s="594"/>
      <c r="O255" s="184" t="str">
        <f>IF(데이터입력!AP257="","",데이터입력!AP257)</f>
        <v/>
      </c>
      <c r="P255" s="185" t="str">
        <f>IF(데이터입력!AQ257="","",데이터입력!AQ257)</f>
        <v/>
      </c>
      <c r="Q255" s="186">
        <f>IF(데이터입력!AR257="",0,데이터입력!AR257)</f>
        <v>0</v>
      </c>
      <c r="R255" s="187">
        <f>IF(데이터입력!AS257="",0,데이터입력!AS257)</f>
        <v>0</v>
      </c>
      <c r="S255" s="1260">
        <f>IF(데이터입력!AT257="",0,데이터입력!AT257)</f>
        <v>0</v>
      </c>
      <c r="T255" s="187">
        <f>IF(데이터입력!AU257="",0,데이터입력!AU257)</f>
        <v>0</v>
      </c>
      <c r="U255" s="186">
        <f>IF(데이터입력!AV257="",0,데이터입력!AV257)</f>
        <v>0</v>
      </c>
      <c r="V255" s="187">
        <f>IF(데이터입력!AW257="",0,데이터입력!AW257)</f>
        <v>0</v>
      </c>
      <c r="W255" s="1261">
        <f>IF(데이터입력!AX257="",0,데이터입력!AX257)</f>
        <v>0</v>
      </c>
      <c r="X255" s="931">
        <f>IF(데이터입력!AY257="",0,데이터입력!AY257)</f>
        <v>0</v>
      </c>
      <c r="Y255" s="931">
        <f>IF(데이터입력!AZ257="",0,데이터입력!AZ257)</f>
        <v>0</v>
      </c>
      <c r="Z255" s="599">
        <f>IF(데이터입력!BA257="",0,데이터입력!BA257)</f>
        <v>0</v>
      </c>
      <c r="AA255" s="935">
        <f>IF(데이터입력!BB257="",0,데이터입력!BB257)</f>
        <v>0</v>
      </c>
    </row>
    <row r="256" spans="1:27" hidden="1">
      <c r="A256" s="171">
        <f>IF(W256="","",SUBTOTAL(2,$W$11:W256))</f>
        <v>246</v>
      </c>
      <c r="B256" s="198" t="str">
        <f t="shared" si="10"/>
        <v>00</v>
      </c>
      <c r="C256" s="180" t="str">
        <f t="shared" si="11"/>
        <v/>
      </c>
      <c r="D256" s="180" t="str">
        <f t="shared" si="13"/>
        <v/>
      </c>
      <c r="E256" s="180" t="str">
        <f t="shared" si="13"/>
        <v/>
      </c>
      <c r="F256" s="181" t="str">
        <f t="shared" si="12"/>
        <v/>
      </c>
      <c r="G256" s="198" t="s">
        <v>485</v>
      </c>
      <c r="H256" s="198" t="s">
        <v>484</v>
      </c>
      <c r="I256" s="182">
        <f>IF(X256="","",X256*데이터입력!$Y$8)</f>
        <v>0</v>
      </c>
      <c r="J256" s="182">
        <f>R256*데이터입력!$Y$8</f>
        <v>0</v>
      </c>
      <c r="K256" s="182">
        <f>T256*데이터입력!$Y$8</f>
        <v>0</v>
      </c>
      <c r="L256" s="199">
        <f>IFERROR(U256*데이터입력!$Y$8,"")</f>
        <v>0</v>
      </c>
      <c r="M256" s="199">
        <f>IFERROR(V256*데이터입력!$Y$8,"")</f>
        <v>0</v>
      </c>
      <c r="N256" s="594"/>
      <c r="O256" s="184" t="str">
        <f>IF(데이터입력!AP258="","",데이터입력!AP258)</f>
        <v/>
      </c>
      <c r="P256" s="185" t="str">
        <f>IF(데이터입력!AQ258="","",데이터입력!AQ258)</f>
        <v/>
      </c>
      <c r="Q256" s="186">
        <f>IF(데이터입력!AR258="",0,데이터입력!AR258)</f>
        <v>0</v>
      </c>
      <c r="R256" s="187">
        <f>IF(데이터입력!AS258="",0,데이터입력!AS258)</f>
        <v>0</v>
      </c>
      <c r="S256" s="1260">
        <f>IF(데이터입력!AT258="",0,데이터입력!AT258)</f>
        <v>0</v>
      </c>
      <c r="T256" s="187">
        <f>IF(데이터입력!AU258="",0,데이터입력!AU258)</f>
        <v>0</v>
      </c>
      <c r="U256" s="186">
        <f>IF(데이터입력!AV258="",0,데이터입력!AV258)</f>
        <v>0</v>
      </c>
      <c r="V256" s="187">
        <f>IF(데이터입력!AW258="",0,데이터입력!AW258)</f>
        <v>0</v>
      </c>
      <c r="W256" s="1261">
        <f>IF(데이터입력!AX258="",0,데이터입력!AX258)</f>
        <v>0</v>
      </c>
      <c r="X256" s="931">
        <f>IF(데이터입력!AY258="",0,데이터입력!AY258)</f>
        <v>0</v>
      </c>
      <c r="Y256" s="931">
        <f>IF(데이터입력!AZ258="",0,데이터입력!AZ258)</f>
        <v>0</v>
      </c>
      <c r="Z256" s="599">
        <f>IF(데이터입력!BA258="",0,데이터입력!BA258)</f>
        <v>0</v>
      </c>
      <c r="AA256" s="935">
        <f>IF(데이터입력!BB258="",0,데이터입력!BB258)</f>
        <v>0</v>
      </c>
    </row>
    <row r="257" spans="1:27" hidden="1">
      <c r="A257" s="171">
        <f>IF(W257="","",SUBTOTAL(2,$W$11:W257))</f>
        <v>247</v>
      </c>
      <c r="B257" s="200" t="str">
        <f t="shared" si="10"/>
        <v>00</v>
      </c>
      <c r="C257" s="173" t="str">
        <f t="shared" si="11"/>
        <v/>
      </c>
      <c r="D257" s="201" t="str">
        <f t="shared" si="13"/>
        <v/>
      </c>
      <c r="E257" s="201" t="str">
        <f t="shared" si="13"/>
        <v/>
      </c>
      <c r="F257" s="174" t="str">
        <f t="shared" si="12"/>
        <v/>
      </c>
      <c r="G257" s="200" t="s">
        <v>485</v>
      </c>
      <c r="H257" s="200" t="s">
        <v>484</v>
      </c>
      <c r="I257" s="175">
        <f>IF(X257="","",X257*데이터입력!$Y$8)</f>
        <v>0</v>
      </c>
      <c r="J257" s="202">
        <f>R257*데이터입력!$Y$8</f>
        <v>0</v>
      </c>
      <c r="K257" s="202">
        <f>T257*데이터입력!$Y$8</f>
        <v>0</v>
      </c>
      <c r="L257" s="203">
        <f>IFERROR(U257*데이터입력!$Y$8,"")</f>
        <v>0</v>
      </c>
      <c r="M257" s="175">
        <f>IFERROR(V257*데이터입력!$Y$8,"")</f>
        <v>0</v>
      </c>
      <c r="N257" s="594"/>
      <c r="O257" s="184" t="str">
        <f>IF(데이터입력!AP259="","",데이터입력!AP259)</f>
        <v/>
      </c>
      <c r="P257" s="185" t="str">
        <f>IF(데이터입력!AQ259="","",데이터입력!AQ259)</f>
        <v/>
      </c>
      <c r="Q257" s="186">
        <f>IF(데이터입력!AR259="",0,데이터입력!AR259)</f>
        <v>0</v>
      </c>
      <c r="R257" s="187">
        <f>IF(데이터입력!AS259="",0,데이터입력!AS259)</f>
        <v>0</v>
      </c>
      <c r="S257" s="1260">
        <f>IF(데이터입력!AT259="",0,데이터입력!AT259)</f>
        <v>0</v>
      </c>
      <c r="T257" s="187">
        <f>IF(데이터입력!AU259="",0,데이터입력!AU259)</f>
        <v>0</v>
      </c>
      <c r="U257" s="186">
        <f>IF(데이터입력!AV259="",0,데이터입력!AV259)</f>
        <v>0</v>
      </c>
      <c r="V257" s="187">
        <f>IF(데이터입력!AW259="",0,데이터입력!AW259)</f>
        <v>0</v>
      </c>
      <c r="W257" s="1261">
        <f>IF(데이터입력!AX259="",0,데이터입력!AX259)</f>
        <v>0</v>
      </c>
      <c r="X257" s="931">
        <f>IF(데이터입력!AY259="",0,데이터입력!AY259)</f>
        <v>0</v>
      </c>
      <c r="Y257" s="931">
        <f>IF(데이터입력!AZ259="",0,데이터입력!AZ259)</f>
        <v>0</v>
      </c>
      <c r="Z257" s="599">
        <f>IF(데이터입력!BA259="",0,데이터입력!BA259)</f>
        <v>0</v>
      </c>
      <c r="AA257" s="935">
        <f>IF(데이터입력!BB259="",0,데이터입력!BB259)</f>
        <v>0</v>
      </c>
    </row>
    <row r="258" spans="1:27" hidden="1">
      <c r="A258" s="171">
        <f>IF(W258="","",SUBTOTAL(2,$W$11:W258))</f>
        <v>248</v>
      </c>
      <c r="B258" s="198" t="str">
        <f t="shared" si="10"/>
        <v>00</v>
      </c>
      <c r="C258" s="180" t="str">
        <f t="shared" si="11"/>
        <v/>
      </c>
      <c r="D258" s="180" t="str">
        <f t="shared" si="13"/>
        <v/>
      </c>
      <c r="E258" s="180" t="str">
        <f t="shared" si="13"/>
        <v/>
      </c>
      <c r="F258" s="181" t="str">
        <f t="shared" si="12"/>
        <v/>
      </c>
      <c r="G258" s="198" t="s">
        <v>485</v>
      </c>
      <c r="H258" s="198" t="s">
        <v>484</v>
      </c>
      <c r="I258" s="182">
        <f>IF(X258="","",X258*데이터입력!$Y$8)</f>
        <v>0</v>
      </c>
      <c r="J258" s="182">
        <f>R258*데이터입력!$Y$8</f>
        <v>0</v>
      </c>
      <c r="K258" s="182">
        <f>T258*데이터입력!$Y$8</f>
        <v>0</v>
      </c>
      <c r="L258" s="199">
        <f>IFERROR(U258*데이터입력!$Y$8,"")</f>
        <v>0</v>
      </c>
      <c r="M258" s="199">
        <f>IFERROR(V258*데이터입력!$Y$8,"")</f>
        <v>0</v>
      </c>
      <c r="N258" s="594"/>
      <c r="O258" s="184" t="str">
        <f>IF(데이터입력!AP260="","",데이터입력!AP260)</f>
        <v/>
      </c>
      <c r="P258" s="185" t="str">
        <f>IF(데이터입력!AQ260="","",데이터입력!AQ260)</f>
        <v/>
      </c>
      <c r="Q258" s="186">
        <f>IF(데이터입력!AR260="",0,데이터입력!AR260)</f>
        <v>0</v>
      </c>
      <c r="R258" s="187">
        <f>IF(데이터입력!AS260="",0,데이터입력!AS260)</f>
        <v>0</v>
      </c>
      <c r="S258" s="1260">
        <f>IF(데이터입력!AT260="",0,데이터입력!AT260)</f>
        <v>0</v>
      </c>
      <c r="T258" s="187">
        <f>IF(데이터입력!AU260="",0,데이터입력!AU260)</f>
        <v>0</v>
      </c>
      <c r="U258" s="186">
        <f>IF(데이터입력!AV260="",0,데이터입력!AV260)</f>
        <v>0</v>
      </c>
      <c r="V258" s="187">
        <f>IF(데이터입력!AW260="",0,데이터입력!AW260)</f>
        <v>0</v>
      </c>
      <c r="W258" s="1261">
        <f>IF(데이터입력!AX260="",0,데이터입력!AX260)</f>
        <v>0</v>
      </c>
      <c r="X258" s="931">
        <f>IF(데이터입력!AY260="",0,데이터입력!AY260)</f>
        <v>0</v>
      </c>
      <c r="Y258" s="931">
        <f>IF(데이터입력!AZ260="",0,데이터입력!AZ260)</f>
        <v>0</v>
      </c>
      <c r="Z258" s="599">
        <f>IF(데이터입력!BA260="",0,데이터입력!BA260)</f>
        <v>0</v>
      </c>
      <c r="AA258" s="935">
        <f>IF(데이터입력!BB260="",0,데이터입력!BB260)</f>
        <v>0</v>
      </c>
    </row>
    <row r="259" spans="1:27" hidden="1">
      <c r="A259" s="171">
        <f>IF(W259="","",SUBTOTAL(2,$W$11:W259))</f>
        <v>249</v>
      </c>
      <c r="B259" s="200" t="str">
        <f t="shared" si="10"/>
        <v>00</v>
      </c>
      <c r="C259" s="173" t="str">
        <f t="shared" si="11"/>
        <v/>
      </c>
      <c r="D259" s="201" t="str">
        <f t="shared" si="13"/>
        <v/>
      </c>
      <c r="E259" s="201" t="str">
        <f t="shared" si="13"/>
        <v/>
      </c>
      <c r="F259" s="174" t="str">
        <f t="shared" si="12"/>
        <v/>
      </c>
      <c r="G259" s="200" t="s">
        <v>485</v>
      </c>
      <c r="H259" s="200" t="s">
        <v>484</v>
      </c>
      <c r="I259" s="175">
        <f>IF(X259="","",X259*데이터입력!$Y$8)</f>
        <v>0</v>
      </c>
      <c r="J259" s="202">
        <f>R259*데이터입력!$Y$8</f>
        <v>0</v>
      </c>
      <c r="K259" s="202">
        <f>T259*데이터입력!$Y$8</f>
        <v>0</v>
      </c>
      <c r="L259" s="203">
        <f>IFERROR(U259*데이터입력!$Y$8,"")</f>
        <v>0</v>
      </c>
      <c r="M259" s="175">
        <f>IFERROR(V259*데이터입력!$Y$8,"")</f>
        <v>0</v>
      </c>
      <c r="N259" s="594"/>
      <c r="O259" s="184" t="str">
        <f>IF(데이터입력!AP261="","",데이터입력!AP261)</f>
        <v/>
      </c>
      <c r="P259" s="185" t="str">
        <f>IF(데이터입력!AQ261="","",데이터입력!AQ261)</f>
        <v/>
      </c>
      <c r="Q259" s="186">
        <f>IF(데이터입력!AR261="",0,데이터입력!AR261)</f>
        <v>0</v>
      </c>
      <c r="R259" s="187">
        <f>IF(데이터입력!AS261="",0,데이터입력!AS261)</f>
        <v>0</v>
      </c>
      <c r="S259" s="1260">
        <f>IF(데이터입력!AT261="",0,데이터입력!AT261)</f>
        <v>0</v>
      </c>
      <c r="T259" s="187">
        <f>IF(데이터입력!AU261="",0,데이터입력!AU261)</f>
        <v>0</v>
      </c>
      <c r="U259" s="186">
        <f>IF(데이터입력!AV261="",0,데이터입력!AV261)</f>
        <v>0</v>
      </c>
      <c r="V259" s="187">
        <f>IF(데이터입력!AW261="",0,데이터입력!AW261)</f>
        <v>0</v>
      </c>
      <c r="W259" s="1261">
        <f>IF(데이터입력!AX261="",0,데이터입력!AX261)</f>
        <v>0</v>
      </c>
      <c r="X259" s="931">
        <f>IF(데이터입력!AY261="",0,데이터입력!AY261)</f>
        <v>0</v>
      </c>
      <c r="Y259" s="931">
        <f>IF(데이터입력!AZ261="",0,데이터입력!AZ261)</f>
        <v>0</v>
      </c>
      <c r="Z259" s="599">
        <f>IF(데이터입력!BA261="",0,데이터입력!BA261)</f>
        <v>0</v>
      </c>
      <c r="AA259" s="935">
        <f>IF(데이터입력!BB261="",0,데이터입력!BB261)</f>
        <v>0</v>
      </c>
    </row>
    <row r="260" spans="1:27" ht="17.25" hidden="1" thickBot="1">
      <c r="A260" s="171">
        <f>IF(W260="","",SUBTOTAL(2,$W$11:W260))</f>
        <v>250</v>
      </c>
      <c r="B260" s="198" t="str">
        <f t="shared" si="10"/>
        <v>00</v>
      </c>
      <c r="C260" s="180" t="str">
        <f t="shared" si="11"/>
        <v/>
      </c>
      <c r="D260" s="180" t="str">
        <f t="shared" si="13"/>
        <v/>
      </c>
      <c r="E260" s="180" t="str">
        <f t="shared" si="13"/>
        <v/>
      </c>
      <c r="F260" s="181" t="str">
        <f t="shared" si="12"/>
        <v/>
      </c>
      <c r="G260" s="198" t="s">
        <v>485</v>
      </c>
      <c r="H260" s="198" t="s">
        <v>484</v>
      </c>
      <c r="I260" s="182">
        <f>IF(X260="","",X260*데이터입력!$Y$8)</f>
        <v>0</v>
      </c>
      <c r="J260" s="182">
        <f>R260*데이터입력!$Y$8</f>
        <v>0</v>
      </c>
      <c r="K260" s="182">
        <f>T260*데이터입력!$Y$8</f>
        <v>0</v>
      </c>
      <c r="L260" s="199">
        <f>IFERROR(U260*데이터입력!$Y$8,"")</f>
        <v>0</v>
      </c>
      <c r="M260" s="199">
        <f>IFERROR(V260*데이터입력!$Y$8,"")</f>
        <v>0</v>
      </c>
      <c r="N260" s="594"/>
      <c r="O260" s="184" t="str">
        <f>IF(데이터입력!AP262="","",데이터입력!AP262)</f>
        <v/>
      </c>
      <c r="P260" s="185" t="str">
        <f>IF(데이터입력!AQ262="","",데이터입력!AQ262)</f>
        <v/>
      </c>
      <c r="Q260" s="186">
        <f>IF(데이터입력!AR262="",0,데이터입력!AR262)</f>
        <v>0</v>
      </c>
      <c r="R260" s="187">
        <f>IF(데이터입력!AS262="",0,데이터입력!AS262)</f>
        <v>0</v>
      </c>
      <c r="S260" s="1260">
        <f>IF(데이터입력!AT262="",0,데이터입력!AT262)</f>
        <v>0</v>
      </c>
      <c r="T260" s="187">
        <f>IF(데이터입력!AU262="",0,데이터입력!AU262)</f>
        <v>0</v>
      </c>
      <c r="U260" s="186">
        <f>IF(데이터입력!AV262="",0,데이터입력!AV262)</f>
        <v>0</v>
      </c>
      <c r="V260" s="187">
        <f>IF(데이터입력!AW262="",0,데이터입력!AW262)</f>
        <v>0</v>
      </c>
      <c r="W260" s="1261">
        <f>IF(데이터입력!AX262="",0,데이터입력!AX262)</f>
        <v>0</v>
      </c>
      <c r="X260" s="931">
        <f>IF(데이터입력!AY262="",0,데이터입력!AY262)</f>
        <v>0</v>
      </c>
      <c r="Y260" s="931">
        <f>IF(데이터입력!AZ262="",0,데이터입력!AZ262)</f>
        <v>0</v>
      </c>
      <c r="Z260" s="599">
        <f>IF(데이터입력!BA262="",0,데이터입력!BA262)</f>
        <v>0</v>
      </c>
      <c r="AA260" s="935">
        <f>IF(데이터입력!BB262="",0,데이터입력!BB262)</f>
        <v>0</v>
      </c>
    </row>
    <row r="261" spans="1:27" ht="17.25" thickBot="1">
      <c r="A261" s="1688" t="s">
        <v>486</v>
      </c>
      <c r="B261" s="1689"/>
      <c r="C261" s="1689"/>
      <c r="D261" s="1689"/>
      <c r="E261" s="1689"/>
      <c r="F261" s="1689"/>
      <c r="G261" s="1690"/>
      <c r="H261" s="204"/>
      <c r="I261" s="205">
        <f>SUM(I11:I53)</f>
        <v>55434480</v>
      </c>
      <c r="J261" s="205">
        <f>SUM(J11:J53)</f>
        <v>0</v>
      </c>
      <c r="K261" s="205">
        <f>SUM(K11:K53)</f>
        <v>0</v>
      </c>
      <c r="L261" s="205">
        <f>SUM(L11:L53)</f>
        <v>4800000</v>
      </c>
      <c r="M261" s="206">
        <f>SUM(M11:M53)</f>
        <v>8434220</v>
      </c>
      <c r="N261" s="594"/>
      <c r="O261" s="1691" t="s">
        <v>487</v>
      </c>
      <c r="P261" s="1692"/>
      <c r="Q261" s="207">
        <f t="shared" ref="Q261:R261" si="14">SUM(Q11:Q53)</f>
        <v>4800000</v>
      </c>
      <c r="R261" s="207">
        <f t="shared" si="14"/>
        <v>0</v>
      </c>
      <c r="S261" s="208">
        <f>IF(Q261+R261=0,0,SUM(S11:S53))</f>
        <v>4800000</v>
      </c>
      <c r="T261" s="209">
        <f t="shared" ref="T261:Y261" si="15">SUM(T11:T53)</f>
        <v>0</v>
      </c>
      <c r="U261" s="210">
        <f t="shared" si="15"/>
        <v>400000</v>
      </c>
      <c r="V261" s="210">
        <f t="shared" si="15"/>
        <v>702860</v>
      </c>
      <c r="W261" s="208">
        <f>IF(Q261+R261=0,0,SUM(W11:W53))</f>
        <v>5902860</v>
      </c>
      <c r="X261" s="208">
        <f t="shared" si="15"/>
        <v>4619540</v>
      </c>
      <c r="Y261" s="208">
        <f t="shared" si="15"/>
        <v>4800000</v>
      </c>
      <c r="Z261" s="1204"/>
      <c r="AA261" s="1204"/>
    </row>
    <row r="262" spans="1:27" ht="17.25" thickBot="1">
      <c r="A262" s="1688" t="s">
        <v>488</v>
      </c>
      <c r="B262" s="1689"/>
      <c r="C262" s="1689"/>
      <c r="D262" s="1689"/>
      <c r="E262" s="1689"/>
      <c r="F262" s="1689"/>
      <c r="G262" s="1690"/>
      <c r="H262" s="211"/>
      <c r="I262" s="212">
        <f>SUM(I61:I260)</f>
        <v>126936000</v>
      </c>
      <c r="J262" s="212">
        <f t="shared" ref="J262:M262" si="16">SUM(J61:J260)</f>
        <v>0</v>
      </c>
      <c r="K262" s="212">
        <f t="shared" si="16"/>
        <v>0</v>
      </c>
      <c r="L262" s="212">
        <f t="shared" si="16"/>
        <v>10578012</v>
      </c>
      <c r="M262" s="212">
        <f t="shared" si="16"/>
        <v>13276370</v>
      </c>
      <c r="N262" s="596"/>
      <c r="O262" s="1691" t="s">
        <v>489</v>
      </c>
      <c r="P262" s="1692"/>
      <c r="Q262" s="207">
        <f t="shared" ref="Q262:Y262" si="17">SUM(Q61:Q249)</f>
        <v>10578060</v>
      </c>
      <c r="R262" s="207">
        <f t="shared" si="17"/>
        <v>0</v>
      </c>
      <c r="S262" s="208">
        <f>IF(Q262+R262=0,0,SUM(S55:S260))</f>
        <v>10578000</v>
      </c>
      <c r="T262" s="209">
        <f t="shared" si="17"/>
        <v>0</v>
      </c>
      <c r="U262" s="210">
        <f t="shared" si="17"/>
        <v>881501</v>
      </c>
      <c r="V262" s="210">
        <f t="shared" si="17"/>
        <v>1106360</v>
      </c>
      <c r="W262" s="208">
        <f>IF(U262+V262=0,0,SUM(W55:W260))</f>
        <v>12565861</v>
      </c>
      <c r="X262" s="208">
        <f t="shared" si="17"/>
        <v>10578000</v>
      </c>
      <c r="Y262" s="208">
        <f t="shared" si="17"/>
        <v>10578000</v>
      </c>
    </row>
    <row r="263" spans="1:27" ht="17.25" thickBot="1">
      <c r="A263" s="1688" t="s">
        <v>490</v>
      </c>
      <c r="B263" s="1689"/>
      <c r="C263" s="1689"/>
      <c r="D263" s="1689"/>
      <c r="E263" s="1689"/>
      <c r="F263" s="1689"/>
      <c r="G263" s="1690"/>
      <c r="H263" s="211"/>
      <c r="I263" s="212">
        <f>I261+I262</f>
        <v>182370480</v>
      </c>
      <c r="J263" s="212">
        <f t="shared" ref="J263:M263" si="18">J261+J262</f>
        <v>0</v>
      </c>
      <c r="K263" s="212">
        <f t="shared" si="18"/>
        <v>0</v>
      </c>
      <c r="L263" s="212">
        <f t="shared" si="18"/>
        <v>15378012</v>
      </c>
      <c r="M263" s="212">
        <f t="shared" si="18"/>
        <v>21710590</v>
      </c>
      <c r="O263" s="1691" t="s">
        <v>491</v>
      </c>
      <c r="P263" s="1692"/>
      <c r="Q263" s="207">
        <f t="shared" ref="Q263:Y263" si="19">Q261+Q262</f>
        <v>15378060</v>
      </c>
      <c r="R263" s="207">
        <f t="shared" si="19"/>
        <v>0</v>
      </c>
      <c r="S263" s="208">
        <f t="shared" si="19"/>
        <v>15378000</v>
      </c>
      <c r="T263" s="209">
        <f t="shared" si="19"/>
        <v>0</v>
      </c>
      <c r="U263" s="209">
        <f t="shared" si="19"/>
        <v>1281501</v>
      </c>
      <c r="V263" s="209">
        <f t="shared" si="19"/>
        <v>1809220</v>
      </c>
      <c r="W263" s="208">
        <f t="shared" si="19"/>
        <v>18468721</v>
      </c>
      <c r="X263" s="208">
        <f t="shared" si="19"/>
        <v>15197540</v>
      </c>
      <c r="Y263" s="208">
        <f t="shared" si="19"/>
        <v>15378000</v>
      </c>
    </row>
    <row r="264" spans="1:27">
      <c r="A264" s="1687" t="str">
        <f>표지!B9</f>
        <v>한마음데이케어센터</v>
      </c>
      <c r="B264" s="1687"/>
      <c r="C264" s="1687"/>
      <c r="D264" s="1687"/>
      <c r="E264" s="1687"/>
      <c r="F264" s="1687"/>
      <c r="G264" s="1687"/>
      <c r="H264" s="1687"/>
      <c r="I264" s="1687"/>
      <c r="J264" s="1687"/>
      <c r="K264" s="1687"/>
      <c r="L264" s="1687"/>
      <c r="M264" s="1687"/>
    </row>
    <row r="265" spans="1:27">
      <c r="A265" s="213"/>
    </row>
  </sheetData>
  <sheetProtection algorithmName="SHA-512" hashValue="0Gd9i31SA+cSVU7gXgh9v+kcIRn+z7+PizYAv0G6ypgyYW4BpVhUzITg+r56XfJeopElWK9xk9iPkwXblLbncw==" saltValue="7oE9+TzfQg4fuaYsdi87lA==" spinCount="100000" sheet="1" objects="1" scenarios="1"/>
  <mergeCells count="59">
    <mergeCell ref="AD9:AE9"/>
    <mergeCell ref="AD10:AE10"/>
    <mergeCell ref="AD11:AE11"/>
    <mergeCell ref="AD12:AE12"/>
    <mergeCell ref="AF6:AG6"/>
    <mergeCell ref="AF7:AG7"/>
    <mergeCell ref="AF8:AG8"/>
    <mergeCell ref="AF9:AG9"/>
    <mergeCell ref="AF10:AG10"/>
    <mergeCell ref="AF11:AG11"/>
    <mergeCell ref="AF12:AG12"/>
    <mergeCell ref="AD5:AG5"/>
    <mergeCell ref="AD6:AE6"/>
    <mergeCell ref="AD7:AE7"/>
    <mergeCell ref="AD8:AE8"/>
    <mergeCell ref="AD2:AE2"/>
    <mergeCell ref="AF2:AG2"/>
    <mergeCell ref="AD3:AE3"/>
    <mergeCell ref="AF3:AG3"/>
    <mergeCell ref="AD4:AE4"/>
    <mergeCell ref="AF4:AG4"/>
    <mergeCell ref="S5:W5"/>
    <mergeCell ref="A1:M1"/>
    <mergeCell ref="A2:M2"/>
    <mergeCell ref="P2:R2"/>
    <mergeCell ref="S2:W2"/>
    <mergeCell ref="A3:B6"/>
    <mergeCell ref="C3:E3"/>
    <mergeCell ref="F3:M3"/>
    <mergeCell ref="P3:R3"/>
    <mergeCell ref="C4:E4"/>
    <mergeCell ref="F4:M4"/>
    <mergeCell ref="P4:R4"/>
    <mergeCell ref="C5:E5"/>
    <mergeCell ref="F5:M5"/>
    <mergeCell ref="O5:P5"/>
    <mergeCell ref="Q5:R5"/>
    <mergeCell ref="Q6:R6"/>
    <mergeCell ref="A7:B9"/>
    <mergeCell ref="C7:E7"/>
    <mergeCell ref="F7:M7"/>
    <mergeCell ref="O7:P7"/>
    <mergeCell ref="Q7:R7"/>
    <mergeCell ref="C8:E8"/>
    <mergeCell ref="F8:M8"/>
    <mergeCell ref="O8:W9"/>
    <mergeCell ref="C9:E9"/>
    <mergeCell ref="F9:M9"/>
    <mergeCell ref="O1:P1"/>
    <mergeCell ref="A264:M264"/>
    <mergeCell ref="A261:G261"/>
    <mergeCell ref="O261:P261"/>
    <mergeCell ref="A262:G262"/>
    <mergeCell ref="O262:P262"/>
    <mergeCell ref="A263:G263"/>
    <mergeCell ref="O263:P263"/>
    <mergeCell ref="C6:E6"/>
    <mergeCell ref="F6:M6"/>
    <mergeCell ref="O6:P6"/>
  </mergeCells>
  <phoneticPr fontId="1" type="noConversion"/>
  <pageMargins left="0.25" right="0.25" top="0.75" bottom="0.75" header="0.3" footer="0.3"/>
  <pageSetup paperSize="9" scale="93" fitToHeight="0" orientation="landscape" r:id="rId1"/>
  <rowBreaks count="1" manualBreakCount="1">
    <brk id="60" max="12"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35E4D-3199-442C-AA55-C025390329EB}">
  <sheetPr>
    <tabColor theme="9"/>
  </sheetPr>
  <dimension ref="A1:J173"/>
  <sheetViews>
    <sheetView view="pageBreakPreview" zoomScaleNormal="100" zoomScaleSheetLayoutView="100" workbookViewId="0">
      <selection activeCell="N17" sqref="N17"/>
    </sheetView>
  </sheetViews>
  <sheetFormatPr defaultRowHeight="16.5"/>
  <cols>
    <col min="1" max="1" width="6.625" customWidth="1"/>
    <col min="2" max="2" width="23.625" customWidth="1"/>
    <col min="3" max="3" width="16.875" customWidth="1"/>
    <col min="4" max="4" width="8" customWidth="1"/>
    <col min="7" max="7" width="11.75" customWidth="1"/>
    <col min="10" max="10" width="12.25" customWidth="1"/>
  </cols>
  <sheetData>
    <row r="1" spans="1:10" ht="16.5" customHeight="1" thickBot="1">
      <c r="A1" s="1760" t="str">
        <f>표지!$B$9&amp;"- 인건비,생계비 현황"</f>
        <v>한마음데이케어센터- 인건비,생계비 현황</v>
      </c>
      <c r="B1" s="1760" t="s">
        <v>249</v>
      </c>
      <c r="C1" s="1760"/>
      <c r="D1" s="1760"/>
      <c r="E1" s="1760"/>
      <c r="F1" s="1760"/>
      <c r="G1" s="1760"/>
    </row>
    <row r="2" spans="1:10" ht="17.25" customHeight="1" thickBot="1">
      <c r="A2" s="1760"/>
      <c r="B2" s="1760"/>
      <c r="C2" s="1760"/>
      <c r="D2" s="1760"/>
      <c r="E2" s="1760"/>
      <c r="F2" s="1760"/>
      <c r="G2" s="1760"/>
      <c r="I2" s="1742" t="s">
        <v>804</v>
      </c>
      <c r="J2" s="1743"/>
    </row>
    <row r="3" spans="1:10" ht="17.25" thickBot="1">
      <c r="A3" s="8"/>
      <c r="B3" s="1761" t="str">
        <f>"인건비 현황 ( "&amp;IF(데이터입력!AE2="",데이터입력!$Y$1-1&amp;"년도 "&amp;데이터입력!$Y$9&amp;"월 현재 )",데이터입력!$Y$1&amp;"년도 "&amp;데이터입력!$Y$9&amp;"월 현재 )")</f>
        <v>인건비 현황 ( 2023년도 9월 현재 )</v>
      </c>
      <c r="C3" s="1762"/>
      <c r="D3" s="9"/>
      <c r="E3" s="1763" t="str">
        <f>IF($I$3=TRUE,$J$3,데이터입력!$Y$1&amp;"년도")</f>
        <v>2023년도</v>
      </c>
      <c r="F3" s="1764"/>
      <c r="G3" s="9"/>
      <c r="I3" s="1359" t="b">
        <v>1</v>
      </c>
      <c r="J3" s="1343" t="s">
        <v>805</v>
      </c>
    </row>
    <row r="4" spans="1:10" ht="17.25" thickBot="1">
      <c r="A4" s="8"/>
      <c r="B4" s="342" t="s">
        <v>1</v>
      </c>
      <c r="C4" s="343" t="s">
        <v>252</v>
      </c>
      <c r="D4" s="9"/>
      <c r="E4" s="1765" t="s">
        <v>231</v>
      </c>
      <c r="F4" s="1766"/>
      <c r="G4" s="9"/>
      <c r="I4" s="1360" t="b">
        <v>0</v>
      </c>
      <c r="J4" s="1358" t="s">
        <v>806</v>
      </c>
    </row>
    <row r="5" spans="1:10">
      <c r="A5" s="14"/>
      <c r="B5" s="344" t="s">
        <v>5</v>
      </c>
      <c r="C5" s="345">
        <f>IFERROR(VLOOKUP(B5,예산실적비교표!$O$5:$R$200,3,FALSE),0)</f>
        <v>13401120</v>
      </c>
      <c r="D5" s="9"/>
      <c r="E5" s="346" t="s">
        <v>232</v>
      </c>
      <c r="F5" s="1325">
        <f>IF(데이터입력!$Y$1=2023,예산평균!AD12,IF($I$3=TRUE,예산평균!AD12,예산평균!AE12))</f>
        <v>0.61399999999999999</v>
      </c>
      <c r="G5" s="9"/>
    </row>
    <row r="6" spans="1:10">
      <c r="A6" s="14"/>
      <c r="B6" s="17" t="s">
        <v>253</v>
      </c>
      <c r="C6" s="18">
        <f>IFERROR(VLOOKUP(B6,예산실적비교표!$O$5:$R$200,3,FALSE),0)</f>
        <v>113193310</v>
      </c>
      <c r="D6" s="9"/>
      <c r="E6" s="19" t="s">
        <v>233</v>
      </c>
      <c r="F6" s="1325">
        <f>IF(데이터입력!$Y$1=2023,예산평균!AD13,IF($I$3=TRUE,예산평균!AD13,예산평균!AE13))</f>
        <v>0.65800000000000003</v>
      </c>
      <c r="G6" s="9"/>
    </row>
    <row r="7" spans="1:10">
      <c r="A7" s="14"/>
      <c r="B7" s="17" t="s">
        <v>139</v>
      </c>
      <c r="C7" s="18">
        <f>IFERROR(VLOOKUP(B7,예산실적비교표!$O$5:$R$200,3,FALSE),0)</f>
        <v>50398310</v>
      </c>
      <c r="D7" s="9"/>
      <c r="E7" s="19" t="s">
        <v>234</v>
      </c>
      <c r="F7" s="1325">
        <f>IF(데이터입력!$Y$1=2023,예산평균!AD14,IF($I$3=TRUE,예산평균!AD14,예산평균!AE14))</f>
        <v>0.49</v>
      </c>
      <c r="G7" s="9"/>
    </row>
    <row r="8" spans="1:10">
      <c r="A8" s="14"/>
      <c r="B8" s="20" t="s">
        <v>40</v>
      </c>
      <c r="C8" s="21">
        <f>IFERROR(VLOOKUP(B8,예산실적비교표!$O$5:$R$200,3,FALSE),0)+IFERROR(VLOOKUP(B8,예산실적비교표!X7:AA200,3,FALSE),0)+IFERROR(VLOOKUP(B8,예산실적비교표!AG6:AJ200,3,FALSE),0)</f>
        <v>52012168</v>
      </c>
      <c r="D8" s="9"/>
      <c r="E8" s="19" t="s">
        <v>235</v>
      </c>
      <c r="F8" s="1325">
        <f>IF(데이터입력!$Y$1=2023,예산평균!AD15,IF($I$3=TRUE,예산평균!AD15,예산평균!AE15))</f>
        <v>0.59299999999999997</v>
      </c>
      <c r="G8" s="9"/>
    </row>
    <row r="9" spans="1:10">
      <c r="A9" s="14"/>
      <c r="B9" s="20" t="s">
        <v>42</v>
      </c>
      <c r="C9" s="21">
        <f>IFERROR(VLOOKUP(B9,예산실적비교표!$O$5:$R$200,3,FALSE),0)+IFERROR(VLOOKUP(B9,예산실적비교표!X8:AA201,3,FALSE),0)+IFERROR(VLOOKUP(B9,예산실적비교표!AG7:AJ201,3,FALSE),0)</f>
        <v>0</v>
      </c>
      <c r="D9" s="9"/>
      <c r="E9" s="19" t="s">
        <v>113</v>
      </c>
      <c r="F9" s="1325">
        <f>IF(데이터입력!$Y$1=2023,예산평균!AD16,IF($I$3=TRUE,예산평균!AD16,예산평균!AE16))</f>
        <v>0.86599999999999999</v>
      </c>
      <c r="G9" s="9"/>
    </row>
    <row r="10" spans="1:10">
      <c r="A10" s="14"/>
      <c r="B10" s="20" t="s">
        <v>44</v>
      </c>
      <c r="C10" s="21">
        <f>IFERROR(VLOOKUP(B10,예산실적비교표!$O$5:$R$200,3,FALSE),0)+IFERROR(VLOOKUP(B10,예산실적비교표!X9:AA202,3,FALSE),0)+IFERROR(VLOOKUP(B10,예산실적비교표!AG8:AJ202,3,FALSE),0)</f>
        <v>0</v>
      </c>
      <c r="D10" s="9"/>
      <c r="E10" s="19" t="s">
        <v>116</v>
      </c>
      <c r="F10" s="1325">
        <f>IF(데이터입력!$Y$1=2023,예산평균!AD17,IF($I$3=TRUE,예산평균!AD17,예산평균!AE17))</f>
        <v>0.501</v>
      </c>
      <c r="G10" s="9"/>
    </row>
    <row r="11" spans="1:10" ht="17.25" thickBot="1">
      <c r="A11" s="14"/>
      <c r="B11" s="20" t="s">
        <v>46</v>
      </c>
      <c r="C11" s="21">
        <f>IFERROR(VLOOKUP(B11,예산실적비교표!$O$5:$R$200,3,FALSE),0)+IFERROR(VLOOKUP(B11,예산실적비교표!X10:AA203,3,FALSE),0)+IFERROR(VLOOKUP(B11,예산실적비교표!AG9:AJ203,3,FALSE),0)</f>
        <v>6355921</v>
      </c>
      <c r="D11" s="9"/>
      <c r="E11" s="22" t="s">
        <v>119</v>
      </c>
      <c r="F11" s="1326">
        <f>IF(데이터입력!$Y$1=2023,예산평균!AD18,IF($I$3=TRUE,예산평균!AD18,예산평균!AE18))</f>
        <v>0.60899999999999999</v>
      </c>
      <c r="G11" s="9"/>
    </row>
    <row r="12" spans="1:10" ht="17.25" thickBot="1">
      <c r="A12" s="14"/>
      <c r="B12" s="23" t="s">
        <v>48</v>
      </c>
      <c r="C12" s="24">
        <f>IFERROR(VLOOKUP(B12,예산실적비교표!$O$5:$R$200,3,FALSE),0)+IFERROR(VLOOKUP(B12,예산실적비교표!X11:AA204,3,FALSE),0)+IFERROR(VLOOKUP(B12,예산실적비교표!AG10:AJ204,3,FALSE),0)</f>
        <v>8500510</v>
      </c>
      <c r="D12" s="9"/>
      <c r="E12" s="9"/>
      <c r="F12" s="9"/>
      <c r="G12" s="9"/>
    </row>
    <row r="13" spans="1:10" ht="17.25" thickBot="1">
      <c r="A13" s="9"/>
      <c r="B13" s="9"/>
      <c r="C13" s="9"/>
      <c r="D13" s="9"/>
      <c r="E13" s="9"/>
      <c r="F13" s="9"/>
      <c r="G13" s="9"/>
    </row>
    <row r="14" spans="1:10" ht="17.25" thickBot="1">
      <c r="A14" s="8"/>
      <c r="B14" s="1761" t="str">
        <f>"인건비 합산 ( "&amp;IF(데이터입력!AE2="",데이터입력!$Y$1-1&amp;"년도 "&amp;데이터입력!$Y$9&amp;"월 현재 )",데이터입력!$Y$1&amp;"년도 "&amp;데이터입력!$Y$9&amp;"월 현재 )")</f>
        <v>인건비 합산 ( 2023년도 9월 현재 )</v>
      </c>
      <c r="C14" s="1762"/>
      <c r="D14" s="9"/>
      <c r="E14" s="9"/>
      <c r="F14" s="9"/>
      <c r="G14" s="9"/>
    </row>
    <row r="15" spans="1:10">
      <c r="A15" s="8"/>
      <c r="B15" s="25" t="s">
        <v>254</v>
      </c>
      <c r="C15" s="26">
        <f>SUM($C$5:$C$7)</f>
        <v>176992740</v>
      </c>
      <c r="D15" s="9"/>
      <c r="E15" s="9"/>
      <c r="F15" s="9"/>
      <c r="G15" s="9"/>
    </row>
    <row r="16" spans="1:10" ht="17.25" thickBot="1">
      <c r="A16" s="14"/>
      <c r="B16" s="27" t="s">
        <v>164</v>
      </c>
      <c r="C16" s="28">
        <f>SUM(C8:C12)</f>
        <v>66868599</v>
      </c>
      <c r="D16" s="9"/>
      <c r="E16" s="9"/>
      <c r="F16" s="9"/>
      <c r="G16" s="9"/>
    </row>
    <row r="17" spans="1:7" ht="17.25" thickBot="1">
      <c r="A17" s="14"/>
      <c r="B17" s="29" t="s">
        <v>255</v>
      </c>
      <c r="C17" s="1054">
        <f>IFERROR(C16/C15,0)</f>
        <v>0.37780419129055803</v>
      </c>
      <c r="D17" s="1744" t="str">
        <f>IF(C23&gt;=0,"인건비비율 적합","인건비비율 부적합")</f>
        <v>인건비비율 부적합</v>
      </c>
      <c r="E17" s="1745"/>
      <c r="F17" s="9"/>
      <c r="G17" s="9"/>
    </row>
    <row r="18" spans="1:7" ht="17.25" thickBot="1">
      <c r="A18" s="9"/>
      <c r="B18" s="9"/>
      <c r="C18" s="9"/>
      <c r="D18" s="9"/>
      <c r="E18" s="9"/>
      <c r="F18" s="9"/>
      <c r="G18" s="9"/>
    </row>
    <row r="19" spans="1:7">
      <c r="A19" s="8"/>
      <c r="B19" s="30" t="s">
        <v>151</v>
      </c>
      <c r="C19" s="31" t="str">
        <f>데이터입력!AB2</f>
        <v>주야간</v>
      </c>
      <c r="D19" s="9"/>
      <c r="E19" s="9"/>
      <c r="F19" s="9"/>
      <c r="G19" s="9"/>
    </row>
    <row r="20" spans="1:7">
      <c r="A20" s="8"/>
      <c r="B20" s="32" t="str">
        <f>"인건비비율( "&amp;IF(데이터입력!AE2="",데이터입력!$Y$1-1,데이터입력!$Y$1)&amp;"년도 기준 )"</f>
        <v>인건비비율( 2023년도 기준 )</v>
      </c>
      <c r="C20" s="33">
        <f>IFERROR(VLOOKUP(C19,$E$4:$F$11,2,FALSE),0)</f>
        <v>0.49</v>
      </c>
      <c r="D20" s="9"/>
      <c r="E20" s="9"/>
      <c r="F20" s="9"/>
      <c r="G20" s="9"/>
    </row>
    <row r="21" spans="1:7">
      <c r="A21" s="8"/>
      <c r="B21" s="34" t="s">
        <v>256</v>
      </c>
      <c r="C21" s="35">
        <f>IFERROR(ROUND('인건비,생계비현황'!C15*VLOOKUP($C$19,'인건비,생계비현황'!$E$4:$F$11,2,FALSE),0),0)</f>
        <v>86726443</v>
      </c>
      <c r="D21" s="9"/>
      <c r="E21" s="9"/>
      <c r="F21" s="9"/>
      <c r="G21" s="9"/>
    </row>
    <row r="22" spans="1:7">
      <c r="A22" s="8"/>
      <c r="B22" s="36" t="str">
        <f>"직접 인건비("&amp;데이터입력!Y9&amp;"월기준)"</f>
        <v>직접 인건비(9월기준)</v>
      </c>
      <c r="C22" s="37">
        <f>SUM($C$8:$C$12)</f>
        <v>66868599</v>
      </c>
      <c r="D22" s="9"/>
      <c r="E22" s="9"/>
      <c r="F22" s="9"/>
      <c r="G22" s="9"/>
    </row>
    <row r="23" spans="1:7" ht="17.25" thickBot="1">
      <c r="A23" s="8"/>
      <c r="B23" s="29" t="s">
        <v>257</v>
      </c>
      <c r="C23" s="1055">
        <f>C16-C21</f>
        <v>-19857844</v>
      </c>
      <c r="F23" s="9"/>
      <c r="G23" s="9"/>
    </row>
    <row r="24" spans="1:7">
      <c r="A24" s="8"/>
      <c r="B24" s="9"/>
      <c r="C24" s="9"/>
      <c r="D24" s="9"/>
      <c r="E24" s="9"/>
      <c r="F24" s="9"/>
      <c r="G24" s="9"/>
    </row>
    <row r="25" spans="1:7">
      <c r="A25" s="8"/>
      <c r="B25" s="1746" t="s">
        <v>258</v>
      </c>
      <c r="C25" s="1746"/>
      <c r="D25" s="1746"/>
      <c r="E25" s="1746"/>
      <c r="F25" s="1746"/>
      <c r="G25" s="9"/>
    </row>
    <row r="26" spans="1:7" ht="17.25" thickBot="1">
      <c r="A26" s="8"/>
      <c r="B26" s="9"/>
      <c r="C26" s="9"/>
      <c r="D26" s="9"/>
      <c r="E26" s="9"/>
      <c r="F26" s="9"/>
      <c r="G26" s="9"/>
    </row>
    <row r="27" spans="1:7" ht="16.5" customHeight="1">
      <c r="A27" s="8"/>
      <c r="B27" s="1747" t="str">
        <f>"식재료비 현황 ( "&amp;IF(데이터입력!AE2="",데이터입력!$Y$1-1&amp;"년도 "&amp;데이터입력!$Y$9&amp;"월 현재 )",데이터입력!$Y$1&amp;"년도 "&amp;데이터입력!$Y$9&amp;"월 현재 )")</f>
        <v>식재료비 현황 ( 2023년도 9월 현재 )</v>
      </c>
      <c r="C27" s="1748"/>
      <c r="D27" s="9"/>
      <c r="E27" s="1749" t="s">
        <v>259</v>
      </c>
      <c r="F27" s="1750"/>
      <c r="G27" s="1751"/>
    </row>
    <row r="28" spans="1:7" ht="17.25" thickBot="1">
      <c r="A28" s="8"/>
      <c r="B28" s="1758" t="s">
        <v>260</v>
      </c>
      <c r="C28" s="1759"/>
      <c r="D28" s="9"/>
      <c r="E28" s="1752"/>
      <c r="F28" s="1753"/>
      <c r="G28" s="1754"/>
    </row>
    <row r="29" spans="1:7" ht="17.25" thickBot="1">
      <c r="A29" s="14"/>
      <c r="B29" s="38" t="s">
        <v>1</v>
      </c>
      <c r="C29" s="39" t="s">
        <v>252</v>
      </c>
      <c r="D29" s="40"/>
      <c r="E29" s="1752"/>
      <c r="F29" s="1753"/>
      <c r="G29" s="1754"/>
    </row>
    <row r="30" spans="1:7">
      <c r="A30" s="14"/>
      <c r="B30" s="15" t="s">
        <v>261</v>
      </c>
      <c r="C30" s="16">
        <f>IFERROR(VLOOKUP(B30,예산실적비교표!$O$5:$R$200,3,FALSE),0)</f>
        <v>17408270</v>
      </c>
      <c r="D30" s="40"/>
      <c r="E30" s="1752"/>
      <c r="F30" s="1753"/>
      <c r="G30" s="1754"/>
    </row>
    <row r="31" spans="1:7">
      <c r="A31" s="14"/>
      <c r="B31" s="17" t="s">
        <v>262</v>
      </c>
      <c r="C31" s="18">
        <f>IFERROR(VLOOKUP(B31,예산실적비교표!$O$5:$R$200,3,FALSE),0)</f>
        <v>0</v>
      </c>
      <c r="D31" s="40"/>
      <c r="E31" s="1752"/>
      <c r="F31" s="1753"/>
      <c r="G31" s="1754"/>
    </row>
    <row r="32" spans="1:7">
      <c r="A32" s="14"/>
      <c r="B32" s="17" t="s">
        <v>263</v>
      </c>
      <c r="C32" s="18">
        <f>IFERROR(VLOOKUP(B32,예산실적비교표!$O$5:$R$200,3,FALSE),0)</f>
        <v>0</v>
      </c>
      <c r="D32" s="40"/>
      <c r="E32" s="1752"/>
      <c r="F32" s="1753"/>
      <c r="G32" s="1754"/>
    </row>
    <row r="33" spans="1:7" ht="17.25" thickBot="1">
      <c r="A33" s="14"/>
      <c r="B33" s="23" t="s">
        <v>174</v>
      </c>
      <c r="C33" s="24">
        <f>IFERROR(VLOOKUP(B33,예산실적비교표!$O$5:$R$200,3,FALSE),0)</f>
        <v>17322790</v>
      </c>
      <c r="D33" s="40"/>
      <c r="E33" s="1755"/>
      <c r="F33" s="1756"/>
      <c r="G33" s="1757"/>
    </row>
    <row r="34" spans="1:7">
      <c r="A34" s="8"/>
      <c r="B34" s="9"/>
      <c r="C34" s="9"/>
      <c r="D34" s="9"/>
      <c r="E34" s="9"/>
      <c r="F34" s="9"/>
      <c r="G34" s="9"/>
    </row>
    <row r="35" spans="1:7">
      <c r="A35" s="8"/>
      <c r="B35" s="1767" t="s">
        <v>264</v>
      </c>
      <c r="C35" s="1767"/>
      <c r="D35" s="1767"/>
      <c r="E35" s="1767"/>
      <c r="F35" s="1767"/>
      <c r="G35" s="9"/>
    </row>
    <row r="36" spans="1:7" ht="17.25" thickBot="1">
      <c r="A36" s="8"/>
      <c r="B36" s="9"/>
      <c r="C36" s="9"/>
      <c r="D36" s="9"/>
      <c r="E36" s="9"/>
      <c r="F36" s="9"/>
      <c r="G36" s="9"/>
    </row>
    <row r="37" spans="1:7">
      <c r="A37" s="8"/>
      <c r="B37" s="1770" t="str">
        <f>"식재료비 합산 ( "&amp;IF(데이터입력!AE2="",데이터입력!$Y$1-1&amp;"년도 "&amp;데이터입력!$Y$9&amp;"월 현재 )",데이터입력!$Y$1&amp;"년도 "&amp;데이터입력!$Y$9&amp;"월 현재 )")</f>
        <v>식재료비 합산 ( 2023년도 9월 현재 )</v>
      </c>
      <c r="C37" s="1771"/>
      <c r="D37" s="9"/>
      <c r="E37" s="9"/>
      <c r="F37" s="9"/>
      <c r="G37" s="9"/>
    </row>
    <row r="38" spans="1:7">
      <c r="A38" s="14"/>
      <c r="B38" s="25" t="s">
        <v>265</v>
      </c>
      <c r="C38" s="26">
        <f>SUM(C30:C32)</f>
        <v>17408270</v>
      </c>
      <c r="D38" s="9"/>
      <c r="E38" s="9"/>
      <c r="F38" s="9"/>
      <c r="G38" s="9"/>
    </row>
    <row r="39" spans="1:7" ht="17.25" thickBot="1">
      <c r="A39" s="14"/>
      <c r="B39" s="27" t="s">
        <v>266</v>
      </c>
      <c r="C39" s="28">
        <f>C33</f>
        <v>17322790</v>
      </c>
      <c r="D39" s="9"/>
      <c r="E39" s="9"/>
      <c r="F39" s="9"/>
      <c r="G39" s="9"/>
    </row>
    <row r="40" spans="1:7" ht="17.25" thickBot="1">
      <c r="A40" s="14"/>
      <c r="B40" s="29" t="s">
        <v>267</v>
      </c>
      <c r="C40" s="1055">
        <f>C38-C39</f>
        <v>85480</v>
      </c>
      <c r="D40" s="1744" t="str">
        <f>IF(C40&gt;0,"생계비지출 부적합","생계비지출 적합")</f>
        <v>생계비지출 부적합</v>
      </c>
      <c r="E40" s="1745"/>
      <c r="F40" s="9"/>
      <c r="G40" s="9"/>
    </row>
    <row r="41" spans="1:7" s="9" customFormat="1">
      <c r="A41" s="8"/>
      <c r="B41" s="354"/>
      <c r="C41" s="354"/>
      <c r="D41" s="353"/>
      <c r="E41" s="353"/>
    </row>
    <row r="42" spans="1:7">
      <c r="A42" s="8"/>
      <c r="B42" s="1768" t="s">
        <v>268</v>
      </c>
      <c r="C42" s="1768"/>
      <c r="D42" s="1768"/>
      <c r="E42" s="1768"/>
      <c r="F42" s="1768"/>
      <c r="G42" s="1768"/>
    </row>
    <row r="43" spans="1:7">
      <c r="A43" s="8"/>
      <c r="B43" s="1769" t="str">
        <f>"※ "&amp;IF(데이터입력!AE2="",데이터입력!$Y$1-1&amp;"년도 "&amp;데이터입력!$Y$9,데이터입력!$Y$1&amp;"년도 "&amp;데이터입력!$Y$9)&amp;"월 말일 계좌잔액이 [식재료비수입]의 남은 금액을 상회하여야함."</f>
        <v>※ 2023년도 9월 말일 계좌잔액이 [식재료비수입]의 남은 금액을 상회하여야함.</v>
      </c>
      <c r="C43" s="1769"/>
      <c r="D43" s="1769"/>
      <c r="E43" s="1769"/>
      <c r="F43" s="1769"/>
      <c r="G43" s="1769"/>
    </row>
    <row r="44" spans="1:7">
      <c r="A44" s="8"/>
      <c r="G44" s="9"/>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row r="148" spans="1:1">
      <c r="A148" s="43"/>
    </row>
    <row r="149" spans="1:1">
      <c r="A149" s="43"/>
    </row>
    <row r="150" spans="1:1">
      <c r="A150" s="43"/>
    </row>
    <row r="151" spans="1:1">
      <c r="A151" s="43"/>
    </row>
    <row r="152" spans="1:1">
      <c r="A152" s="43"/>
    </row>
    <row r="153" spans="1:1">
      <c r="A153" s="43"/>
    </row>
    <row r="154" spans="1:1">
      <c r="A154" s="43"/>
    </row>
    <row r="155" spans="1:1">
      <c r="A155" s="43"/>
    </row>
    <row r="156" spans="1:1">
      <c r="A156" s="43"/>
    </row>
    <row r="157" spans="1:1">
      <c r="A157" s="43"/>
    </row>
    <row r="158" spans="1:1">
      <c r="A158" s="43"/>
    </row>
    <row r="159" spans="1:1">
      <c r="A159" s="43"/>
    </row>
    <row r="160" spans="1:1">
      <c r="A160" s="43"/>
    </row>
    <row r="161" spans="1:1">
      <c r="A161" s="43"/>
    </row>
    <row r="162" spans="1:1">
      <c r="A162" s="43"/>
    </row>
    <row r="163" spans="1:1">
      <c r="A163" s="43"/>
    </row>
    <row r="164" spans="1:1">
      <c r="A164" s="43"/>
    </row>
    <row r="165" spans="1:1">
      <c r="A165" s="43"/>
    </row>
    <row r="166" spans="1:1">
      <c r="A166" s="43"/>
    </row>
    <row r="167" spans="1:1">
      <c r="A167" s="43"/>
    </row>
    <row r="168" spans="1:1">
      <c r="A168" s="43"/>
    </row>
    <row r="169" spans="1:1">
      <c r="A169" s="43"/>
    </row>
    <row r="170" spans="1:1">
      <c r="A170" s="43"/>
    </row>
    <row r="171" spans="1:1">
      <c r="A171" s="43"/>
    </row>
    <row r="172" spans="1:1">
      <c r="A172" s="43"/>
    </row>
    <row r="173" spans="1:1">
      <c r="A173" s="43"/>
    </row>
  </sheetData>
  <mergeCells count="16">
    <mergeCell ref="B35:F35"/>
    <mergeCell ref="D40:E40"/>
    <mergeCell ref="B42:G42"/>
    <mergeCell ref="B43:G43"/>
    <mergeCell ref="B37:C37"/>
    <mergeCell ref="I2:J2"/>
    <mergeCell ref="D17:E17"/>
    <mergeCell ref="B25:F25"/>
    <mergeCell ref="B27:C27"/>
    <mergeCell ref="E27:G33"/>
    <mergeCell ref="B28:C28"/>
    <mergeCell ref="A1:G2"/>
    <mergeCell ref="B3:C3"/>
    <mergeCell ref="E3:F3"/>
    <mergeCell ref="E4:F4"/>
    <mergeCell ref="B14:C14"/>
  </mergeCells>
  <phoneticPr fontId="1" type="noConversion"/>
  <conditionalFormatting sqref="C17">
    <cfRule type="expression" dxfId="9" priority="3">
      <formula>$C$17&lt;$C$20</formula>
    </cfRule>
    <cfRule type="expression" dxfId="8" priority="4">
      <formula>$C$17&gt;=$C$20</formula>
    </cfRule>
  </conditionalFormatting>
  <conditionalFormatting sqref="C23">
    <cfRule type="expression" dxfId="7" priority="7">
      <formula>$C$23&lt;0</formula>
    </cfRule>
    <cfRule type="expression" dxfId="6" priority="8">
      <formula>$C$23&gt;=0</formula>
    </cfRule>
  </conditionalFormatting>
  <conditionalFormatting sqref="C40">
    <cfRule type="cellIs" dxfId="5" priority="1" operator="greaterThan">
      <formula>0</formula>
    </cfRule>
    <cfRule type="expression" dxfId="4" priority="2">
      <formula>$C$40&lt;=0</formula>
    </cfRule>
  </conditionalFormatting>
  <conditionalFormatting sqref="D41">
    <cfRule type="containsText" dxfId="3" priority="9" operator="containsText" text="부적합">
      <formula>NOT(ISERROR(SEARCH("부적합",D41)))</formula>
    </cfRule>
    <cfRule type="containsText" dxfId="2" priority="10" operator="containsText" text=" 적합">
      <formula>NOT(ISERROR(SEARCH(" 적합",D41)))</formula>
    </cfRule>
  </conditionalFormatting>
  <conditionalFormatting sqref="D17:E17 D40">
    <cfRule type="containsText" dxfId="1" priority="5" operator="containsText" text="부적합">
      <formula>NOT(ISERROR(SEARCH("부적합",D17)))</formula>
    </cfRule>
    <cfRule type="containsText" dxfId="0" priority="6" operator="containsText" text=" 적합">
      <formula>NOT(ISERROR(SEARCH(" 적합",D17)))</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ltText="">
                <anchor moveWithCells="1">
                  <from>
                    <xdr:col>8</xdr:col>
                    <xdr:colOff>238125</xdr:colOff>
                    <xdr:row>1</xdr:row>
                    <xdr:rowOff>209550</xdr:rowOff>
                  </from>
                  <to>
                    <xdr:col>8</xdr:col>
                    <xdr:colOff>542925</xdr:colOff>
                    <xdr:row>3</xdr:row>
                    <xdr:rowOff>19050</xdr:rowOff>
                  </to>
                </anchor>
              </controlPr>
            </control>
          </mc:Choice>
        </mc:AlternateContent>
        <mc:AlternateContent xmlns:mc="http://schemas.openxmlformats.org/markup-compatibility/2006">
          <mc:Choice Requires="x14">
            <control shapeId="39938" r:id="rId5" name="Check Box 2">
              <controlPr defaultSize="0" autoFill="0" autoLine="0" autoPict="0" altText="">
                <anchor moveWithCells="1">
                  <from>
                    <xdr:col>8</xdr:col>
                    <xdr:colOff>238125</xdr:colOff>
                    <xdr:row>2</xdr:row>
                    <xdr:rowOff>190500</xdr:rowOff>
                  </from>
                  <to>
                    <xdr:col>8</xdr:col>
                    <xdr:colOff>542925</xdr:colOff>
                    <xdr:row>4</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DB62-5732-4B16-AA09-0A3F5183170C}">
  <sheetPr>
    <tabColor theme="5"/>
  </sheetPr>
  <dimension ref="A1:F23"/>
  <sheetViews>
    <sheetView view="pageBreakPreview" zoomScale="85" zoomScaleNormal="100" zoomScaleSheetLayoutView="85" workbookViewId="0">
      <selection activeCell="N14" sqref="N14"/>
    </sheetView>
  </sheetViews>
  <sheetFormatPr defaultRowHeight="16.5"/>
  <cols>
    <col min="1" max="2" width="17.75" style="605" customWidth="1"/>
    <col min="3" max="3" width="9.75" style="605" customWidth="1"/>
    <col min="4" max="4" width="24.625" style="605" customWidth="1"/>
    <col min="5" max="5" width="13.875" style="605" customWidth="1"/>
    <col min="6" max="6" width="17.375" style="605" customWidth="1"/>
    <col min="7" max="16384" width="9" style="214"/>
  </cols>
  <sheetData>
    <row r="1" spans="1:6" s="605" customFormat="1" ht="35.25" customHeight="1">
      <c r="A1" s="603"/>
      <c r="B1" s="604"/>
      <c r="C1" s="604"/>
      <c r="D1" s="604"/>
      <c r="E1" s="604"/>
      <c r="F1" s="604"/>
    </row>
    <row r="2" spans="1:6" s="605" customFormat="1" ht="35.25" customHeight="1">
      <c r="A2" s="1776" t="s">
        <v>342</v>
      </c>
      <c r="B2" s="1777"/>
      <c r="C2" s="1777"/>
      <c r="D2" s="1777"/>
      <c r="E2" s="1777"/>
      <c r="F2" s="1778"/>
    </row>
    <row r="3" spans="1:6" s="605" customFormat="1" ht="35.25" customHeight="1">
      <c r="A3" s="1779"/>
      <c r="B3" s="1780"/>
      <c r="C3" s="1780"/>
      <c r="D3" s="1780"/>
      <c r="E3" s="1780"/>
      <c r="F3" s="1781"/>
    </row>
    <row r="4" spans="1:6" s="605" customFormat="1" ht="35.25" customHeight="1">
      <c r="A4" s="1782" t="s">
        <v>343</v>
      </c>
      <c r="B4" s="1783"/>
      <c r="C4" s="606" t="s">
        <v>344</v>
      </c>
      <c r="D4" s="607">
        <f>데이터입력!Y2</f>
        <v>45267</v>
      </c>
      <c r="E4" s="1784"/>
      <c r="F4" s="1785"/>
    </row>
    <row r="5" spans="1:6" s="605" customFormat="1" ht="35.25" customHeight="1">
      <c r="A5" s="1786" t="s">
        <v>345</v>
      </c>
      <c r="B5" s="1787"/>
      <c r="C5" s="1787"/>
      <c r="D5" s="1787"/>
      <c r="E5" s="1787"/>
      <c r="F5" s="1788"/>
    </row>
    <row r="6" spans="1:6" s="605" customFormat="1" ht="35.25" customHeight="1">
      <c r="A6" s="1772" t="s">
        <v>346</v>
      </c>
      <c r="B6" s="1773"/>
      <c r="C6" s="608" t="s">
        <v>347</v>
      </c>
      <c r="D6" s="609" t="str">
        <f>데이터입력!AB1</f>
        <v>한마음데이케어센터</v>
      </c>
      <c r="E6" s="608" t="s">
        <v>348</v>
      </c>
      <c r="F6" s="610" t="str">
        <f>IF(데이터입력!$AE$1="","",데이터입력!$AE$1)</f>
        <v>윤의영</v>
      </c>
    </row>
    <row r="7" spans="1:6" s="605" customFormat="1" ht="35.25" customHeight="1" thickBot="1">
      <c r="A7" s="1774"/>
      <c r="B7" s="1775"/>
      <c r="C7" s="611" t="s">
        <v>349</v>
      </c>
      <c r="D7" s="612"/>
      <c r="E7" s="611" t="s">
        <v>350</v>
      </c>
      <c r="F7" s="613"/>
    </row>
    <row r="8" spans="1:6" s="605" customFormat="1" ht="35.25" customHeight="1">
      <c r="A8" s="1792"/>
      <c r="B8" s="1793"/>
      <c r="C8" s="1793"/>
      <c r="D8" s="1793"/>
      <c r="E8" s="1793"/>
      <c r="F8" s="1794"/>
    </row>
    <row r="9" spans="1:6" s="605" customFormat="1" ht="35.25" customHeight="1">
      <c r="A9" s="1795" t="s">
        <v>351</v>
      </c>
      <c r="B9" s="1796"/>
      <c r="C9" s="1820">
        <f>데이터입력!H18+데이터입력!H19</f>
        <v>0</v>
      </c>
      <c r="D9" s="1821"/>
      <c r="E9" s="902" t="s">
        <v>710</v>
      </c>
      <c r="F9" s="903"/>
    </row>
    <row r="10" spans="1:6" s="605" customFormat="1" ht="35.25" customHeight="1">
      <c r="A10" s="1797" t="s">
        <v>352</v>
      </c>
      <c r="B10" s="1798"/>
      <c r="C10" s="1799" t="s">
        <v>353</v>
      </c>
      <c r="D10" s="1800"/>
      <c r="E10" s="1800"/>
      <c r="F10" s="1801"/>
    </row>
    <row r="11" spans="1:6" s="605" customFormat="1" ht="35.25" customHeight="1">
      <c r="A11" s="1805" t="s">
        <v>354</v>
      </c>
      <c r="B11" s="1806"/>
      <c r="C11" s="1802"/>
      <c r="D11" s="1803"/>
      <c r="E11" s="1803"/>
      <c r="F11" s="1804"/>
    </row>
    <row r="12" spans="1:6" s="605" customFormat="1" ht="35.25" customHeight="1">
      <c r="A12" s="1807" t="s">
        <v>355</v>
      </c>
      <c r="B12" s="1808"/>
      <c r="C12" s="1809" t="str">
        <f>데이터입력!$Y$1&amp;"년도 상환예정
장기요양급여수입, 가산금 등의 수입금액으로 상환예정"</f>
        <v>2023년도 상환예정
장기요양급여수입, 가산금 등의 수입금액으로 상환예정</v>
      </c>
      <c r="D12" s="1810"/>
      <c r="E12" s="1810"/>
      <c r="F12" s="1811"/>
    </row>
    <row r="13" spans="1:6" s="605" customFormat="1" ht="35.25" customHeight="1" thickBot="1">
      <c r="A13" s="1815" t="s">
        <v>356</v>
      </c>
      <c r="B13" s="1816"/>
      <c r="C13" s="1812"/>
      <c r="D13" s="1813"/>
      <c r="E13" s="1813"/>
      <c r="F13" s="1814"/>
    </row>
    <row r="14" spans="1:6" s="605" customFormat="1" ht="35.25" customHeight="1">
      <c r="A14" s="1817"/>
      <c r="B14" s="1818"/>
      <c r="C14" s="1818"/>
      <c r="D14" s="1818"/>
      <c r="E14" s="1818"/>
      <c r="F14" s="1819"/>
    </row>
    <row r="15" spans="1:6" s="605" customFormat="1" ht="35.25" customHeight="1">
      <c r="A15" s="1789" t="s">
        <v>357</v>
      </c>
      <c r="B15" s="1790"/>
      <c r="C15" s="1790"/>
      <c r="D15" s="1790"/>
      <c r="E15" s="1790"/>
      <c r="F15" s="1791"/>
    </row>
    <row r="16" spans="1:6" s="605" customFormat="1" ht="35.25" customHeight="1">
      <c r="A16" s="1789"/>
      <c r="B16" s="1790"/>
      <c r="C16" s="1790"/>
      <c r="D16" s="1790"/>
      <c r="E16" s="1790"/>
      <c r="F16" s="1791"/>
    </row>
    <row r="17" spans="1:6" s="605" customFormat="1" ht="35.25" customHeight="1">
      <c r="A17" s="1825">
        <f>D4</f>
        <v>45267</v>
      </c>
      <c r="B17" s="1826"/>
      <c r="C17" s="1826"/>
      <c r="D17" s="1826"/>
      <c r="E17" s="1826"/>
      <c r="F17" s="1827"/>
    </row>
    <row r="18" spans="1:6" s="605" customFormat="1" ht="35.25" customHeight="1">
      <c r="A18" s="1828" t="s">
        <v>346</v>
      </c>
      <c r="B18" s="1829"/>
      <c r="C18" s="1829"/>
      <c r="D18" s="1826" t="str">
        <f>F6</f>
        <v>윤의영</v>
      </c>
      <c r="E18" s="1826"/>
      <c r="F18" s="614" t="s">
        <v>358</v>
      </c>
    </row>
    <row r="19" spans="1:6" s="605" customFormat="1" ht="35.25" customHeight="1" thickBot="1">
      <c r="A19" s="1830"/>
      <c r="B19" s="1831"/>
      <c r="C19" s="1831"/>
      <c r="D19" s="1831"/>
      <c r="E19" s="1831"/>
      <c r="F19" s="1832"/>
    </row>
    <row r="20" spans="1:6" s="605" customFormat="1" ht="35.25" customHeight="1" thickTop="1">
      <c r="A20" s="1833"/>
      <c r="B20" s="1834"/>
      <c r="C20" s="1834"/>
      <c r="D20" s="1834"/>
      <c r="E20" s="1834"/>
      <c r="F20" s="1835"/>
    </row>
    <row r="21" spans="1:6" s="605" customFormat="1" ht="35.25" customHeight="1">
      <c r="A21" s="1836" t="s">
        <v>359</v>
      </c>
      <c r="B21" s="1838" t="s">
        <v>360</v>
      </c>
      <c r="C21" s="1839"/>
      <c r="D21" s="1839"/>
      <c r="E21" s="1840"/>
      <c r="F21" s="615" t="s">
        <v>361</v>
      </c>
    </row>
    <row r="22" spans="1:6" s="605" customFormat="1" ht="35.25" customHeight="1">
      <c r="A22" s="1837"/>
      <c r="B22" s="1841"/>
      <c r="C22" s="1842"/>
      <c r="D22" s="1842"/>
      <c r="E22" s="1843"/>
      <c r="F22" s="616" t="s">
        <v>362</v>
      </c>
    </row>
    <row r="23" spans="1:6" s="605" customFormat="1" ht="35.25" customHeight="1">
      <c r="A23" s="1822"/>
      <c r="B23" s="1823"/>
      <c r="C23" s="1823"/>
      <c r="D23" s="1823"/>
      <c r="E23" s="1823"/>
      <c r="F23" s="1824"/>
    </row>
  </sheetData>
  <sheetProtection algorithmName="SHA-512" hashValue="AI6VD68IX6CS9RuLWHMKcGdTaNZw9Ak3wo8qrfwg6bQDCTfXWgewhOKiuaygpcBAN3WfswPp5gDoop4CdDRgKg==" saltValue="kpKBjs7WH1I5EBpSPBx3OA==" spinCount="100000" sheet="1" objects="1" scenarios="1"/>
  <mergeCells count="26">
    <mergeCell ref="A23:F23"/>
    <mergeCell ref="A17:F17"/>
    <mergeCell ref="A18:C18"/>
    <mergeCell ref="D18:E18"/>
    <mergeCell ref="A19:F19"/>
    <mergeCell ref="A20:F20"/>
    <mergeCell ref="A21:A22"/>
    <mergeCell ref="B21:E22"/>
    <mergeCell ref="A16:F16"/>
    <mergeCell ref="A8:F8"/>
    <mergeCell ref="A9:B9"/>
    <mergeCell ref="A10:B10"/>
    <mergeCell ref="C10:F11"/>
    <mergeCell ref="A11:B11"/>
    <mergeCell ref="A12:B12"/>
    <mergeCell ref="C12:F13"/>
    <mergeCell ref="A13:B13"/>
    <mergeCell ref="A14:F14"/>
    <mergeCell ref="A15:F15"/>
    <mergeCell ref="C9:D9"/>
    <mergeCell ref="A6:B7"/>
    <mergeCell ref="A2:F2"/>
    <mergeCell ref="A3:F3"/>
    <mergeCell ref="A4:B4"/>
    <mergeCell ref="E4:F4"/>
    <mergeCell ref="A5:F5"/>
  </mergeCells>
  <phoneticPr fontId="1" type="noConversion"/>
  <pageMargins left="0.7" right="0.7" top="0.75" bottom="0.75" header="0.3" footer="0.3"/>
  <pageSetup paperSize="9" scale="78"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EC8A-6B70-47AD-AF88-0DDB98BFE743}">
  <sheetPr>
    <tabColor theme="5"/>
  </sheetPr>
  <dimension ref="A1:F24"/>
  <sheetViews>
    <sheetView view="pageBreakPreview" zoomScale="85" zoomScaleNormal="100" zoomScaleSheetLayoutView="85" workbookViewId="0">
      <selection activeCell="D10" sqref="D10"/>
    </sheetView>
  </sheetViews>
  <sheetFormatPr defaultRowHeight="16.5"/>
  <cols>
    <col min="1" max="1" width="21.75" style="605" customWidth="1"/>
    <col min="2" max="2" width="4.875" style="605" customWidth="1"/>
    <col min="3" max="3" width="17.25" style="605" customWidth="1"/>
    <col min="4" max="4" width="24.625" style="605" customWidth="1"/>
    <col min="5" max="5" width="13.875" style="605" customWidth="1"/>
    <col min="6" max="6" width="18.75" style="605" customWidth="1"/>
    <col min="7" max="16384" width="9" style="214"/>
  </cols>
  <sheetData>
    <row r="1" spans="1:6" s="605" customFormat="1" ht="35.25" customHeight="1" thickTop="1">
      <c r="A1" s="617"/>
      <c r="B1" s="618"/>
      <c r="C1" s="619"/>
      <c r="D1" s="619"/>
      <c r="E1" s="619"/>
      <c r="F1" s="620"/>
    </row>
    <row r="2" spans="1:6" s="605" customFormat="1" ht="35.25" customHeight="1">
      <c r="A2" s="1844" t="s">
        <v>371</v>
      </c>
      <c r="B2" s="1845"/>
      <c r="C2" s="1845"/>
      <c r="D2" s="1845"/>
      <c r="E2" s="1845"/>
      <c r="F2" s="1846"/>
    </row>
    <row r="3" spans="1:6" s="605" customFormat="1" ht="35.25" customHeight="1">
      <c r="A3" s="1847"/>
      <c r="B3" s="1848"/>
      <c r="C3" s="1848"/>
      <c r="D3" s="1848"/>
      <c r="E3" s="1848"/>
      <c r="F3" s="1849"/>
    </row>
    <row r="4" spans="1:6" s="605" customFormat="1" ht="35.25" customHeight="1">
      <c r="A4" s="621" t="s">
        <v>343</v>
      </c>
      <c r="B4" s="622"/>
      <c r="C4" s="623" t="s">
        <v>344</v>
      </c>
      <c r="D4" s="607">
        <f>데이터입력!Y2</f>
        <v>45267</v>
      </c>
      <c r="E4" s="1784"/>
      <c r="F4" s="1850"/>
    </row>
    <row r="5" spans="1:6" s="605" customFormat="1" ht="35.25" customHeight="1">
      <c r="A5" s="1851" t="s">
        <v>345</v>
      </c>
      <c r="B5" s="1787"/>
      <c r="C5" s="1787"/>
      <c r="D5" s="1787"/>
      <c r="E5" s="1787"/>
      <c r="F5" s="1852"/>
    </row>
    <row r="6" spans="1:6" s="605" customFormat="1" ht="35.25" customHeight="1">
      <c r="A6" s="1853" t="s">
        <v>346</v>
      </c>
      <c r="B6" s="1773"/>
      <c r="C6" s="608" t="s">
        <v>347</v>
      </c>
      <c r="D6" s="609" t="str">
        <f>데이터입력!AB1</f>
        <v>한마음데이케어센터</v>
      </c>
      <c r="E6" s="608" t="s">
        <v>348</v>
      </c>
      <c r="F6" s="624" t="str">
        <f>IF(데이터입력!$AE$1="","",데이터입력!$AE$1)</f>
        <v>윤의영</v>
      </c>
    </row>
    <row r="7" spans="1:6" s="605" customFormat="1" ht="35.25" customHeight="1" thickBot="1">
      <c r="A7" s="1854"/>
      <c r="B7" s="1775"/>
      <c r="C7" s="611" t="s">
        <v>349</v>
      </c>
      <c r="D7" s="612"/>
      <c r="E7" s="611" t="s">
        <v>350</v>
      </c>
      <c r="F7" s="625"/>
    </row>
    <row r="8" spans="1:6" s="605" customFormat="1" ht="35.25" customHeight="1">
      <c r="A8" s="1864"/>
      <c r="B8" s="1865"/>
      <c r="C8" s="1865"/>
      <c r="D8" s="1865"/>
      <c r="E8" s="1865"/>
      <c r="F8" s="1866"/>
    </row>
    <row r="9" spans="1:6" s="605" customFormat="1" ht="35.25" customHeight="1">
      <c r="A9" s="626" t="s">
        <v>366</v>
      </c>
      <c r="B9" s="627"/>
      <c r="C9" s="901">
        <f>데이터입력!H79</f>
        <v>0</v>
      </c>
      <c r="D9" s="899" t="s">
        <v>710</v>
      </c>
      <c r="E9" s="899"/>
      <c r="F9" s="900"/>
    </row>
    <row r="10" spans="1:6" s="605" customFormat="1" ht="35.25" customHeight="1">
      <c r="A10" s="626" t="s">
        <v>367</v>
      </c>
      <c r="B10" s="627"/>
      <c r="C10" s="898">
        <f>데이터입력!$Z$8</f>
        <v>44927</v>
      </c>
      <c r="D10" s="895" t="str">
        <f>"~   "&amp;데이터입력!$Y$1&amp;"-12-31"</f>
        <v>~   2023-12-31</v>
      </c>
      <c r="E10" s="896"/>
      <c r="F10" s="897"/>
    </row>
    <row r="11" spans="1:6" s="605" customFormat="1" ht="35.25" customHeight="1">
      <c r="A11" s="626" t="s">
        <v>368</v>
      </c>
      <c r="B11" s="627"/>
      <c r="C11" s="1867" t="s">
        <v>364</v>
      </c>
      <c r="D11" s="1867"/>
      <c r="E11" s="1867"/>
      <c r="F11" s="1868"/>
    </row>
    <row r="12" spans="1:6" s="605" customFormat="1" ht="35.25" customHeight="1">
      <c r="A12" s="626" t="s">
        <v>369</v>
      </c>
      <c r="B12" s="627"/>
      <c r="C12" s="1867" t="s">
        <v>365</v>
      </c>
      <c r="D12" s="1867"/>
      <c r="E12" s="1867"/>
      <c r="F12" s="1868"/>
    </row>
    <row r="13" spans="1:6" s="605" customFormat="1" ht="35.25" customHeight="1">
      <c r="A13" s="626" t="s">
        <v>370</v>
      </c>
      <c r="B13" s="627"/>
      <c r="C13" s="1867" t="str">
        <f>데이터입력!$AB$1&amp;" 본 회계에서 지출처리 후 특별회계로 운영"</f>
        <v>한마음데이케어센터 본 회계에서 지출처리 후 특별회계로 운영</v>
      </c>
      <c r="D13" s="1867"/>
      <c r="E13" s="1867"/>
      <c r="F13" s="1868"/>
    </row>
    <row r="14" spans="1:6" s="605" customFormat="1" ht="15.75" customHeight="1">
      <c r="A14" s="1861"/>
      <c r="B14" s="1862"/>
      <c r="C14" s="1862"/>
      <c r="D14" s="1862"/>
      <c r="E14" s="1862"/>
      <c r="F14" s="1863"/>
    </row>
    <row r="15" spans="1:6" s="605" customFormat="1" ht="44.25" customHeight="1">
      <c r="A15" s="1869" t="str">
        <f>" 기관의 안정적인 운영을 위하여 2년 이상의 운영충당금을 적립하여 기관운영 시 발생하는 과도한 지출을 해결하기 위한 비용으로 기관 운영에 영향을 미치지 않고 노인복지사업을 유지 할 수 있도록 하고자 함.
 적립금액의 범위는 시설운영과 인건비를 지급하는데 영향을 미치지 않는 범위 내에서 적립금액을 결정하였음.
 적립방식은 사용용도가 발생할 경우 손실이 발생하지 않고 중도해지 또는 인출하여 사용이 가능한 방식으로 적립하고자 함.
 위 적립금은 "&amp;데이터입력!Y1&amp;"년도 세출예산에 편성하여 운영위원회 보고 및 이사회의 승인을 득한 후 집행하기로 함."</f>
        <v xml:space="preserve"> 기관의 안정적인 운영을 위하여 2년 이상의 운영충당금을 적립하여 기관운영 시 발생하는 과도한 지출을 해결하기 위한 비용으로 기관 운영에 영향을 미치지 않고 노인복지사업을 유지 할 수 있도록 하고자 함.
 적립금액의 범위는 시설운영과 인건비를 지급하는데 영향을 미치지 않는 범위 내에서 적립금액을 결정하였음.
 적립방식은 사용용도가 발생할 경우 손실이 발생하지 않고 중도해지 또는 인출하여 사용이 가능한 방식으로 적립하고자 함.
 위 적립금은 2023년도 세출예산에 편성하여 운영위원회 보고 및 이사회의 승인을 득한 후 집행하기로 함.</v>
      </c>
      <c r="B15" s="1870"/>
      <c r="C15" s="1870"/>
      <c r="D15" s="1870"/>
      <c r="E15" s="1870"/>
      <c r="F15" s="1871"/>
    </row>
    <row r="16" spans="1:6" s="605" customFormat="1" ht="44.25" customHeight="1">
      <c r="A16" s="1869"/>
      <c r="B16" s="1870"/>
      <c r="C16" s="1870"/>
      <c r="D16" s="1870"/>
      <c r="E16" s="1870"/>
      <c r="F16" s="1871"/>
    </row>
    <row r="17" spans="1:6" s="605" customFormat="1" ht="44.25" customHeight="1">
      <c r="A17" s="1869"/>
      <c r="B17" s="1870"/>
      <c r="C17" s="1870"/>
      <c r="D17" s="1870"/>
      <c r="E17" s="1870"/>
      <c r="F17" s="1871"/>
    </row>
    <row r="18" spans="1:6" s="605" customFormat="1" ht="44.25" customHeight="1">
      <c r="A18" s="1869"/>
      <c r="B18" s="1870"/>
      <c r="C18" s="1870"/>
      <c r="D18" s="1870"/>
      <c r="E18" s="1870"/>
      <c r="F18" s="1871"/>
    </row>
    <row r="19" spans="1:6" s="605" customFormat="1" ht="44.25" customHeight="1">
      <c r="A19" s="1869"/>
      <c r="B19" s="1870"/>
      <c r="C19" s="1870"/>
      <c r="D19" s="1870"/>
      <c r="E19" s="1870"/>
      <c r="F19" s="1871"/>
    </row>
    <row r="20" spans="1:6" s="605" customFormat="1" ht="44.25" customHeight="1">
      <c r="A20" s="1869"/>
      <c r="B20" s="1870"/>
      <c r="C20" s="1870"/>
      <c r="D20" s="1870"/>
      <c r="E20" s="1870"/>
      <c r="F20" s="1871"/>
    </row>
    <row r="21" spans="1:6" s="605" customFormat="1" ht="35.25" customHeight="1">
      <c r="A21" s="1872">
        <f>D4</f>
        <v>45267</v>
      </c>
      <c r="B21" s="1873"/>
      <c r="C21" s="1874"/>
      <c r="D21" s="1874"/>
      <c r="E21" s="1874"/>
      <c r="F21" s="1875"/>
    </row>
    <row r="22" spans="1:6" s="605" customFormat="1" ht="62.25" customHeight="1">
      <c r="A22" s="1855" t="s">
        <v>346</v>
      </c>
      <c r="B22" s="1856"/>
      <c r="C22" s="1856"/>
      <c r="D22" s="1857" t="str">
        <f>F6</f>
        <v>윤의영</v>
      </c>
      <c r="E22" s="1857"/>
      <c r="F22" s="628" t="s">
        <v>358</v>
      </c>
    </row>
    <row r="23" spans="1:6" s="605" customFormat="1" ht="50.25" customHeight="1" thickBot="1">
      <c r="A23" s="1858"/>
      <c r="B23" s="1859"/>
      <c r="C23" s="1859"/>
      <c r="D23" s="1859"/>
      <c r="E23" s="1859"/>
      <c r="F23" s="1860"/>
    </row>
    <row r="24" spans="1:6" ht="17.25" thickTop="1"/>
  </sheetData>
  <sheetProtection algorithmName="SHA-512" hashValue="eOq1sJfO88zr6DZyaJah+VunTs/LTNcczDYllmvSZ3VxurPMGkD4lMldLzbIriKoFuzzXrNtNWT7qpf0CX6CSA==" saltValue="Z3/Y6cm/zxQ4emMRlFkYyQ==" spinCount="100000" sheet="1" objects="1" scenarios="1"/>
  <mergeCells count="15">
    <mergeCell ref="A22:C22"/>
    <mergeCell ref="D22:E22"/>
    <mergeCell ref="A23:F23"/>
    <mergeCell ref="A14:F14"/>
    <mergeCell ref="A8:F8"/>
    <mergeCell ref="C11:F11"/>
    <mergeCell ref="C12:F12"/>
    <mergeCell ref="C13:F13"/>
    <mergeCell ref="A15:F20"/>
    <mergeCell ref="A21:F21"/>
    <mergeCell ref="A2:F2"/>
    <mergeCell ref="A3:F3"/>
    <mergeCell ref="E4:F4"/>
    <mergeCell ref="A5:F5"/>
    <mergeCell ref="A6:B7"/>
  </mergeCells>
  <phoneticPr fontId="1" type="noConversion"/>
  <pageMargins left="0.7" right="0.7" top="0.75" bottom="0.75" header="0.3" footer="0.3"/>
  <pageSetup paperSize="9" scale="79" orientation="portrait"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DDA2-D3A2-418A-9EAA-E13A527EF3D9}">
  <sheetPr>
    <tabColor theme="5"/>
  </sheetPr>
  <dimension ref="A1:F24"/>
  <sheetViews>
    <sheetView view="pageBreakPreview" zoomScale="85" zoomScaleNormal="100" zoomScaleSheetLayoutView="85" workbookViewId="0">
      <selection activeCell="S15" sqref="S15"/>
    </sheetView>
  </sheetViews>
  <sheetFormatPr defaultRowHeight="16.5"/>
  <cols>
    <col min="1" max="1" width="21.75" style="605" customWidth="1"/>
    <col min="2" max="2" width="4.875" style="605" customWidth="1"/>
    <col min="3" max="3" width="17.25" style="605" customWidth="1"/>
    <col min="4" max="4" width="24.625" style="605" customWidth="1"/>
    <col min="5" max="5" width="13.875" style="605" customWidth="1"/>
    <col min="6" max="6" width="18.75" style="605" customWidth="1"/>
    <col min="7" max="16384" width="9" style="214"/>
  </cols>
  <sheetData>
    <row r="1" spans="1:6" s="605" customFormat="1" ht="35.25" customHeight="1" thickTop="1">
      <c r="A1" s="617"/>
      <c r="B1" s="618"/>
      <c r="C1" s="619"/>
      <c r="D1" s="619"/>
      <c r="E1" s="619"/>
      <c r="F1" s="620"/>
    </row>
    <row r="2" spans="1:6" s="605" customFormat="1" ht="35.25" customHeight="1">
      <c r="A2" s="1844" t="s">
        <v>363</v>
      </c>
      <c r="B2" s="1845"/>
      <c r="C2" s="1845"/>
      <c r="D2" s="1845"/>
      <c r="E2" s="1845"/>
      <c r="F2" s="1846"/>
    </row>
    <row r="3" spans="1:6" s="605" customFormat="1" ht="35.25" customHeight="1">
      <c r="A3" s="1847"/>
      <c r="B3" s="1848"/>
      <c r="C3" s="1848"/>
      <c r="D3" s="1848"/>
      <c r="E3" s="1848"/>
      <c r="F3" s="1849"/>
    </row>
    <row r="4" spans="1:6" s="605" customFormat="1" ht="35.25" customHeight="1">
      <c r="A4" s="621" t="s">
        <v>343</v>
      </c>
      <c r="B4" s="622"/>
      <c r="C4" s="623" t="s">
        <v>344</v>
      </c>
      <c r="D4" s="607">
        <f>데이터입력!Y2</f>
        <v>45267</v>
      </c>
      <c r="E4" s="1784"/>
      <c r="F4" s="1850"/>
    </row>
    <row r="5" spans="1:6" s="605" customFormat="1" ht="35.25" customHeight="1">
      <c r="A5" s="1851" t="s">
        <v>345</v>
      </c>
      <c r="B5" s="1787"/>
      <c r="C5" s="1787"/>
      <c r="D5" s="1787"/>
      <c r="E5" s="1787"/>
      <c r="F5" s="1852"/>
    </row>
    <row r="6" spans="1:6" s="605" customFormat="1" ht="35.25" customHeight="1">
      <c r="A6" s="1853" t="s">
        <v>346</v>
      </c>
      <c r="B6" s="1773"/>
      <c r="C6" s="608" t="s">
        <v>347</v>
      </c>
      <c r="D6" s="609" t="str">
        <f>데이터입력!AB1</f>
        <v>한마음데이케어센터</v>
      </c>
      <c r="E6" s="608" t="s">
        <v>348</v>
      </c>
      <c r="F6" s="624" t="str">
        <f>IF(데이터입력!$AE$1="","",데이터입력!$AE$1)</f>
        <v>윤의영</v>
      </c>
    </row>
    <row r="7" spans="1:6" s="605" customFormat="1" ht="35.25" customHeight="1" thickBot="1">
      <c r="A7" s="1854"/>
      <c r="B7" s="1775"/>
      <c r="C7" s="611" t="s">
        <v>349</v>
      </c>
      <c r="D7" s="612"/>
      <c r="E7" s="611" t="s">
        <v>350</v>
      </c>
      <c r="F7" s="625"/>
    </row>
    <row r="8" spans="1:6" s="605" customFormat="1" ht="35.25" customHeight="1">
      <c r="A8" s="1864"/>
      <c r="B8" s="1865"/>
      <c r="C8" s="1865"/>
      <c r="D8" s="1865"/>
      <c r="E8" s="1865"/>
      <c r="F8" s="1866"/>
    </row>
    <row r="9" spans="1:6" s="605" customFormat="1" ht="35.25" customHeight="1">
      <c r="A9" s="626" t="s">
        <v>366</v>
      </c>
      <c r="B9" s="627"/>
      <c r="C9" s="901">
        <f>데이터입력!H80</f>
        <v>0</v>
      </c>
      <c r="D9" s="899" t="s">
        <v>710</v>
      </c>
      <c r="E9" s="899"/>
      <c r="F9" s="900"/>
    </row>
    <row r="10" spans="1:6" s="605" customFormat="1" ht="35.25" customHeight="1">
      <c r="A10" s="626" t="s">
        <v>367</v>
      </c>
      <c r="B10" s="627"/>
      <c r="C10" s="898">
        <f>데이터입력!$Z$8</f>
        <v>44927</v>
      </c>
      <c r="D10" s="895" t="str">
        <f>"~   "&amp;데이터입력!$Y$1&amp;"-12-31"</f>
        <v>~   2023-12-31</v>
      </c>
      <c r="E10" s="899"/>
      <c r="F10" s="900"/>
    </row>
    <row r="11" spans="1:6" s="605" customFormat="1" ht="35.25" customHeight="1">
      <c r="A11" s="626" t="s">
        <v>368</v>
      </c>
      <c r="B11" s="627"/>
      <c r="C11" s="1867" t="s">
        <v>372</v>
      </c>
      <c r="D11" s="1867"/>
      <c r="E11" s="1867"/>
      <c r="F11" s="1868"/>
    </row>
    <row r="12" spans="1:6" s="605" customFormat="1" ht="35.25" customHeight="1">
      <c r="A12" s="626" t="s">
        <v>369</v>
      </c>
      <c r="B12" s="627"/>
      <c r="C12" s="1867" t="s">
        <v>365</v>
      </c>
      <c r="D12" s="1867"/>
      <c r="E12" s="1867"/>
      <c r="F12" s="1868"/>
    </row>
    <row r="13" spans="1:6" s="605" customFormat="1" ht="35.25" customHeight="1">
      <c r="A13" s="626" t="s">
        <v>370</v>
      </c>
      <c r="B13" s="627"/>
      <c r="C13" s="1867" t="str">
        <f>데이터입력!$AB$1&amp;" 본 회계에서 지출처리 후 특별회계로 운영"</f>
        <v>한마음데이케어센터 본 회계에서 지출처리 후 특별회계로 운영</v>
      </c>
      <c r="D13" s="1867"/>
      <c r="E13" s="1867"/>
      <c r="F13" s="1868"/>
    </row>
    <row r="14" spans="1:6" s="605" customFormat="1" ht="15.75" customHeight="1">
      <c r="A14" s="1861"/>
      <c r="B14" s="1862"/>
      <c r="C14" s="1862"/>
      <c r="D14" s="1862"/>
      <c r="E14" s="1862"/>
      <c r="F14" s="1863"/>
    </row>
    <row r="15" spans="1:6" s="605" customFormat="1" ht="44.25" customHeight="1">
      <c r="A15" s="1869" t="str">
        <f>"중장기적인 계획을 가지고 시설환경개선준비금을 적립하여야 지속적인 노인복지사업을 유지할 수 있다고 판단되어 이를 적립하고자 함.
 적립금액의 범위는 시설운영과 인건비를 지급하는데 영향을 미치지 않는 범위 내에서 적립금액을 결정하였음.
 적립방식은 사용용도가 발생할 경우 손실이 발생하지 않고 중도해지 또는 인출하여 사용이 가능한 방식으로 적립하고자 함.
 위 적립금은 "&amp;데이터입력!Y1&amp;"년도 세출예산에 편성하여 운영위원회 보고 및 이사회의 승인을 득한 후 집행하기로 함."</f>
        <v>중장기적인 계획을 가지고 시설환경개선준비금을 적립하여야 지속적인 노인복지사업을 유지할 수 있다고 판단되어 이를 적립하고자 함.
 적립금액의 범위는 시설운영과 인건비를 지급하는데 영향을 미치지 않는 범위 내에서 적립금액을 결정하였음.
 적립방식은 사용용도가 발생할 경우 손실이 발생하지 않고 중도해지 또는 인출하여 사용이 가능한 방식으로 적립하고자 함.
 위 적립금은 2023년도 세출예산에 편성하여 운영위원회 보고 및 이사회의 승인을 득한 후 집행하기로 함.</v>
      </c>
      <c r="B15" s="1870"/>
      <c r="C15" s="1870"/>
      <c r="D15" s="1870"/>
      <c r="E15" s="1870"/>
      <c r="F15" s="1871"/>
    </row>
    <row r="16" spans="1:6" s="605" customFormat="1" ht="44.25" customHeight="1">
      <c r="A16" s="1869"/>
      <c r="B16" s="1870"/>
      <c r="C16" s="1870"/>
      <c r="D16" s="1870"/>
      <c r="E16" s="1870"/>
      <c r="F16" s="1871"/>
    </row>
    <row r="17" spans="1:6" s="605" customFormat="1" ht="44.25" customHeight="1">
      <c r="A17" s="1869"/>
      <c r="B17" s="1870"/>
      <c r="C17" s="1870"/>
      <c r="D17" s="1870"/>
      <c r="E17" s="1870"/>
      <c r="F17" s="1871"/>
    </row>
    <row r="18" spans="1:6" s="605" customFormat="1" ht="44.25" customHeight="1">
      <c r="A18" s="1869"/>
      <c r="B18" s="1870"/>
      <c r="C18" s="1870"/>
      <c r="D18" s="1870"/>
      <c r="E18" s="1870"/>
      <c r="F18" s="1871"/>
    </row>
    <row r="19" spans="1:6" s="605" customFormat="1" ht="44.25" customHeight="1">
      <c r="A19" s="1869"/>
      <c r="B19" s="1870"/>
      <c r="C19" s="1870"/>
      <c r="D19" s="1870"/>
      <c r="E19" s="1870"/>
      <c r="F19" s="1871"/>
    </row>
    <row r="20" spans="1:6" s="605" customFormat="1" ht="44.25" customHeight="1">
      <c r="A20" s="1869"/>
      <c r="B20" s="1870"/>
      <c r="C20" s="1870"/>
      <c r="D20" s="1870"/>
      <c r="E20" s="1870"/>
      <c r="F20" s="1871"/>
    </row>
    <row r="21" spans="1:6" s="605" customFormat="1" ht="35.25" customHeight="1">
      <c r="A21" s="1872">
        <f>D4</f>
        <v>45267</v>
      </c>
      <c r="B21" s="1873"/>
      <c r="C21" s="1874"/>
      <c r="D21" s="1874"/>
      <c r="E21" s="1874"/>
      <c r="F21" s="1875"/>
    </row>
    <row r="22" spans="1:6" s="605" customFormat="1" ht="62.25" customHeight="1">
      <c r="A22" s="1855" t="s">
        <v>346</v>
      </c>
      <c r="B22" s="1856"/>
      <c r="C22" s="1856"/>
      <c r="D22" s="1857" t="str">
        <f>F6</f>
        <v>윤의영</v>
      </c>
      <c r="E22" s="1857"/>
      <c r="F22" s="628" t="s">
        <v>358</v>
      </c>
    </row>
    <row r="23" spans="1:6" s="605" customFormat="1" ht="50.25" customHeight="1" thickBot="1">
      <c r="A23" s="1858"/>
      <c r="B23" s="1859"/>
      <c r="C23" s="1859"/>
      <c r="D23" s="1859"/>
      <c r="E23" s="1859"/>
      <c r="F23" s="1860"/>
    </row>
    <row r="24" spans="1:6" ht="17.25" thickTop="1"/>
  </sheetData>
  <sheetProtection algorithmName="SHA-512" hashValue="IKy0+Ua8d08LSIdDTDccjScr0/347N7mYJbl0Fh6gLPwvJAtS6dERsgpyy2xm7gIytWP9QsPyKaQn4mkzwq+jg==" saltValue="ZEZPMCbMPfCstnoyFLKH+w==" spinCount="100000" sheet="1" objects="1" scenarios="1"/>
  <mergeCells count="15">
    <mergeCell ref="A15:F20"/>
    <mergeCell ref="A21:F21"/>
    <mergeCell ref="A22:C22"/>
    <mergeCell ref="D22:E22"/>
    <mergeCell ref="A23:F23"/>
    <mergeCell ref="A14:F14"/>
    <mergeCell ref="A2:F2"/>
    <mergeCell ref="A3:F3"/>
    <mergeCell ref="E4:F4"/>
    <mergeCell ref="A5:F5"/>
    <mergeCell ref="A6:B7"/>
    <mergeCell ref="A8:F8"/>
    <mergeCell ref="C11:F11"/>
    <mergeCell ref="C12:F12"/>
    <mergeCell ref="C13:F13"/>
  </mergeCells>
  <phoneticPr fontId="1" type="noConversion"/>
  <pageMargins left="0.7" right="0.7" top="0.75" bottom="0.75" header="0.3" footer="0.3"/>
  <pageSetup paperSize="9" scale="7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38EC-2C98-4C56-AB1E-7F3A8F2EA182}">
  <dimension ref="A1:AF66"/>
  <sheetViews>
    <sheetView workbookViewId="0">
      <pane xSplit="4" ySplit="1" topLeftCell="Y2" activePane="bottomRight" state="frozen"/>
      <selection pane="topRight" activeCell="E1" sqref="E1"/>
      <selection pane="bottomLeft" activeCell="A2" sqref="A2"/>
      <selection pane="bottomRight" activeCell="AE6" sqref="AE6"/>
    </sheetView>
  </sheetViews>
  <sheetFormatPr defaultRowHeight="16.5"/>
  <cols>
    <col min="1" max="1" width="4" style="665" customWidth="1"/>
    <col min="2" max="2" width="22" customWidth="1"/>
    <col min="4" max="4" width="14.75" style="254" customWidth="1"/>
    <col min="5" max="5" width="22" customWidth="1"/>
    <col min="7" max="7" width="14.75" style="254" customWidth="1"/>
    <col min="8" max="8" width="22" customWidth="1"/>
    <col min="10" max="10" width="14.75" style="254" customWidth="1"/>
    <col min="11" max="11" width="22" customWidth="1"/>
    <col min="13" max="13" width="14.75" style="254" customWidth="1"/>
    <col min="14" max="14" width="22" customWidth="1"/>
    <col min="16" max="16" width="14.75" style="254" customWidth="1"/>
    <col min="17" max="17" width="22" customWidth="1"/>
    <col min="19" max="19" width="14.75" style="254" customWidth="1"/>
    <col min="20" max="20" width="22" customWidth="1"/>
    <col min="22" max="22" width="14.75" style="254" customWidth="1"/>
    <col min="23" max="23" width="22" customWidth="1"/>
    <col min="25" max="25" width="14.75" style="254" customWidth="1"/>
    <col min="26" max="26" width="22" customWidth="1"/>
    <col min="28" max="28" width="14.75" style="254" customWidth="1"/>
    <col min="29" max="29" width="16" customWidth="1"/>
    <col min="30" max="30" width="11.625" bestFit="1" customWidth="1"/>
    <col min="31" max="31" width="11.75" bestFit="1" customWidth="1"/>
    <col min="32" max="32" width="9.375" bestFit="1" customWidth="1"/>
  </cols>
  <sheetData>
    <row r="1" spans="1:32" ht="21" thickBot="1">
      <c r="A1" s="703">
        <v>1</v>
      </c>
      <c r="B1" s="666" t="str">
        <f>IF(데이터입력!AC5=TRUE,데이터입력!$AC$4,데이터입력!$AB$2)</f>
        <v>주야간</v>
      </c>
      <c r="C1" s="666">
        <f>데이터입력!$Y$8</f>
        <v>12</v>
      </c>
      <c r="D1" s="667">
        <f>데이터입력!$AF$7</f>
        <v>17</v>
      </c>
      <c r="E1" s="687"/>
      <c r="F1" s="630"/>
      <c r="G1" s="630" t="s">
        <v>492</v>
      </c>
      <c r="H1" s="629"/>
      <c r="I1" s="630"/>
      <c r="J1" s="630" t="s">
        <v>106</v>
      </c>
      <c r="K1" s="629"/>
      <c r="L1" s="630"/>
      <c r="M1" s="630" t="s">
        <v>108</v>
      </c>
      <c r="N1" s="629"/>
      <c r="O1" s="630"/>
      <c r="P1" s="630" t="s">
        <v>112</v>
      </c>
      <c r="Q1" s="629"/>
      <c r="R1" s="630"/>
      <c r="S1" s="630" t="s">
        <v>224</v>
      </c>
      <c r="T1" s="629"/>
      <c r="U1" s="630"/>
      <c r="V1" s="630" t="s">
        <v>661</v>
      </c>
      <c r="W1" s="629"/>
      <c r="X1" s="630"/>
      <c r="Y1" s="630" t="s">
        <v>226</v>
      </c>
      <c r="Z1" s="629"/>
      <c r="AA1" s="630"/>
      <c r="AB1" s="630" t="s">
        <v>228</v>
      </c>
      <c r="AC1" s="1621" t="s">
        <v>793</v>
      </c>
      <c r="AD1" s="1622"/>
      <c r="AE1" s="1623"/>
    </row>
    <row r="2" spans="1:32" ht="17.25">
      <c r="A2" s="672">
        <v>1</v>
      </c>
      <c r="B2" s="673" t="s">
        <v>5</v>
      </c>
      <c r="C2" s="674" t="s">
        <v>6</v>
      </c>
      <c r="D2" s="675">
        <f>IFERROR(ROUND(HLOOKUP($B$1,$E:$AB,A2+1,FALSE)*$C$1*데이터입력!$Y$6*$D$1,-3),0)</f>
        <v>0</v>
      </c>
      <c r="E2" s="215" t="s">
        <v>5</v>
      </c>
      <c r="F2" s="2" t="s">
        <v>6</v>
      </c>
      <c r="G2" s="253"/>
      <c r="H2" s="215" t="s">
        <v>5</v>
      </c>
      <c r="I2" s="2" t="s">
        <v>6</v>
      </c>
      <c r="J2" s="253"/>
      <c r="K2" s="215" t="s">
        <v>5</v>
      </c>
      <c r="L2" s="2" t="s">
        <v>6</v>
      </c>
      <c r="M2" s="253"/>
      <c r="N2" s="215" t="s">
        <v>5</v>
      </c>
      <c r="O2" s="2" t="s">
        <v>6</v>
      </c>
      <c r="P2" s="253"/>
      <c r="Q2" s="215" t="s">
        <v>5</v>
      </c>
      <c r="R2" s="2" t="s">
        <v>6</v>
      </c>
      <c r="S2" s="253"/>
      <c r="T2" s="215" t="s">
        <v>5</v>
      </c>
      <c r="U2" s="2" t="s">
        <v>6</v>
      </c>
      <c r="V2" s="253"/>
      <c r="W2" s="215" t="s">
        <v>5</v>
      </c>
      <c r="X2" s="2" t="s">
        <v>6</v>
      </c>
      <c r="Y2" s="253"/>
      <c r="Z2" s="215" t="s">
        <v>5</v>
      </c>
      <c r="AA2" s="2" t="s">
        <v>6</v>
      </c>
      <c r="AB2" s="1327"/>
      <c r="AC2" s="1336"/>
      <c r="AD2" s="1356" t="s">
        <v>802</v>
      </c>
      <c r="AE2" s="1357" t="s">
        <v>803</v>
      </c>
    </row>
    <row r="3" spans="1:32">
      <c r="A3" s="676">
        <v>2</v>
      </c>
      <c r="B3" s="677" t="s">
        <v>261</v>
      </c>
      <c r="C3" s="678" t="s">
        <v>6</v>
      </c>
      <c r="D3" s="675">
        <f>IFERROR(HLOOKUP($B$1,$E:$AB,A3+1,FALSE),0)</f>
        <v>3300</v>
      </c>
      <c r="E3" s="215" t="s">
        <v>513</v>
      </c>
      <c r="F3" s="2" t="s">
        <v>6</v>
      </c>
      <c r="G3" s="253">
        <v>3300</v>
      </c>
      <c r="H3" s="215" t="s">
        <v>261</v>
      </c>
      <c r="I3" s="2" t="s">
        <v>6</v>
      </c>
      <c r="J3" s="253">
        <v>3300</v>
      </c>
      <c r="K3" s="215" t="s">
        <v>261</v>
      </c>
      <c r="L3" s="2" t="s">
        <v>6</v>
      </c>
      <c r="M3" s="253">
        <v>3300</v>
      </c>
      <c r="N3" s="215" t="s">
        <v>261</v>
      </c>
      <c r="O3" s="2" t="s">
        <v>6</v>
      </c>
      <c r="P3" s="253">
        <v>3300</v>
      </c>
      <c r="Q3" s="215" t="s">
        <v>261</v>
      </c>
      <c r="R3" s="2" t="s">
        <v>6</v>
      </c>
      <c r="S3" s="253"/>
      <c r="T3" s="215" t="s">
        <v>261</v>
      </c>
      <c r="U3" s="2" t="s">
        <v>6</v>
      </c>
      <c r="V3" s="253"/>
      <c r="W3" s="215" t="s">
        <v>261</v>
      </c>
      <c r="X3" s="2" t="s">
        <v>6</v>
      </c>
      <c r="Y3" s="253"/>
      <c r="Z3" s="215" t="s">
        <v>261</v>
      </c>
      <c r="AA3" s="2" t="s">
        <v>6</v>
      </c>
      <c r="AB3" s="1327"/>
      <c r="AC3" s="1330" t="s">
        <v>794</v>
      </c>
      <c r="AD3" s="1328">
        <v>4.4999999999999998E-2</v>
      </c>
      <c r="AE3" s="1331">
        <v>4.4999999999999998E-2</v>
      </c>
    </row>
    <row r="4" spans="1:32">
      <c r="A4" s="676">
        <v>3</v>
      </c>
      <c r="B4" s="677" t="s">
        <v>8</v>
      </c>
      <c r="C4" s="678" t="s">
        <v>6</v>
      </c>
      <c r="D4" s="675">
        <f>IFERROR(ROUND(HLOOKUP($B$1,$E:$AB,A4+1,FALSE)*$C$1*데이터입력!$Y$6*$D$1,-3),0)</f>
        <v>0</v>
      </c>
      <c r="E4" s="215" t="s">
        <v>8</v>
      </c>
      <c r="F4" s="2" t="s">
        <v>6</v>
      </c>
      <c r="G4" s="253"/>
      <c r="H4" s="215" t="s">
        <v>8</v>
      </c>
      <c r="I4" s="2" t="s">
        <v>6</v>
      </c>
      <c r="J4" s="253"/>
      <c r="K4" s="215" t="s">
        <v>8</v>
      </c>
      <c r="L4" s="2" t="s">
        <v>6</v>
      </c>
      <c r="M4" s="253"/>
      <c r="N4" s="215" t="s">
        <v>8</v>
      </c>
      <c r="O4" s="2" t="s">
        <v>6</v>
      </c>
      <c r="P4" s="253"/>
      <c r="Q4" s="215" t="s">
        <v>8</v>
      </c>
      <c r="R4" s="2" t="s">
        <v>6</v>
      </c>
      <c r="S4" s="253"/>
      <c r="T4" s="215" t="s">
        <v>8</v>
      </c>
      <c r="U4" s="2" t="s">
        <v>6</v>
      </c>
      <c r="V4" s="253"/>
      <c r="W4" s="215" t="s">
        <v>8</v>
      </c>
      <c r="X4" s="2" t="s">
        <v>6</v>
      </c>
      <c r="Y4" s="253"/>
      <c r="Z4" s="215" t="s">
        <v>8</v>
      </c>
      <c r="AA4" s="2" t="s">
        <v>6</v>
      </c>
      <c r="AB4" s="1327"/>
      <c r="AC4" s="1330" t="s">
        <v>795</v>
      </c>
      <c r="AD4" s="1329">
        <v>3.5450000000000002E-2</v>
      </c>
      <c r="AE4" s="1332">
        <v>3.5450000000000002E-2</v>
      </c>
    </row>
    <row r="5" spans="1:32">
      <c r="A5" s="676">
        <v>4</v>
      </c>
      <c r="B5" s="677" t="s">
        <v>9</v>
      </c>
      <c r="C5" s="678" t="s">
        <v>6</v>
      </c>
      <c r="D5" s="675">
        <f>IFERROR(ROUND(HLOOKUP($B$1,$E:$AB,A5+1,FALSE)*$C$1*데이터입력!$Y$6*$D$1,-3),0)</f>
        <v>0</v>
      </c>
      <c r="E5" s="215" t="s">
        <v>9</v>
      </c>
      <c r="F5" s="2" t="s">
        <v>6</v>
      </c>
      <c r="G5" s="253"/>
      <c r="H5" s="215" t="s">
        <v>9</v>
      </c>
      <c r="I5" s="2" t="s">
        <v>6</v>
      </c>
      <c r="J5" s="253"/>
      <c r="K5" s="215" t="s">
        <v>9</v>
      </c>
      <c r="L5" s="2" t="s">
        <v>6</v>
      </c>
      <c r="M5" s="253"/>
      <c r="N5" s="215" t="s">
        <v>9</v>
      </c>
      <c r="O5" s="2" t="s">
        <v>6</v>
      </c>
      <c r="P5" s="253"/>
      <c r="Q5" s="215" t="s">
        <v>9</v>
      </c>
      <c r="R5" s="2" t="s">
        <v>6</v>
      </c>
      <c r="S5" s="253"/>
      <c r="T5" s="215" t="s">
        <v>9</v>
      </c>
      <c r="U5" s="2" t="s">
        <v>6</v>
      </c>
      <c r="V5" s="253"/>
      <c r="W5" s="215" t="s">
        <v>9</v>
      </c>
      <c r="X5" s="2" t="s">
        <v>6</v>
      </c>
      <c r="Y5" s="253"/>
      <c r="Z5" s="215" t="s">
        <v>9</v>
      </c>
      <c r="AA5" s="2" t="s">
        <v>6</v>
      </c>
      <c r="AB5" s="1327"/>
      <c r="AC5" s="1330" t="s">
        <v>796</v>
      </c>
      <c r="AD5" s="1328">
        <v>0.12809999999999999</v>
      </c>
      <c r="AE5" s="1331">
        <v>0.1295</v>
      </c>
    </row>
    <row r="6" spans="1:32">
      <c r="A6" s="676">
        <v>5</v>
      </c>
      <c r="B6" s="677" t="s">
        <v>10</v>
      </c>
      <c r="C6" s="678" t="s">
        <v>6</v>
      </c>
      <c r="D6" s="675">
        <f>IFERROR(IF(OR(AND(VLOOKUP(B6,데이터입력!$B$3:$L$28,6,FALSE)=0,SUM(데이터입력!$L$3:$L$28)&gt;0),IFERROR(IF(OR($B$1=$G$1,$B$1=$M$1,$D$1&gt;34),ROUND($D$1/10*HLOOKUP($B$1,$E:$AB,A6+1,FALSE)*$C$1*$A$1,0),IF(OR($B$1=$G$1,$B$1=$M$1),ROUND(($D$1/10*HLOOKUP($B$1,$E:$AB,A6+1,FALSE)*$C$1),0),ROUND($D$1/10,1)*HLOOKUP($B$1,$E:$AB,A6+1,FALSE)*$C$1)),0)&lt;VLOOKUP(B6,데이터입력!$B$3:$L$28,6,FALSE)),ROUND(VLOOKUP(B6,데이터입력!$B$3:$L$28,6,FALSE)*데이터입력!$Y$6,0),IFERROR(IF(OR($B$1=$G$1,$B$1=$M$1,$D$1&gt;34),ROUND($D$1/10*HLOOKUP($B$1,$E:$AB,A6+1,FALSE)*$C$1*$A$1,0),IF(OR($B$1=$G$1,$B$1=$M$1),ROUND(($D$1/10*HLOOKUP($B$1,$E:$AB,A6+1,FALSE)*$C$1),0),ROUND($D$1/10,1)*HLOOKUP($B$1,$E:$AB,A6+1,FALSE)*$C$1)),0)),0)</f>
        <v>3060000</v>
      </c>
      <c r="E6" s="215" t="s">
        <v>10</v>
      </c>
      <c r="F6" s="2" t="s">
        <v>6</v>
      </c>
      <c r="G6" s="253">
        <v>200000</v>
      </c>
      <c r="H6" s="215" t="s">
        <v>10</v>
      </c>
      <c r="I6" s="2" t="s">
        <v>6</v>
      </c>
      <c r="J6" s="253">
        <v>100000</v>
      </c>
      <c r="K6" s="215" t="s">
        <v>10</v>
      </c>
      <c r="L6" s="2" t="s">
        <v>6</v>
      </c>
      <c r="M6" s="253">
        <v>150000</v>
      </c>
      <c r="N6" s="215" t="s">
        <v>10</v>
      </c>
      <c r="O6" s="2" t="s">
        <v>6</v>
      </c>
      <c r="P6" s="253">
        <v>100000</v>
      </c>
      <c r="Q6" s="215" t="s">
        <v>10</v>
      </c>
      <c r="R6" s="2" t="s">
        <v>6</v>
      </c>
      <c r="S6" s="253"/>
      <c r="T6" s="215" t="s">
        <v>10</v>
      </c>
      <c r="U6" s="2" t="s">
        <v>6</v>
      </c>
      <c r="V6" s="253"/>
      <c r="W6" s="215" t="s">
        <v>10</v>
      </c>
      <c r="X6" s="2" t="s">
        <v>6</v>
      </c>
      <c r="Y6" s="253"/>
      <c r="Z6" s="215" t="s">
        <v>10</v>
      </c>
      <c r="AA6" s="2" t="s">
        <v>6</v>
      </c>
      <c r="AB6" s="1327"/>
      <c r="AC6" s="1330" t="s">
        <v>797</v>
      </c>
      <c r="AD6" s="1328">
        <v>8.9999999999999993E-3</v>
      </c>
      <c r="AE6" s="1331">
        <v>8.9999999999999993E-3</v>
      </c>
    </row>
    <row r="7" spans="1:32">
      <c r="A7" s="676">
        <v>6</v>
      </c>
      <c r="B7" s="677" t="s">
        <v>11</v>
      </c>
      <c r="C7" s="678" t="s">
        <v>6</v>
      </c>
      <c r="D7" s="675">
        <f>IFERROR(ROUND(HLOOKUP($B$1,$E:$AB,A7+1,FALSE)*$C$1*데이터입력!$Y$6*$D$1,-3),0)</f>
        <v>0</v>
      </c>
      <c r="E7" s="215" t="s">
        <v>11</v>
      </c>
      <c r="F7" s="2" t="s">
        <v>6</v>
      </c>
      <c r="G7" s="253"/>
      <c r="H7" s="215" t="s">
        <v>11</v>
      </c>
      <c r="I7" s="2" t="s">
        <v>6</v>
      </c>
      <c r="J7" s="253"/>
      <c r="K7" s="215" t="s">
        <v>11</v>
      </c>
      <c r="L7" s="2" t="s">
        <v>6</v>
      </c>
      <c r="M7" s="253"/>
      <c r="N7" s="215" t="s">
        <v>11</v>
      </c>
      <c r="O7" s="2" t="s">
        <v>6</v>
      </c>
      <c r="P7" s="253"/>
      <c r="Q7" s="215" t="s">
        <v>11</v>
      </c>
      <c r="R7" s="2" t="s">
        <v>6</v>
      </c>
      <c r="S7" s="253"/>
      <c r="T7" s="215" t="s">
        <v>11</v>
      </c>
      <c r="U7" s="2" t="s">
        <v>6</v>
      </c>
      <c r="V7" s="253"/>
      <c r="W7" s="215" t="s">
        <v>11</v>
      </c>
      <c r="X7" s="2" t="s">
        <v>6</v>
      </c>
      <c r="Y7" s="253"/>
      <c r="Z7" s="215" t="s">
        <v>11</v>
      </c>
      <c r="AA7" s="2" t="s">
        <v>6</v>
      </c>
      <c r="AB7" s="1327"/>
      <c r="AC7" s="1330" t="s">
        <v>798</v>
      </c>
      <c r="AD7" s="1328">
        <v>1.15E-2</v>
      </c>
      <c r="AE7" s="1331">
        <v>1.15E-2</v>
      </c>
    </row>
    <row r="8" spans="1:32" ht="17.25" thickBot="1">
      <c r="A8" s="676">
        <v>7</v>
      </c>
      <c r="B8" s="677" t="s">
        <v>12</v>
      </c>
      <c r="C8" s="678" t="s">
        <v>6</v>
      </c>
      <c r="D8" s="675">
        <f>IFERROR(ROUND(HLOOKUP($B$1,$E:$AB,A8+1,FALSE)*$C$1*데이터입력!$Y$6*$D$1,-3),0)</f>
        <v>0</v>
      </c>
      <c r="E8" s="215" t="s">
        <v>12</v>
      </c>
      <c r="F8" s="2" t="s">
        <v>6</v>
      </c>
      <c r="G8" s="253"/>
      <c r="H8" s="215" t="s">
        <v>12</v>
      </c>
      <c r="I8" s="2" t="s">
        <v>6</v>
      </c>
      <c r="J8" s="253"/>
      <c r="K8" s="215" t="s">
        <v>12</v>
      </c>
      <c r="L8" s="2" t="s">
        <v>6</v>
      </c>
      <c r="M8" s="253"/>
      <c r="N8" s="215" t="s">
        <v>12</v>
      </c>
      <c r="O8" s="2" t="s">
        <v>6</v>
      </c>
      <c r="P8" s="253"/>
      <c r="Q8" s="215" t="s">
        <v>12</v>
      </c>
      <c r="R8" s="2" t="s">
        <v>6</v>
      </c>
      <c r="S8" s="253"/>
      <c r="T8" s="215" t="s">
        <v>12</v>
      </c>
      <c r="U8" s="2" t="s">
        <v>6</v>
      </c>
      <c r="V8" s="253"/>
      <c r="W8" s="215" t="s">
        <v>12</v>
      </c>
      <c r="X8" s="2" t="s">
        <v>6</v>
      </c>
      <c r="Y8" s="253"/>
      <c r="Z8" s="215" t="s">
        <v>12</v>
      </c>
      <c r="AA8" s="2" t="s">
        <v>6</v>
      </c>
      <c r="AB8" s="1327"/>
      <c r="AC8" s="1333" t="s">
        <v>799</v>
      </c>
      <c r="AD8" s="1334">
        <v>8.0999999999999996E-3</v>
      </c>
      <c r="AE8" s="1335">
        <v>8.0999999999999996E-3</v>
      </c>
    </row>
    <row r="9" spans="1:32" ht="17.25" thickBot="1">
      <c r="A9" s="676">
        <v>8</v>
      </c>
      <c r="B9" s="677" t="s">
        <v>13</v>
      </c>
      <c r="C9" s="678" t="s">
        <v>6</v>
      </c>
      <c r="D9" s="675">
        <f>IFERROR(ROUND(HLOOKUP($B$1,$E:$AB,A9+1,FALSE)*$C$1*데이터입력!$Y$6*$D$1,-3),0)</f>
        <v>0</v>
      </c>
      <c r="E9" s="215" t="s">
        <v>13</v>
      </c>
      <c r="F9" s="2" t="s">
        <v>6</v>
      </c>
      <c r="G9" s="253"/>
      <c r="H9" s="215" t="s">
        <v>13</v>
      </c>
      <c r="I9" s="2" t="s">
        <v>6</v>
      </c>
      <c r="J9" s="253"/>
      <c r="K9" s="215" t="s">
        <v>13</v>
      </c>
      <c r="L9" s="2" t="s">
        <v>6</v>
      </c>
      <c r="M9" s="253"/>
      <c r="N9" s="215" t="s">
        <v>13</v>
      </c>
      <c r="O9" s="2" t="s">
        <v>6</v>
      </c>
      <c r="P9" s="253"/>
      <c r="Q9" s="215" t="s">
        <v>13</v>
      </c>
      <c r="R9" s="2" t="s">
        <v>6</v>
      </c>
      <c r="S9" s="253"/>
      <c r="T9" s="215" t="s">
        <v>13</v>
      </c>
      <c r="U9" s="2" t="s">
        <v>6</v>
      </c>
      <c r="V9" s="253"/>
      <c r="W9" s="215" t="s">
        <v>13</v>
      </c>
      <c r="X9" s="2" t="s">
        <v>6</v>
      </c>
      <c r="Y9" s="253"/>
      <c r="Z9" s="215" t="s">
        <v>13</v>
      </c>
      <c r="AA9" s="2" t="s">
        <v>6</v>
      </c>
      <c r="AB9" s="253"/>
    </row>
    <row r="10" spans="1:32" ht="17.25">
      <c r="A10" s="676">
        <v>9</v>
      </c>
      <c r="B10" s="677" t="s">
        <v>15</v>
      </c>
      <c r="C10" s="678" t="s">
        <v>6</v>
      </c>
      <c r="D10" s="675">
        <f>IFERROR(ROUND(HLOOKUP($B$1,$E:$AB,A10+1,FALSE)*$C$1*데이터입력!$Y$6*$D$1,-3),0)</f>
        <v>0</v>
      </c>
      <c r="E10" s="215" t="s">
        <v>15</v>
      </c>
      <c r="F10" s="2" t="s">
        <v>6</v>
      </c>
      <c r="G10" s="253"/>
      <c r="H10" s="215" t="s">
        <v>15</v>
      </c>
      <c r="I10" s="2" t="s">
        <v>6</v>
      </c>
      <c r="J10" s="253"/>
      <c r="K10" s="215" t="s">
        <v>15</v>
      </c>
      <c r="L10" s="2" t="s">
        <v>6</v>
      </c>
      <c r="M10" s="253"/>
      <c r="N10" s="215" t="s">
        <v>15</v>
      </c>
      <c r="O10" s="2" t="s">
        <v>6</v>
      </c>
      <c r="P10" s="253"/>
      <c r="Q10" s="215" t="s">
        <v>15</v>
      </c>
      <c r="R10" s="2" t="s">
        <v>6</v>
      </c>
      <c r="S10" s="253"/>
      <c r="T10" s="215" t="s">
        <v>15</v>
      </c>
      <c r="U10" s="2" t="s">
        <v>6</v>
      </c>
      <c r="V10" s="253"/>
      <c r="W10" s="215" t="s">
        <v>15</v>
      </c>
      <c r="X10" s="2" t="s">
        <v>6</v>
      </c>
      <c r="Y10" s="253"/>
      <c r="Z10" s="215" t="s">
        <v>15</v>
      </c>
      <c r="AA10" s="2" t="s">
        <v>6</v>
      </c>
      <c r="AB10" s="1327"/>
      <c r="AC10" s="1624" t="s">
        <v>800</v>
      </c>
      <c r="AD10" s="1625"/>
      <c r="AE10" s="1625"/>
      <c r="AF10" s="1626"/>
    </row>
    <row r="11" spans="1:32" ht="17.25">
      <c r="A11" s="676">
        <v>10</v>
      </c>
      <c r="B11" s="677" t="s">
        <v>16</v>
      </c>
      <c r="C11" s="678" t="s">
        <v>6</v>
      </c>
      <c r="D11" s="675">
        <f>IFERROR(ROUND(HLOOKUP($B$1,$E:$AB,A11+1,FALSE)*$C$1*데이터입력!$Y$6*$D$1,-3),0)</f>
        <v>0</v>
      </c>
      <c r="E11" s="215" t="s">
        <v>16</v>
      </c>
      <c r="F11" s="2" t="s">
        <v>6</v>
      </c>
      <c r="G11" s="253"/>
      <c r="H11" s="215" t="s">
        <v>16</v>
      </c>
      <c r="I11" s="2" t="s">
        <v>6</v>
      </c>
      <c r="J11" s="253"/>
      <c r="K11" s="215" t="s">
        <v>16</v>
      </c>
      <c r="L11" s="2" t="s">
        <v>6</v>
      </c>
      <c r="M11" s="253"/>
      <c r="N11" s="215" t="s">
        <v>16</v>
      </c>
      <c r="O11" s="2" t="s">
        <v>6</v>
      </c>
      <c r="P11" s="253"/>
      <c r="Q11" s="215" t="s">
        <v>16</v>
      </c>
      <c r="R11" s="2" t="s">
        <v>6</v>
      </c>
      <c r="S11" s="253"/>
      <c r="T11" s="215" t="s">
        <v>16</v>
      </c>
      <c r="U11" s="2" t="s">
        <v>6</v>
      </c>
      <c r="V11" s="253"/>
      <c r="W11" s="215" t="s">
        <v>16</v>
      </c>
      <c r="X11" s="2" t="s">
        <v>6</v>
      </c>
      <c r="Y11" s="253"/>
      <c r="Z11" s="215" t="s">
        <v>16</v>
      </c>
      <c r="AA11" s="2" t="s">
        <v>6</v>
      </c>
      <c r="AB11" s="1327"/>
      <c r="AC11" s="1330"/>
      <c r="AD11" s="1356" t="s">
        <v>802</v>
      </c>
      <c r="AE11" s="1357" t="s">
        <v>803</v>
      </c>
      <c r="AF11" s="1344" t="s">
        <v>801</v>
      </c>
    </row>
    <row r="12" spans="1:32">
      <c r="A12" s="676">
        <v>11</v>
      </c>
      <c r="B12" s="677" t="s">
        <v>17</v>
      </c>
      <c r="C12" s="678" t="s">
        <v>6</v>
      </c>
      <c r="D12" s="675">
        <f>IFERROR(ROUND(HLOOKUP($B$1,$E:$AB,A12+1,FALSE)*$C$1*데이터입력!$Y$6*$D$1,-3),0)</f>
        <v>0</v>
      </c>
      <c r="E12" s="215" t="s">
        <v>17</v>
      </c>
      <c r="F12" s="2" t="s">
        <v>6</v>
      </c>
      <c r="G12" s="253"/>
      <c r="H12" s="215" t="s">
        <v>17</v>
      </c>
      <c r="I12" s="2" t="s">
        <v>6</v>
      </c>
      <c r="J12" s="253"/>
      <c r="K12" s="215" t="s">
        <v>17</v>
      </c>
      <c r="L12" s="2" t="s">
        <v>6</v>
      </c>
      <c r="M12" s="253"/>
      <c r="N12" s="215" t="s">
        <v>17</v>
      </c>
      <c r="O12" s="2" t="s">
        <v>6</v>
      </c>
      <c r="P12" s="253"/>
      <c r="Q12" s="215" t="s">
        <v>17</v>
      </c>
      <c r="R12" s="2" t="s">
        <v>6</v>
      </c>
      <c r="S12" s="253"/>
      <c r="T12" s="215" t="s">
        <v>17</v>
      </c>
      <c r="U12" s="2" t="s">
        <v>6</v>
      </c>
      <c r="V12" s="253"/>
      <c r="W12" s="215" t="s">
        <v>17</v>
      </c>
      <c r="X12" s="2" t="s">
        <v>6</v>
      </c>
      <c r="Y12" s="253"/>
      <c r="Z12" s="215" t="s">
        <v>17</v>
      </c>
      <c r="AA12" s="2" t="s">
        <v>6</v>
      </c>
      <c r="AB12" s="1327"/>
      <c r="AC12" s="1330" t="s">
        <v>102</v>
      </c>
      <c r="AD12" s="1337">
        <v>0.61399999999999999</v>
      </c>
      <c r="AE12" s="1338">
        <f>AD12+0.01</f>
        <v>0.624</v>
      </c>
      <c r="AF12" s="1339">
        <v>2.2999999999999998</v>
      </c>
    </row>
    <row r="13" spans="1:32" ht="22.5">
      <c r="A13" s="676">
        <v>12</v>
      </c>
      <c r="B13" s="677" t="s">
        <v>21</v>
      </c>
      <c r="C13" s="678" t="s">
        <v>6</v>
      </c>
      <c r="D13" s="675">
        <f>IFERROR(ROUND(HLOOKUP($B$1,$E:$AB,A13+1,FALSE)*$C$1*데이터입력!$Y$6*$D$1,-3),0)</f>
        <v>0</v>
      </c>
      <c r="E13" s="215" t="s">
        <v>21</v>
      </c>
      <c r="F13" s="2" t="s">
        <v>6</v>
      </c>
      <c r="G13" s="253"/>
      <c r="H13" s="215" t="s">
        <v>21</v>
      </c>
      <c r="I13" s="2" t="s">
        <v>6</v>
      </c>
      <c r="J13" s="253"/>
      <c r="K13" s="215" t="s">
        <v>21</v>
      </c>
      <c r="L13" s="2" t="s">
        <v>6</v>
      </c>
      <c r="M13" s="253"/>
      <c r="N13" s="215" t="s">
        <v>21</v>
      </c>
      <c r="O13" s="2" t="s">
        <v>6</v>
      </c>
      <c r="P13" s="253"/>
      <c r="Q13" s="215" t="s">
        <v>21</v>
      </c>
      <c r="R13" s="2" t="s">
        <v>6</v>
      </c>
      <c r="S13" s="253"/>
      <c r="T13" s="215" t="s">
        <v>21</v>
      </c>
      <c r="U13" s="2" t="s">
        <v>6</v>
      </c>
      <c r="V13" s="253"/>
      <c r="W13" s="215" t="s">
        <v>21</v>
      </c>
      <c r="X13" s="2" t="s">
        <v>6</v>
      </c>
      <c r="Y13" s="253"/>
      <c r="Z13" s="215" t="s">
        <v>21</v>
      </c>
      <c r="AA13" s="2" t="s">
        <v>6</v>
      </c>
      <c r="AB13" s="1327"/>
      <c r="AC13" s="1330" t="s">
        <v>106</v>
      </c>
      <c r="AD13" s="1337">
        <v>0.65800000000000003</v>
      </c>
      <c r="AE13" s="1338">
        <f t="shared" ref="AE13:AE18" si="0">AD13+0.01</f>
        <v>0.66800000000000004</v>
      </c>
      <c r="AF13" s="1339">
        <v>3</v>
      </c>
    </row>
    <row r="14" spans="1:32" ht="22.5">
      <c r="A14" s="676">
        <v>13</v>
      </c>
      <c r="B14" s="677" t="s">
        <v>22</v>
      </c>
      <c r="C14" s="678" t="s">
        <v>6</v>
      </c>
      <c r="D14" s="675">
        <f>IFERROR(ROUND(HLOOKUP($B$1,$E:$AB,A14+1,FALSE)*$C$1*데이터입력!$Y$6*$D$1,-3),0)</f>
        <v>0</v>
      </c>
      <c r="E14" s="215" t="s">
        <v>22</v>
      </c>
      <c r="F14" s="2" t="s">
        <v>6</v>
      </c>
      <c r="G14" s="253"/>
      <c r="H14" s="215" t="s">
        <v>22</v>
      </c>
      <c r="I14" s="2" t="s">
        <v>6</v>
      </c>
      <c r="J14" s="253"/>
      <c r="K14" s="215" t="s">
        <v>22</v>
      </c>
      <c r="L14" s="2" t="s">
        <v>6</v>
      </c>
      <c r="M14" s="253"/>
      <c r="N14" s="215" t="s">
        <v>22</v>
      </c>
      <c r="O14" s="2" t="s">
        <v>6</v>
      </c>
      <c r="P14" s="253"/>
      <c r="Q14" s="215" t="s">
        <v>22</v>
      </c>
      <c r="R14" s="2" t="s">
        <v>6</v>
      </c>
      <c r="S14" s="253"/>
      <c r="T14" s="215" t="s">
        <v>22</v>
      </c>
      <c r="U14" s="2" t="s">
        <v>6</v>
      </c>
      <c r="V14" s="253"/>
      <c r="W14" s="215" t="s">
        <v>22</v>
      </c>
      <c r="X14" s="2" t="s">
        <v>6</v>
      </c>
      <c r="Y14" s="253"/>
      <c r="Z14" s="215" t="s">
        <v>22</v>
      </c>
      <c r="AA14" s="2" t="s">
        <v>6</v>
      </c>
      <c r="AB14" s="1327"/>
      <c r="AC14" s="1330" t="s">
        <v>108</v>
      </c>
      <c r="AD14" s="1337">
        <v>0.49</v>
      </c>
      <c r="AE14" s="1338">
        <f t="shared" si="0"/>
        <v>0.5</v>
      </c>
      <c r="AF14" s="1339">
        <v>7</v>
      </c>
    </row>
    <row r="15" spans="1:32">
      <c r="A15" s="676">
        <v>14</v>
      </c>
      <c r="B15" s="677" t="s">
        <v>23</v>
      </c>
      <c r="C15" s="678" t="s">
        <v>6</v>
      </c>
      <c r="D15" s="675">
        <f>IFERROR(ROUND(HLOOKUP($B$1,$E:$AB,A15+1,FALSE)*$C$1*데이터입력!$Y$6*$D$1,-3),0)</f>
        <v>0</v>
      </c>
      <c r="E15" s="215" t="s">
        <v>23</v>
      </c>
      <c r="F15" s="2" t="s">
        <v>6</v>
      </c>
      <c r="G15" s="253"/>
      <c r="H15" s="215" t="s">
        <v>23</v>
      </c>
      <c r="I15" s="2" t="s">
        <v>6</v>
      </c>
      <c r="J15" s="253"/>
      <c r="K15" s="215" t="s">
        <v>23</v>
      </c>
      <c r="L15" s="2" t="s">
        <v>6</v>
      </c>
      <c r="M15" s="253"/>
      <c r="N15" s="215" t="s">
        <v>23</v>
      </c>
      <c r="O15" s="2" t="s">
        <v>6</v>
      </c>
      <c r="P15" s="253"/>
      <c r="Q15" s="215" t="s">
        <v>23</v>
      </c>
      <c r="R15" s="2" t="s">
        <v>6</v>
      </c>
      <c r="S15" s="253"/>
      <c r="T15" s="215" t="s">
        <v>23</v>
      </c>
      <c r="U15" s="2" t="s">
        <v>6</v>
      </c>
      <c r="V15" s="253"/>
      <c r="W15" s="215" t="s">
        <v>23</v>
      </c>
      <c r="X15" s="2" t="s">
        <v>6</v>
      </c>
      <c r="Y15" s="253"/>
      <c r="Z15" s="215" t="s">
        <v>23</v>
      </c>
      <c r="AA15" s="2" t="s">
        <v>6</v>
      </c>
      <c r="AB15" s="1327"/>
      <c r="AC15" s="1330" t="s">
        <v>112</v>
      </c>
      <c r="AD15" s="1337">
        <v>0.59299999999999997</v>
      </c>
      <c r="AE15" s="1338">
        <f t="shared" si="0"/>
        <v>0.60299999999999998</v>
      </c>
      <c r="AF15" s="1339">
        <v>4</v>
      </c>
    </row>
    <row r="16" spans="1:32" ht="22.5">
      <c r="A16" s="676">
        <v>15</v>
      </c>
      <c r="B16" s="677" t="s">
        <v>24</v>
      </c>
      <c r="C16" s="678" t="s">
        <v>6</v>
      </c>
      <c r="D16" s="675">
        <f>IFERROR(ROUND(HLOOKUP($B$1,$E:$AB,A16+1,FALSE)*$C$1*데이터입력!$Y$6*$D$1,-3),0)</f>
        <v>0</v>
      </c>
      <c r="E16" s="215" t="s">
        <v>24</v>
      </c>
      <c r="F16" s="2" t="s">
        <v>6</v>
      </c>
      <c r="G16" s="253"/>
      <c r="H16" s="215" t="s">
        <v>24</v>
      </c>
      <c r="I16" s="2" t="s">
        <v>6</v>
      </c>
      <c r="J16" s="253"/>
      <c r="K16" s="215" t="s">
        <v>24</v>
      </c>
      <c r="L16" s="2" t="s">
        <v>6</v>
      </c>
      <c r="M16" s="253"/>
      <c r="N16" s="215" t="s">
        <v>24</v>
      </c>
      <c r="O16" s="2" t="s">
        <v>6</v>
      </c>
      <c r="P16" s="253"/>
      <c r="Q16" s="215" t="s">
        <v>24</v>
      </c>
      <c r="R16" s="2" t="s">
        <v>6</v>
      </c>
      <c r="S16" s="253"/>
      <c r="T16" s="215" t="s">
        <v>24</v>
      </c>
      <c r="U16" s="2" t="s">
        <v>6</v>
      </c>
      <c r="V16" s="253"/>
      <c r="W16" s="215" t="s">
        <v>24</v>
      </c>
      <c r="X16" s="2" t="s">
        <v>6</v>
      </c>
      <c r="Y16" s="253"/>
      <c r="Z16" s="215" t="s">
        <v>24</v>
      </c>
      <c r="AA16" s="2" t="s">
        <v>6</v>
      </c>
      <c r="AB16" s="1327"/>
      <c r="AC16" s="1330" t="s">
        <v>224</v>
      </c>
      <c r="AD16" s="1337">
        <v>0.86599999999999999</v>
      </c>
      <c r="AE16" s="1338">
        <f t="shared" si="0"/>
        <v>0.876</v>
      </c>
      <c r="AF16" s="1339">
        <v>1.5</v>
      </c>
    </row>
    <row r="17" spans="1:32">
      <c r="A17" s="676">
        <v>16</v>
      </c>
      <c r="B17" s="677" t="s">
        <v>25</v>
      </c>
      <c r="C17" s="678" t="s">
        <v>6</v>
      </c>
      <c r="D17" s="675">
        <f>IFERROR(ROUND(HLOOKUP($B$1,$E:$AB,A17+1,FALSE)*$C$1*데이터입력!$Y$6*$D$1,-3),0)</f>
        <v>0</v>
      </c>
      <c r="E17" s="215" t="s">
        <v>25</v>
      </c>
      <c r="F17" s="2" t="s">
        <v>6</v>
      </c>
      <c r="G17" s="253"/>
      <c r="H17" s="215" t="s">
        <v>25</v>
      </c>
      <c r="I17" s="2" t="s">
        <v>6</v>
      </c>
      <c r="J17" s="253"/>
      <c r="K17" s="215" t="s">
        <v>25</v>
      </c>
      <c r="L17" s="2" t="s">
        <v>6</v>
      </c>
      <c r="M17" s="253"/>
      <c r="N17" s="215" t="s">
        <v>25</v>
      </c>
      <c r="O17" s="2" t="s">
        <v>6</v>
      </c>
      <c r="P17" s="253"/>
      <c r="Q17" s="215" t="s">
        <v>25</v>
      </c>
      <c r="R17" s="2" t="s">
        <v>6</v>
      </c>
      <c r="S17" s="253"/>
      <c r="T17" s="215" t="s">
        <v>25</v>
      </c>
      <c r="U17" s="2" t="s">
        <v>6</v>
      </c>
      <c r="V17" s="253"/>
      <c r="W17" s="215" t="s">
        <v>25</v>
      </c>
      <c r="X17" s="2" t="s">
        <v>6</v>
      </c>
      <c r="Y17" s="253"/>
      <c r="Z17" s="215" t="s">
        <v>25</v>
      </c>
      <c r="AA17" s="2" t="s">
        <v>6</v>
      </c>
      <c r="AB17" s="1327"/>
      <c r="AC17" s="1330" t="s">
        <v>226</v>
      </c>
      <c r="AD17" s="1337">
        <v>0.501</v>
      </c>
      <c r="AE17" s="1338">
        <f t="shared" si="0"/>
        <v>0.51100000000000001</v>
      </c>
      <c r="AF17" s="1339">
        <v>2</v>
      </c>
    </row>
    <row r="18" spans="1:32" ht="17.25" thickBot="1">
      <c r="A18" s="676">
        <v>17</v>
      </c>
      <c r="B18" s="677" t="s">
        <v>26</v>
      </c>
      <c r="C18" s="678" t="s">
        <v>6</v>
      </c>
      <c r="D18" s="675">
        <f>IFERROR(ROUND(HLOOKUP($B$1,$E:$AB,A18+1,FALSE)*$C$1*데이터입력!$Y$6*$D$1,-3),0)</f>
        <v>0</v>
      </c>
      <c r="E18" s="215" t="s">
        <v>26</v>
      </c>
      <c r="F18" s="2" t="s">
        <v>6</v>
      </c>
      <c r="G18" s="253"/>
      <c r="H18" s="215" t="s">
        <v>26</v>
      </c>
      <c r="I18" s="2" t="s">
        <v>6</v>
      </c>
      <c r="J18" s="253"/>
      <c r="K18" s="215" t="s">
        <v>26</v>
      </c>
      <c r="L18" s="2" t="s">
        <v>6</v>
      </c>
      <c r="M18" s="253"/>
      <c r="N18" s="215" t="s">
        <v>26</v>
      </c>
      <c r="O18" s="2" t="s">
        <v>6</v>
      </c>
      <c r="P18" s="253"/>
      <c r="Q18" s="215" t="s">
        <v>26</v>
      </c>
      <c r="R18" s="2" t="s">
        <v>6</v>
      </c>
      <c r="S18" s="253"/>
      <c r="T18" s="215" t="s">
        <v>26</v>
      </c>
      <c r="U18" s="2" t="s">
        <v>6</v>
      </c>
      <c r="V18" s="253"/>
      <c r="W18" s="215" t="s">
        <v>26</v>
      </c>
      <c r="X18" s="2" t="s">
        <v>6</v>
      </c>
      <c r="Y18" s="253"/>
      <c r="Z18" s="215" t="s">
        <v>26</v>
      </c>
      <c r="AA18" s="2" t="s">
        <v>6</v>
      </c>
      <c r="AB18" s="1327"/>
      <c r="AC18" s="1333" t="s">
        <v>228</v>
      </c>
      <c r="AD18" s="1340">
        <v>0.60899999999999999</v>
      </c>
      <c r="AE18" s="1341">
        <f t="shared" si="0"/>
        <v>0.61899999999999999</v>
      </c>
      <c r="AF18" s="1342">
        <v>1.5</v>
      </c>
    </row>
    <row r="19" spans="1:32" ht="17.25" thickBot="1">
      <c r="A19" s="676">
        <v>18</v>
      </c>
      <c r="B19" s="677" t="s">
        <v>27</v>
      </c>
      <c r="C19" s="678" t="s">
        <v>6</v>
      </c>
      <c r="D19" s="675">
        <f>IFERROR(ROUND(HLOOKUP($B$1,$E:$AB,A19+1,FALSE)*$C$1*데이터입력!$Y$6*$D$1,-3),0)</f>
        <v>0</v>
      </c>
      <c r="E19" s="215" t="s">
        <v>27</v>
      </c>
      <c r="F19" s="2" t="s">
        <v>6</v>
      </c>
      <c r="G19" s="253"/>
      <c r="H19" s="215" t="s">
        <v>27</v>
      </c>
      <c r="I19" s="2" t="s">
        <v>6</v>
      </c>
      <c r="J19" s="253"/>
      <c r="K19" s="215" t="s">
        <v>27</v>
      </c>
      <c r="L19" s="2" t="s">
        <v>6</v>
      </c>
      <c r="M19" s="253"/>
      <c r="N19" s="215" t="s">
        <v>27</v>
      </c>
      <c r="O19" s="2" t="s">
        <v>6</v>
      </c>
      <c r="P19" s="253"/>
      <c r="Q19" s="215" t="s">
        <v>27</v>
      </c>
      <c r="R19" s="2" t="s">
        <v>6</v>
      </c>
      <c r="S19" s="253"/>
      <c r="T19" s="215" t="s">
        <v>27</v>
      </c>
      <c r="U19" s="2" t="s">
        <v>6</v>
      </c>
      <c r="V19" s="253"/>
      <c r="W19" s="215" t="s">
        <v>27</v>
      </c>
      <c r="X19" s="2" t="s">
        <v>6</v>
      </c>
      <c r="Y19" s="253"/>
      <c r="Z19" s="215" t="s">
        <v>27</v>
      </c>
      <c r="AA19" s="2" t="s">
        <v>6</v>
      </c>
      <c r="AB19" s="253"/>
    </row>
    <row r="20" spans="1:32" ht="17.25">
      <c r="A20" s="676">
        <v>19</v>
      </c>
      <c r="B20" s="677" t="s">
        <v>29</v>
      </c>
      <c r="C20" s="678" t="s">
        <v>6</v>
      </c>
      <c r="D20" s="675">
        <f>IFERROR(ROUND(HLOOKUP($B$1,$E:$AB,A20+1,FALSE)*$C$1*데이터입력!$Y$6*$D$1,-3),0)</f>
        <v>0</v>
      </c>
      <c r="E20" s="215" t="s">
        <v>29</v>
      </c>
      <c r="F20" s="2" t="s">
        <v>6</v>
      </c>
      <c r="G20" s="253"/>
      <c r="H20" s="215" t="s">
        <v>29</v>
      </c>
      <c r="I20" s="2" t="s">
        <v>6</v>
      </c>
      <c r="J20" s="253"/>
      <c r="K20" s="215" t="s">
        <v>29</v>
      </c>
      <c r="L20" s="2" t="s">
        <v>6</v>
      </c>
      <c r="M20" s="253"/>
      <c r="N20" s="215" t="s">
        <v>29</v>
      </c>
      <c r="O20" s="2" t="s">
        <v>6</v>
      </c>
      <c r="P20" s="253"/>
      <c r="Q20" s="215" t="s">
        <v>29</v>
      </c>
      <c r="R20" s="2" t="s">
        <v>6</v>
      </c>
      <c r="S20" s="253"/>
      <c r="T20" s="215" t="s">
        <v>29</v>
      </c>
      <c r="U20" s="2" t="s">
        <v>6</v>
      </c>
      <c r="V20" s="253"/>
      <c r="W20" s="215" t="s">
        <v>29</v>
      </c>
      <c r="X20" s="2" t="s">
        <v>6</v>
      </c>
      <c r="Y20" s="253"/>
      <c r="Z20" s="215" t="s">
        <v>29</v>
      </c>
      <c r="AA20" s="2" t="s">
        <v>6</v>
      </c>
      <c r="AB20" s="1327"/>
      <c r="AC20" s="1627" t="s">
        <v>811</v>
      </c>
      <c r="AD20" s="1628"/>
      <c r="AE20" s="1628"/>
      <c r="AF20" s="1629"/>
    </row>
    <row r="21" spans="1:32" ht="17.25">
      <c r="A21" s="676">
        <v>20</v>
      </c>
      <c r="B21" s="677" t="s">
        <v>31</v>
      </c>
      <c r="C21" s="678" t="s">
        <v>6</v>
      </c>
      <c r="D21" s="675">
        <f>IFERROR(ROUND(HLOOKUP($B$1,$E:$AB,A21+1,FALSE)*$C$1*데이터입력!$Y$6*$D$1,-3),0)</f>
        <v>0</v>
      </c>
      <c r="E21" s="215" t="s">
        <v>31</v>
      </c>
      <c r="F21" s="2" t="s">
        <v>6</v>
      </c>
      <c r="G21" s="253"/>
      <c r="H21" s="215" t="s">
        <v>31</v>
      </c>
      <c r="I21" s="2" t="s">
        <v>6</v>
      </c>
      <c r="J21" s="253"/>
      <c r="K21" s="215" t="s">
        <v>31</v>
      </c>
      <c r="L21" s="2" t="s">
        <v>6</v>
      </c>
      <c r="M21" s="253"/>
      <c r="N21" s="215" t="s">
        <v>31</v>
      </c>
      <c r="O21" s="2" t="s">
        <v>6</v>
      </c>
      <c r="P21" s="253"/>
      <c r="Q21" s="215" t="s">
        <v>31</v>
      </c>
      <c r="R21" s="2" t="s">
        <v>6</v>
      </c>
      <c r="S21" s="253"/>
      <c r="T21" s="215" t="s">
        <v>31</v>
      </c>
      <c r="U21" s="2" t="s">
        <v>6</v>
      </c>
      <c r="V21" s="253"/>
      <c r="W21" s="215" t="s">
        <v>31</v>
      </c>
      <c r="X21" s="2" t="s">
        <v>6</v>
      </c>
      <c r="Y21" s="253"/>
      <c r="Z21" s="215" t="s">
        <v>31</v>
      </c>
      <c r="AA21" s="2" t="s">
        <v>6</v>
      </c>
      <c r="AB21" s="1327"/>
      <c r="AC21" s="1330"/>
      <c r="AD21" s="1362"/>
      <c r="AE21" s="1363" t="s">
        <v>802</v>
      </c>
      <c r="AF21" s="1365" t="s">
        <v>803</v>
      </c>
    </row>
    <row r="22" spans="1:32">
      <c r="A22" s="676">
        <v>21</v>
      </c>
      <c r="B22" s="677" t="s">
        <v>33</v>
      </c>
      <c r="C22" s="678" t="s">
        <v>6</v>
      </c>
      <c r="D22" s="675">
        <f>IFERROR(ROUND(HLOOKUP($B$1,$E:$AB,A22+1,FALSE)*$C$1*데이터입력!$Y$6*$D$1,-3),0)</f>
        <v>0</v>
      </c>
      <c r="E22" s="215" t="s">
        <v>33</v>
      </c>
      <c r="F22" s="2" t="s">
        <v>6</v>
      </c>
      <c r="G22" s="253"/>
      <c r="H22" s="215" t="s">
        <v>33</v>
      </c>
      <c r="I22" s="2" t="s">
        <v>6</v>
      </c>
      <c r="J22" s="253"/>
      <c r="K22" s="215" t="s">
        <v>33</v>
      </c>
      <c r="L22" s="2" t="s">
        <v>6</v>
      </c>
      <c r="M22" s="253"/>
      <c r="N22" s="215" t="s">
        <v>33</v>
      </c>
      <c r="O22" s="2" t="s">
        <v>6</v>
      </c>
      <c r="P22" s="253"/>
      <c r="Q22" s="215" t="s">
        <v>33</v>
      </c>
      <c r="R22" s="2" t="s">
        <v>6</v>
      </c>
      <c r="S22" s="253"/>
      <c r="T22" s="215" t="s">
        <v>33</v>
      </c>
      <c r="U22" s="2" t="s">
        <v>6</v>
      </c>
      <c r="V22" s="253"/>
      <c r="W22" s="215" t="s">
        <v>33</v>
      </c>
      <c r="X22" s="2" t="s">
        <v>6</v>
      </c>
      <c r="Y22" s="253"/>
      <c r="Z22" s="215" t="s">
        <v>33</v>
      </c>
      <c r="AA22" s="2" t="s">
        <v>6</v>
      </c>
      <c r="AB22" s="1327"/>
      <c r="AC22" s="1330" t="s">
        <v>16</v>
      </c>
      <c r="AD22" s="1362" t="s">
        <v>14</v>
      </c>
      <c r="AE22" s="1364">
        <v>303266</v>
      </c>
      <c r="AF22" s="1366">
        <v>346850</v>
      </c>
    </row>
    <row r="23" spans="1:32">
      <c r="A23" s="676">
        <v>22</v>
      </c>
      <c r="B23" s="677" t="s">
        <v>34</v>
      </c>
      <c r="C23" s="678" t="s">
        <v>6</v>
      </c>
      <c r="D23" s="675">
        <f>IFERROR(ROUND(HLOOKUP($B$1,$E:$AB,A23+1,FALSE)*$C$1*데이터입력!$Y$6*$D$1,-3),0)</f>
        <v>0</v>
      </c>
      <c r="E23" s="215" t="s">
        <v>34</v>
      </c>
      <c r="F23" s="2" t="s">
        <v>6</v>
      </c>
      <c r="G23" s="253"/>
      <c r="H23" s="215" t="s">
        <v>34</v>
      </c>
      <c r="I23" s="2" t="s">
        <v>6</v>
      </c>
      <c r="J23" s="253"/>
      <c r="K23" s="215" t="s">
        <v>34</v>
      </c>
      <c r="L23" s="2" t="s">
        <v>6</v>
      </c>
      <c r="M23" s="253"/>
      <c r="N23" s="215" t="s">
        <v>34</v>
      </c>
      <c r="O23" s="2" t="s">
        <v>6</v>
      </c>
      <c r="P23" s="253"/>
      <c r="Q23" s="215" t="s">
        <v>34</v>
      </c>
      <c r="R23" s="2" t="s">
        <v>6</v>
      </c>
      <c r="S23" s="253"/>
      <c r="T23" s="215" t="s">
        <v>34</v>
      </c>
      <c r="U23" s="2" t="s">
        <v>6</v>
      </c>
      <c r="V23" s="253"/>
      <c r="W23" s="215" t="s">
        <v>34</v>
      </c>
      <c r="X23" s="2" t="s">
        <v>6</v>
      </c>
      <c r="Y23" s="253"/>
      <c r="Z23" s="215" t="s">
        <v>34</v>
      </c>
      <c r="AA23" s="2" t="s">
        <v>6</v>
      </c>
      <c r="AB23" s="1327"/>
      <c r="AC23" s="1330" t="s">
        <v>790</v>
      </c>
      <c r="AD23" s="1362" t="s">
        <v>14</v>
      </c>
      <c r="AE23" s="1364">
        <v>40000</v>
      </c>
      <c r="AF23" s="1366">
        <v>40000</v>
      </c>
    </row>
    <row r="24" spans="1:32">
      <c r="A24" s="676">
        <v>23</v>
      </c>
      <c r="B24" s="677" t="s">
        <v>35</v>
      </c>
      <c r="C24" s="678" t="s">
        <v>6</v>
      </c>
      <c r="D24" s="675">
        <f>IFERROR(ROUND(HLOOKUP($B$1,$E:$AB,A24+1,FALSE)*$C$1*데이터입력!$Y$6*$D$1,-3),0)</f>
        <v>0</v>
      </c>
      <c r="E24" s="215" t="s">
        <v>35</v>
      </c>
      <c r="F24" s="2" t="s">
        <v>6</v>
      </c>
      <c r="G24" s="253"/>
      <c r="H24" s="215" t="s">
        <v>35</v>
      </c>
      <c r="I24" s="2" t="s">
        <v>6</v>
      </c>
      <c r="J24" s="253"/>
      <c r="K24" s="215" t="s">
        <v>35</v>
      </c>
      <c r="L24" s="2" t="s">
        <v>6</v>
      </c>
      <c r="M24" s="253"/>
      <c r="N24" s="215" t="s">
        <v>35</v>
      </c>
      <c r="O24" s="2" t="s">
        <v>6</v>
      </c>
      <c r="P24" s="253"/>
      <c r="Q24" s="215" t="s">
        <v>35</v>
      </c>
      <c r="R24" s="2" t="s">
        <v>6</v>
      </c>
      <c r="S24" s="253"/>
      <c r="T24" s="215" t="s">
        <v>35</v>
      </c>
      <c r="U24" s="2" t="s">
        <v>6</v>
      </c>
      <c r="V24" s="253"/>
      <c r="W24" s="215" t="s">
        <v>35</v>
      </c>
      <c r="X24" s="2" t="s">
        <v>6</v>
      </c>
      <c r="Y24" s="253"/>
      <c r="Z24" s="215" t="s">
        <v>35</v>
      </c>
      <c r="AA24" s="2" t="s">
        <v>6</v>
      </c>
      <c r="AB24" s="1327"/>
      <c r="AC24" s="1330" t="s">
        <v>791</v>
      </c>
      <c r="AD24" s="1362" t="s">
        <v>14</v>
      </c>
      <c r="AE24" s="1364">
        <v>50000</v>
      </c>
      <c r="AF24" s="1366">
        <v>50000</v>
      </c>
    </row>
    <row r="25" spans="1:32">
      <c r="A25" s="676">
        <v>24</v>
      </c>
      <c r="B25" s="677" t="s">
        <v>36</v>
      </c>
      <c r="C25" s="678" t="s">
        <v>6</v>
      </c>
      <c r="D25" s="675">
        <f>IFERROR(IF((ROUND($D$1/10,0)*HLOOKUP($B$1,$E:$AB,A25+1,FALSE)*ROUND($C$1/6,0))&gt;1200000,ROUND(1200000/12*$C$1,0),IF(OR($B$1=$G$1,$B$1=$M$1,$B$1=$J$1,$B$1=$P$1),ROUND($D$1/10,0)*HLOOKUP($B$1,$E:$AB,A25+1,FALSE)*ROUND($C$1/6,0),IF($D$1&lt;0,0,ROUND($D$1/10,0)*HLOOKUP($B$1,$E:$AB,A25+1,FALSE)*ROUND($C$1/6,0)))),0)</f>
        <v>20000</v>
      </c>
      <c r="E25" s="215" t="s">
        <v>36</v>
      </c>
      <c r="F25" s="2" t="s">
        <v>6</v>
      </c>
      <c r="G25" s="253">
        <v>5000</v>
      </c>
      <c r="H25" s="215" t="s">
        <v>36</v>
      </c>
      <c r="I25" s="2" t="s">
        <v>6</v>
      </c>
      <c r="J25" s="253">
        <v>5000</v>
      </c>
      <c r="K25" s="215" t="s">
        <v>36</v>
      </c>
      <c r="L25" s="2" t="s">
        <v>6</v>
      </c>
      <c r="M25" s="253">
        <v>5000</v>
      </c>
      <c r="N25" s="215" t="s">
        <v>36</v>
      </c>
      <c r="O25" s="2" t="s">
        <v>6</v>
      </c>
      <c r="P25" s="253">
        <v>5000</v>
      </c>
      <c r="Q25" s="215" t="s">
        <v>36</v>
      </c>
      <c r="R25" s="2" t="s">
        <v>6</v>
      </c>
      <c r="S25" s="253">
        <v>5000</v>
      </c>
      <c r="T25" s="215" t="s">
        <v>36</v>
      </c>
      <c r="U25" s="2" t="s">
        <v>6</v>
      </c>
      <c r="V25" s="253">
        <v>2500</v>
      </c>
      <c r="W25" s="215" t="s">
        <v>36</v>
      </c>
      <c r="X25" s="2" t="s">
        <v>6</v>
      </c>
      <c r="Y25" s="253">
        <v>2500</v>
      </c>
      <c r="Z25" s="215" t="s">
        <v>36</v>
      </c>
      <c r="AA25" s="2" t="s">
        <v>6</v>
      </c>
      <c r="AB25" s="1327">
        <v>5000</v>
      </c>
      <c r="AC25" s="1330" t="s">
        <v>102</v>
      </c>
      <c r="AD25" s="1362" t="s">
        <v>107</v>
      </c>
      <c r="AE25" s="1364">
        <v>81750</v>
      </c>
      <c r="AF25" s="1366">
        <v>84240</v>
      </c>
    </row>
    <row r="26" spans="1:32">
      <c r="A26" s="676">
        <v>25</v>
      </c>
      <c r="B26" s="677" t="s">
        <v>37</v>
      </c>
      <c r="C26" s="678" t="s">
        <v>6</v>
      </c>
      <c r="D26" s="675">
        <f>IFERROR(ROUND(HLOOKUP($B$1,$E:$AB,A26+1,FALSE),-3),0)</f>
        <v>60000</v>
      </c>
      <c r="E26" s="215" t="s">
        <v>37</v>
      </c>
      <c r="F26" s="2" t="s">
        <v>6</v>
      </c>
      <c r="G26" s="253">
        <v>60000</v>
      </c>
      <c r="H26" s="215" t="s">
        <v>37</v>
      </c>
      <c r="I26" s="2" t="s">
        <v>6</v>
      </c>
      <c r="J26" s="253">
        <v>60000</v>
      </c>
      <c r="K26" s="215" t="s">
        <v>37</v>
      </c>
      <c r="L26" s="2" t="s">
        <v>6</v>
      </c>
      <c r="M26" s="253">
        <v>60000</v>
      </c>
      <c r="N26" s="215" t="s">
        <v>37</v>
      </c>
      <c r="O26" s="2" t="s">
        <v>6</v>
      </c>
      <c r="P26" s="253">
        <v>60000</v>
      </c>
      <c r="Q26" s="215" t="s">
        <v>37</v>
      </c>
      <c r="R26" s="2" t="s">
        <v>6</v>
      </c>
      <c r="S26" s="253"/>
      <c r="T26" s="215" t="s">
        <v>37</v>
      </c>
      <c r="U26" s="2" t="s">
        <v>6</v>
      </c>
      <c r="V26" s="253"/>
      <c r="W26" s="215" t="s">
        <v>37</v>
      </c>
      <c r="X26" s="2" t="s">
        <v>6</v>
      </c>
      <c r="Y26" s="253"/>
      <c r="Z26" s="215" t="s">
        <v>37</v>
      </c>
      <c r="AA26" s="2" t="s">
        <v>6</v>
      </c>
      <c r="AB26" s="1327"/>
      <c r="AC26" s="1330" t="s">
        <v>102</v>
      </c>
      <c r="AD26" s="1362" t="s">
        <v>104</v>
      </c>
      <c r="AE26" s="1364">
        <v>75840</v>
      </c>
      <c r="AF26" s="1366">
        <v>78150</v>
      </c>
    </row>
    <row r="27" spans="1:32">
      <c r="A27" s="676">
        <v>26</v>
      </c>
      <c r="B27" s="677" t="s">
        <v>38</v>
      </c>
      <c r="C27" s="678" t="s">
        <v>6</v>
      </c>
      <c r="D27" s="675">
        <f>IFERROR(IF(OR(AND(VLOOKUP(B27,데이터입력!$B$3:$L$28,6,FALSE)=0,SUM(데이터입력!$L$3:$L$28)&gt;0),IFERROR(IF((ROUND($D$1/10,0)*HLOOKUP($B$1,$E:$AB,A27+1,FALSE)*$C$1)&gt;36000000,ROUND(36000000/12*$C$1,0),IF(OR($B$1=$G$1,$B$1=$M$1,$B$1=$J$1,$B$1=$P$1),ROUND($D$1/10,0)*HLOOKUP($B$1,$E:$AB,A27+1,FALSE)*$C$1,IF($D$1&lt;0,0,ROUND($D$1/10,0)*HLOOKUP($B$1,$E:$AB,A27+1,FALSE)*$C$1))),0)&lt;VLOOKUP(B27,데이터입력!$B$3:$L$28,6,FALSE)),ROUND(VLOOKUP(B27,데이터입력!$B$3:$L$28,6,FALSE)*데이터입력!$Y$6,0),IFERROR(IF((ROUND($D$1/10,0)*HLOOKUP($B$1,$E:$AB,A27+1,FALSE)*$C$1)&gt;36000000,ROUND(36000000/12*$C$1,0),IF(OR($B$1=$G$1,$B$1=$M$1,$B$1=$J$1,$B$1=$P$1),ROUND($D$1/10,0)*HLOOKUP($B$1,$E:$AB,A27+1,FALSE)*$C$1,IF($D$1&lt;0,0,ROUND($D$1/10,0)*HLOOKUP($B$1,$E:$AB,A27+1,FALSE)*$C$1))),0)),0)</f>
        <v>9600000</v>
      </c>
      <c r="E27" s="215" t="s">
        <v>38</v>
      </c>
      <c r="F27" s="2" t="s">
        <v>6</v>
      </c>
      <c r="G27" s="253">
        <v>500000</v>
      </c>
      <c r="H27" s="215" t="s">
        <v>38</v>
      </c>
      <c r="I27" s="2" t="s">
        <v>6</v>
      </c>
      <c r="J27" s="253">
        <v>150000</v>
      </c>
      <c r="K27" s="215" t="s">
        <v>38</v>
      </c>
      <c r="L27" s="2" t="s">
        <v>6</v>
      </c>
      <c r="M27" s="253">
        <v>400000</v>
      </c>
      <c r="N27" s="215" t="s">
        <v>38</v>
      </c>
      <c r="O27" s="2" t="s">
        <v>6</v>
      </c>
      <c r="P27" s="253">
        <v>200000</v>
      </c>
      <c r="Q27" s="215" t="s">
        <v>38</v>
      </c>
      <c r="R27" s="2" t="s">
        <v>6</v>
      </c>
      <c r="S27" s="253">
        <v>150000</v>
      </c>
      <c r="T27" s="215" t="s">
        <v>38</v>
      </c>
      <c r="U27" s="2" t="s">
        <v>6</v>
      </c>
      <c r="V27" s="253">
        <v>100000</v>
      </c>
      <c r="W27" s="215" t="s">
        <v>38</v>
      </c>
      <c r="X27" s="2" t="s">
        <v>6</v>
      </c>
      <c r="Y27" s="253">
        <v>100000</v>
      </c>
      <c r="Z27" s="215" t="s">
        <v>38</v>
      </c>
      <c r="AA27" s="2" t="s">
        <v>6</v>
      </c>
      <c r="AB27" s="1327">
        <v>100000</v>
      </c>
      <c r="AC27" s="1330" t="s">
        <v>102</v>
      </c>
      <c r="AD27" s="1362" t="s">
        <v>105</v>
      </c>
      <c r="AE27" s="1364">
        <v>71620</v>
      </c>
      <c r="AF27" s="1366">
        <v>73800</v>
      </c>
    </row>
    <row r="28" spans="1:32">
      <c r="A28" s="671">
        <v>27</v>
      </c>
      <c r="B28" s="669" t="s">
        <v>40</v>
      </c>
      <c r="C28" s="670" t="s">
        <v>6</v>
      </c>
      <c r="D28" s="668">
        <f t="shared" ref="D28:D37" si="1">IFERROR(IF((ROUND($D$1/10,0)*HLOOKUP($B$1,$E:$AB,A28+1,FALSE)*$C$1)&gt;24000000,ROUND(24000000/12*$C$1,0),IF(OR($B$1=$G$1,$B$1=$M$1),ROUND($D$1/10,0)*HLOOKUP($B$1,$E:$AB,A28+1,FALSE)*$C$1,IF($D$1&lt;30,0,ROUND($D$1/10,0)*HLOOKUP($B$1,$E:$AB,A28+1,FALSE)*$C$1))),0)</f>
        <v>0</v>
      </c>
      <c r="E28" s="679" t="s">
        <v>40</v>
      </c>
      <c r="F28" s="680" t="s">
        <v>6</v>
      </c>
      <c r="G28" s="681"/>
      <c r="H28" s="679" t="s">
        <v>40</v>
      </c>
      <c r="I28" s="680" t="s">
        <v>6</v>
      </c>
      <c r="J28" s="681"/>
      <c r="K28" s="679" t="s">
        <v>40</v>
      </c>
      <c r="L28" s="680" t="s">
        <v>6</v>
      </c>
      <c r="M28" s="681"/>
      <c r="N28" s="679" t="s">
        <v>40</v>
      </c>
      <c r="O28" s="680" t="s">
        <v>6</v>
      </c>
      <c r="P28" s="681"/>
      <c r="Q28" s="679" t="s">
        <v>40</v>
      </c>
      <c r="R28" s="680" t="s">
        <v>6</v>
      </c>
      <c r="S28" s="681"/>
      <c r="T28" s="679" t="s">
        <v>40</v>
      </c>
      <c r="U28" s="680" t="s">
        <v>6</v>
      </c>
      <c r="V28" s="681"/>
      <c r="W28" s="679" t="s">
        <v>40</v>
      </c>
      <c r="X28" s="680" t="s">
        <v>6</v>
      </c>
      <c r="Y28" s="681"/>
      <c r="Z28" s="679" t="s">
        <v>40</v>
      </c>
      <c r="AA28" s="680" t="s">
        <v>6</v>
      </c>
      <c r="AB28" s="1361"/>
      <c r="AC28" s="1330" t="s">
        <v>106</v>
      </c>
      <c r="AD28" s="1362" t="s">
        <v>107</v>
      </c>
      <c r="AE28" s="1364">
        <v>68780</v>
      </c>
      <c r="AF28" s="1366">
        <v>71010</v>
      </c>
    </row>
    <row r="29" spans="1:32">
      <c r="A29" s="671">
        <v>28</v>
      </c>
      <c r="B29" s="669" t="s">
        <v>41</v>
      </c>
      <c r="C29" s="670" t="s">
        <v>6</v>
      </c>
      <c r="D29" s="668">
        <f t="shared" si="1"/>
        <v>0</v>
      </c>
      <c r="E29" s="679" t="s">
        <v>41</v>
      </c>
      <c r="F29" s="680" t="s">
        <v>6</v>
      </c>
      <c r="G29" s="681"/>
      <c r="H29" s="679" t="s">
        <v>41</v>
      </c>
      <c r="I29" s="680" t="s">
        <v>6</v>
      </c>
      <c r="J29" s="681"/>
      <c r="K29" s="679" t="s">
        <v>41</v>
      </c>
      <c r="L29" s="680" t="s">
        <v>6</v>
      </c>
      <c r="M29" s="681"/>
      <c r="N29" s="679" t="s">
        <v>41</v>
      </c>
      <c r="O29" s="680" t="s">
        <v>6</v>
      </c>
      <c r="P29" s="681"/>
      <c r="Q29" s="679" t="s">
        <v>41</v>
      </c>
      <c r="R29" s="680" t="s">
        <v>6</v>
      </c>
      <c r="S29" s="681"/>
      <c r="T29" s="679" t="s">
        <v>41</v>
      </c>
      <c r="U29" s="680" t="s">
        <v>6</v>
      </c>
      <c r="V29" s="681"/>
      <c r="W29" s="679" t="s">
        <v>41</v>
      </c>
      <c r="X29" s="680" t="s">
        <v>6</v>
      </c>
      <c r="Y29" s="681"/>
      <c r="Z29" s="679" t="s">
        <v>41</v>
      </c>
      <c r="AA29" s="680" t="s">
        <v>6</v>
      </c>
      <c r="AB29" s="1361"/>
      <c r="AC29" s="1330" t="s">
        <v>106</v>
      </c>
      <c r="AD29" s="1362" t="s">
        <v>104</v>
      </c>
      <c r="AE29" s="1364">
        <v>63820</v>
      </c>
      <c r="AF29" s="1366">
        <v>65890</v>
      </c>
    </row>
    <row r="30" spans="1:32">
      <c r="A30" s="671">
        <v>29</v>
      </c>
      <c r="B30" s="669" t="s">
        <v>42</v>
      </c>
      <c r="C30" s="670" t="s">
        <v>6</v>
      </c>
      <c r="D30" s="668">
        <f t="shared" si="1"/>
        <v>0</v>
      </c>
      <c r="E30" s="679" t="s">
        <v>42</v>
      </c>
      <c r="F30" s="680" t="s">
        <v>6</v>
      </c>
      <c r="G30" s="681"/>
      <c r="H30" s="679" t="s">
        <v>42</v>
      </c>
      <c r="I30" s="680" t="s">
        <v>6</v>
      </c>
      <c r="J30" s="681"/>
      <c r="K30" s="679" t="s">
        <v>42</v>
      </c>
      <c r="L30" s="680" t="s">
        <v>6</v>
      </c>
      <c r="M30" s="681"/>
      <c r="N30" s="679" t="s">
        <v>42</v>
      </c>
      <c r="O30" s="680" t="s">
        <v>6</v>
      </c>
      <c r="P30" s="681"/>
      <c r="Q30" s="679" t="s">
        <v>42</v>
      </c>
      <c r="R30" s="680" t="s">
        <v>6</v>
      </c>
      <c r="S30" s="681"/>
      <c r="T30" s="679" t="s">
        <v>42</v>
      </c>
      <c r="U30" s="680" t="s">
        <v>6</v>
      </c>
      <c r="V30" s="681"/>
      <c r="W30" s="679" t="s">
        <v>42</v>
      </c>
      <c r="X30" s="680" t="s">
        <v>6</v>
      </c>
      <c r="Y30" s="681"/>
      <c r="Z30" s="679" t="s">
        <v>42</v>
      </c>
      <c r="AA30" s="680" t="s">
        <v>6</v>
      </c>
      <c r="AB30" s="1361"/>
      <c r="AC30" s="1330" t="s">
        <v>106</v>
      </c>
      <c r="AD30" s="1362" t="s">
        <v>105</v>
      </c>
      <c r="AE30" s="1364">
        <v>58830</v>
      </c>
      <c r="AF30" s="1366">
        <v>60740</v>
      </c>
    </row>
    <row r="31" spans="1:32">
      <c r="A31" s="671">
        <v>30</v>
      </c>
      <c r="B31" s="669" t="s">
        <v>43</v>
      </c>
      <c r="C31" s="670" t="s">
        <v>6</v>
      </c>
      <c r="D31" s="668">
        <f t="shared" si="1"/>
        <v>0</v>
      </c>
      <c r="E31" s="679" t="s">
        <v>43</v>
      </c>
      <c r="F31" s="680" t="s">
        <v>6</v>
      </c>
      <c r="G31" s="681"/>
      <c r="H31" s="679" t="s">
        <v>43</v>
      </c>
      <c r="I31" s="680" t="s">
        <v>6</v>
      </c>
      <c r="J31" s="681"/>
      <c r="K31" s="679" t="s">
        <v>43</v>
      </c>
      <c r="L31" s="680" t="s">
        <v>6</v>
      </c>
      <c r="M31" s="681"/>
      <c r="N31" s="679" t="s">
        <v>43</v>
      </c>
      <c r="O31" s="680" t="s">
        <v>6</v>
      </c>
      <c r="P31" s="681"/>
      <c r="Q31" s="679" t="s">
        <v>43</v>
      </c>
      <c r="R31" s="680" t="s">
        <v>6</v>
      </c>
      <c r="S31" s="681"/>
      <c r="T31" s="679" t="s">
        <v>43</v>
      </c>
      <c r="U31" s="680" t="s">
        <v>6</v>
      </c>
      <c r="V31" s="681"/>
      <c r="W31" s="679" t="s">
        <v>43</v>
      </c>
      <c r="X31" s="680" t="s">
        <v>6</v>
      </c>
      <c r="Y31" s="681"/>
      <c r="Z31" s="679" t="s">
        <v>43</v>
      </c>
      <c r="AA31" s="680" t="s">
        <v>6</v>
      </c>
      <c r="AB31" s="1361"/>
      <c r="AC31" s="1330" t="s">
        <v>108</v>
      </c>
      <c r="AD31" s="1362" t="s">
        <v>107</v>
      </c>
      <c r="AE31" s="1364">
        <v>64400</v>
      </c>
      <c r="AF31" s="1366">
        <v>66360</v>
      </c>
    </row>
    <row r="32" spans="1:32">
      <c r="A32" s="671">
        <v>31</v>
      </c>
      <c r="B32" s="669" t="s">
        <v>44</v>
      </c>
      <c r="C32" s="670" t="s">
        <v>6</v>
      </c>
      <c r="D32" s="668">
        <f t="shared" si="1"/>
        <v>0</v>
      </c>
      <c r="E32" s="679" t="s">
        <v>44</v>
      </c>
      <c r="F32" s="680" t="s">
        <v>6</v>
      </c>
      <c r="G32" s="681"/>
      <c r="H32" s="679" t="s">
        <v>44</v>
      </c>
      <c r="I32" s="680" t="s">
        <v>6</v>
      </c>
      <c r="J32" s="681"/>
      <c r="K32" s="679" t="s">
        <v>44</v>
      </c>
      <c r="L32" s="680" t="s">
        <v>6</v>
      </c>
      <c r="M32" s="681"/>
      <c r="N32" s="679" t="s">
        <v>44</v>
      </c>
      <c r="O32" s="680" t="s">
        <v>6</v>
      </c>
      <c r="P32" s="681"/>
      <c r="Q32" s="679" t="s">
        <v>44</v>
      </c>
      <c r="R32" s="680" t="s">
        <v>6</v>
      </c>
      <c r="S32" s="681"/>
      <c r="T32" s="679" t="s">
        <v>44</v>
      </c>
      <c r="U32" s="680" t="s">
        <v>6</v>
      </c>
      <c r="V32" s="681"/>
      <c r="W32" s="679" t="s">
        <v>44</v>
      </c>
      <c r="X32" s="680" t="s">
        <v>6</v>
      </c>
      <c r="Y32" s="681"/>
      <c r="Z32" s="679" t="s">
        <v>44</v>
      </c>
      <c r="AA32" s="680" t="s">
        <v>6</v>
      </c>
      <c r="AB32" s="1361"/>
      <c r="AC32" s="1330" t="s">
        <v>108</v>
      </c>
      <c r="AD32" s="1362" t="s">
        <v>104</v>
      </c>
      <c r="AE32" s="1364">
        <v>59660</v>
      </c>
      <c r="AF32" s="1366">
        <v>61480</v>
      </c>
    </row>
    <row r="33" spans="1:32">
      <c r="A33" s="671">
        <v>32</v>
      </c>
      <c r="B33" s="669" t="s">
        <v>45</v>
      </c>
      <c r="C33" s="670" t="s">
        <v>6</v>
      </c>
      <c r="D33" s="668">
        <f t="shared" si="1"/>
        <v>0</v>
      </c>
      <c r="E33" s="679" t="s">
        <v>45</v>
      </c>
      <c r="F33" s="680" t="s">
        <v>6</v>
      </c>
      <c r="G33" s="681"/>
      <c r="H33" s="679" t="s">
        <v>45</v>
      </c>
      <c r="I33" s="680" t="s">
        <v>6</v>
      </c>
      <c r="J33" s="681"/>
      <c r="K33" s="679" t="s">
        <v>45</v>
      </c>
      <c r="L33" s="680" t="s">
        <v>6</v>
      </c>
      <c r="M33" s="681"/>
      <c r="N33" s="679" t="s">
        <v>45</v>
      </c>
      <c r="O33" s="680" t="s">
        <v>6</v>
      </c>
      <c r="P33" s="681"/>
      <c r="Q33" s="679" t="s">
        <v>45</v>
      </c>
      <c r="R33" s="680" t="s">
        <v>6</v>
      </c>
      <c r="S33" s="681"/>
      <c r="T33" s="679" t="s">
        <v>45</v>
      </c>
      <c r="U33" s="680" t="s">
        <v>6</v>
      </c>
      <c r="V33" s="681"/>
      <c r="W33" s="679" t="s">
        <v>45</v>
      </c>
      <c r="X33" s="680" t="s">
        <v>6</v>
      </c>
      <c r="Y33" s="681"/>
      <c r="Z33" s="679" t="s">
        <v>45</v>
      </c>
      <c r="AA33" s="680" t="s">
        <v>6</v>
      </c>
      <c r="AB33" s="1361"/>
      <c r="AC33" s="1330" t="s">
        <v>108</v>
      </c>
      <c r="AD33" s="1362" t="s">
        <v>105</v>
      </c>
      <c r="AE33" s="1364">
        <v>55080</v>
      </c>
      <c r="AF33" s="1366">
        <v>56760</v>
      </c>
    </row>
    <row r="34" spans="1:32">
      <c r="A34" s="671">
        <v>33</v>
      </c>
      <c r="B34" s="669" t="s">
        <v>46</v>
      </c>
      <c r="C34" s="670" t="s">
        <v>6</v>
      </c>
      <c r="D34" s="668">
        <f t="shared" si="1"/>
        <v>0</v>
      </c>
      <c r="E34" s="679" t="s">
        <v>46</v>
      </c>
      <c r="F34" s="680" t="s">
        <v>6</v>
      </c>
      <c r="G34" s="681"/>
      <c r="H34" s="679" t="s">
        <v>46</v>
      </c>
      <c r="I34" s="680" t="s">
        <v>6</v>
      </c>
      <c r="J34" s="681"/>
      <c r="K34" s="679" t="s">
        <v>46</v>
      </c>
      <c r="L34" s="680" t="s">
        <v>6</v>
      </c>
      <c r="M34" s="681"/>
      <c r="N34" s="679" t="s">
        <v>46</v>
      </c>
      <c r="O34" s="680" t="s">
        <v>6</v>
      </c>
      <c r="P34" s="681"/>
      <c r="Q34" s="679" t="s">
        <v>46</v>
      </c>
      <c r="R34" s="680" t="s">
        <v>6</v>
      </c>
      <c r="S34" s="681"/>
      <c r="T34" s="679" t="s">
        <v>46</v>
      </c>
      <c r="U34" s="680" t="s">
        <v>6</v>
      </c>
      <c r="V34" s="681"/>
      <c r="W34" s="679" t="s">
        <v>46</v>
      </c>
      <c r="X34" s="680" t="s">
        <v>6</v>
      </c>
      <c r="Y34" s="681"/>
      <c r="Z34" s="679" t="s">
        <v>46</v>
      </c>
      <c r="AA34" s="680" t="s">
        <v>6</v>
      </c>
      <c r="AB34" s="1361"/>
      <c r="AC34" s="1330" t="s">
        <v>108</v>
      </c>
      <c r="AD34" s="1362" t="s">
        <v>110</v>
      </c>
      <c r="AE34" s="1364">
        <v>53580</v>
      </c>
      <c r="AF34" s="1366">
        <v>55210</v>
      </c>
    </row>
    <row r="35" spans="1:32">
      <c r="A35" s="671">
        <v>34</v>
      </c>
      <c r="B35" s="669" t="s">
        <v>47</v>
      </c>
      <c r="C35" s="670" t="s">
        <v>6</v>
      </c>
      <c r="D35" s="668">
        <f t="shared" si="1"/>
        <v>0</v>
      </c>
      <c r="E35" s="679" t="s">
        <v>47</v>
      </c>
      <c r="F35" s="680" t="s">
        <v>6</v>
      </c>
      <c r="G35" s="681"/>
      <c r="H35" s="679" t="s">
        <v>47</v>
      </c>
      <c r="I35" s="680" t="s">
        <v>6</v>
      </c>
      <c r="J35" s="681"/>
      <c r="K35" s="679" t="s">
        <v>47</v>
      </c>
      <c r="L35" s="680" t="s">
        <v>6</v>
      </c>
      <c r="M35" s="681"/>
      <c r="N35" s="679" t="s">
        <v>47</v>
      </c>
      <c r="O35" s="680" t="s">
        <v>6</v>
      </c>
      <c r="P35" s="681"/>
      <c r="Q35" s="679" t="s">
        <v>47</v>
      </c>
      <c r="R35" s="680" t="s">
        <v>6</v>
      </c>
      <c r="S35" s="681"/>
      <c r="T35" s="679" t="s">
        <v>47</v>
      </c>
      <c r="U35" s="680" t="s">
        <v>6</v>
      </c>
      <c r="V35" s="681"/>
      <c r="W35" s="679" t="s">
        <v>47</v>
      </c>
      <c r="X35" s="680" t="s">
        <v>6</v>
      </c>
      <c r="Y35" s="681"/>
      <c r="Z35" s="679" t="s">
        <v>47</v>
      </c>
      <c r="AA35" s="680" t="s">
        <v>6</v>
      </c>
      <c r="AB35" s="1361"/>
      <c r="AC35" s="1330" t="s">
        <v>108</v>
      </c>
      <c r="AD35" s="1362" t="s">
        <v>111</v>
      </c>
      <c r="AE35" s="1364">
        <v>52050</v>
      </c>
      <c r="AF35" s="1366">
        <v>53640</v>
      </c>
    </row>
    <row r="36" spans="1:32">
      <c r="A36" s="671">
        <v>35</v>
      </c>
      <c r="B36" s="669" t="s">
        <v>48</v>
      </c>
      <c r="C36" s="670" t="s">
        <v>6</v>
      </c>
      <c r="D36" s="668">
        <f t="shared" si="1"/>
        <v>0</v>
      </c>
      <c r="E36" s="679" t="s">
        <v>48</v>
      </c>
      <c r="F36" s="680" t="s">
        <v>6</v>
      </c>
      <c r="G36" s="681"/>
      <c r="H36" s="679" t="s">
        <v>48</v>
      </c>
      <c r="I36" s="680" t="s">
        <v>6</v>
      </c>
      <c r="J36" s="681"/>
      <c r="K36" s="679" t="s">
        <v>48</v>
      </c>
      <c r="L36" s="680" t="s">
        <v>6</v>
      </c>
      <c r="M36" s="681"/>
      <c r="N36" s="679" t="s">
        <v>48</v>
      </c>
      <c r="O36" s="680" t="s">
        <v>6</v>
      </c>
      <c r="P36" s="681"/>
      <c r="Q36" s="679" t="s">
        <v>48</v>
      </c>
      <c r="R36" s="680" t="s">
        <v>6</v>
      </c>
      <c r="S36" s="681"/>
      <c r="T36" s="679" t="s">
        <v>48</v>
      </c>
      <c r="U36" s="680" t="s">
        <v>6</v>
      </c>
      <c r="V36" s="681"/>
      <c r="W36" s="679" t="s">
        <v>48</v>
      </c>
      <c r="X36" s="680" t="s">
        <v>6</v>
      </c>
      <c r="Y36" s="681"/>
      <c r="Z36" s="679" t="s">
        <v>48</v>
      </c>
      <c r="AA36" s="680" t="s">
        <v>6</v>
      </c>
      <c r="AB36" s="1361"/>
      <c r="AC36" s="1330" t="s">
        <v>108</v>
      </c>
      <c r="AD36" s="1362" t="s">
        <v>807</v>
      </c>
      <c r="AE36" s="1364">
        <v>52050</v>
      </c>
      <c r="AF36" s="1366">
        <v>53640</v>
      </c>
    </row>
    <row r="37" spans="1:32">
      <c r="A37" s="671">
        <v>36</v>
      </c>
      <c r="B37" s="669" t="s">
        <v>49</v>
      </c>
      <c r="C37" s="670" t="s">
        <v>6</v>
      </c>
      <c r="D37" s="668">
        <f t="shared" si="1"/>
        <v>0</v>
      </c>
      <c r="E37" s="679" t="s">
        <v>49</v>
      </c>
      <c r="F37" s="680" t="s">
        <v>6</v>
      </c>
      <c r="G37" s="681"/>
      <c r="H37" s="679" t="s">
        <v>49</v>
      </c>
      <c r="I37" s="680" t="s">
        <v>6</v>
      </c>
      <c r="J37" s="681"/>
      <c r="K37" s="679" t="s">
        <v>49</v>
      </c>
      <c r="L37" s="680" t="s">
        <v>6</v>
      </c>
      <c r="M37" s="681"/>
      <c r="N37" s="679" t="s">
        <v>49</v>
      </c>
      <c r="O37" s="680" t="s">
        <v>6</v>
      </c>
      <c r="P37" s="681"/>
      <c r="Q37" s="679" t="s">
        <v>49</v>
      </c>
      <c r="R37" s="680" t="s">
        <v>6</v>
      </c>
      <c r="S37" s="681"/>
      <c r="T37" s="679" t="s">
        <v>49</v>
      </c>
      <c r="U37" s="680" t="s">
        <v>6</v>
      </c>
      <c r="V37" s="681"/>
      <c r="W37" s="679" t="s">
        <v>49</v>
      </c>
      <c r="X37" s="680" t="s">
        <v>6</v>
      </c>
      <c r="Y37" s="681"/>
      <c r="Z37" s="679" t="s">
        <v>49</v>
      </c>
      <c r="AA37" s="680" t="s">
        <v>6</v>
      </c>
      <c r="AB37" s="1361"/>
      <c r="AC37" s="1330" t="s">
        <v>112</v>
      </c>
      <c r="AD37" s="1362" t="s">
        <v>107</v>
      </c>
      <c r="AE37" s="1364">
        <v>63250</v>
      </c>
      <c r="AF37" s="1366">
        <v>70500</v>
      </c>
    </row>
    <row r="38" spans="1:32">
      <c r="A38" s="671">
        <v>37</v>
      </c>
      <c r="B38" s="669" t="s">
        <v>50</v>
      </c>
      <c r="C38" s="670" t="s">
        <v>6</v>
      </c>
      <c r="D38" s="668">
        <f>IFERROR(IF(OR(AND(VLOOKUP(B38,데이터입력!$B$42:$L$80,6,FALSE)=0,SUM(데이터입력!$L$42:$L$80)&gt;0),IFERROR(IF((ROUND($D$1/10,0)*HLOOKUP($B$1,$E:$AB,A38+1,FALSE)*$C$1)&gt;24000000,ROUND(24000000/12*$C$1,0),IF(OR($B$1=$G$1,$B$1=$M$1,$B$1=$J$1,$B$1=$P$1),ROUND($D$1/10,0)*HLOOKUP($B$1,$E:$AB,A38+1,FALSE)*$C$1,IF($D$1&lt;0,0,ROUND($D$1/10,0)*HLOOKUP($B$1,$E:$AB,A38+1,FALSE)*$C$1))),0)&lt;VLOOKUP(B38,데이터입력!$B$42:$L$80,6,FALSE)),VLOOKUP(B38,데이터입력!$B$42:$L$80,6,FALSE),IFERROR(IF((ROUND($D$1/10,0)*HLOOKUP($B$1,$E:$AB,A38+1,FALSE)*$C$1)&gt;24000000,ROUND(24000000/12*$C$1,0),IF(OR($B$1=$G$1,$B$1=$M$1,$B$1=$J$1,$B$1=$P$1),ROUND($D$1/10,0)*HLOOKUP($B$1,$E:$AB,A38+1,FALSE)*$C$1,IF($D$1&lt;0,0,ROUND($D$1/10,0)*HLOOKUP($B$1,$E:$AB,A38+1,FALSE)*$C$1))),0)),0)</f>
        <v>3600000</v>
      </c>
      <c r="E38" s="679" t="s">
        <v>50</v>
      </c>
      <c r="F38" s="680" t="s">
        <v>6</v>
      </c>
      <c r="G38" s="681">
        <v>100000</v>
      </c>
      <c r="H38" s="679" t="s">
        <v>50</v>
      </c>
      <c r="I38" s="680" t="s">
        <v>6</v>
      </c>
      <c r="J38" s="681">
        <v>50000</v>
      </c>
      <c r="K38" s="679" t="s">
        <v>50</v>
      </c>
      <c r="L38" s="680" t="s">
        <v>6</v>
      </c>
      <c r="M38" s="681">
        <v>100000</v>
      </c>
      <c r="N38" s="679" t="s">
        <v>50</v>
      </c>
      <c r="O38" s="680" t="s">
        <v>6</v>
      </c>
      <c r="P38" s="681">
        <v>50000</v>
      </c>
      <c r="Q38" s="679" t="s">
        <v>50</v>
      </c>
      <c r="R38" s="680" t="s">
        <v>6</v>
      </c>
      <c r="S38" s="681">
        <v>50000</v>
      </c>
      <c r="T38" s="679" t="s">
        <v>50</v>
      </c>
      <c r="U38" s="680" t="s">
        <v>6</v>
      </c>
      <c r="V38" s="681">
        <v>50000</v>
      </c>
      <c r="W38" s="679" t="s">
        <v>50</v>
      </c>
      <c r="X38" s="680" t="s">
        <v>6</v>
      </c>
      <c r="Y38" s="681">
        <v>50000</v>
      </c>
      <c r="Z38" s="679" t="s">
        <v>50</v>
      </c>
      <c r="AA38" s="680" t="s">
        <v>6</v>
      </c>
      <c r="AB38" s="1361">
        <v>50000</v>
      </c>
      <c r="AC38" s="1330" t="s">
        <v>112</v>
      </c>
      <c r="AD38" s="1362" t="s">
        <v>104</v>
      </c>
      <c r="AE38" s="1364">
        <v>58570</v>
      </c>
      <c r="AF38" s="1366">
        <v>65280</v>
      </c>
    </row>
    <row r="39" spans="1:32">
      <c r="A39" s="671">
        <v>38</v>
      </c>
      <c r="B39" s="669" t="s">
        <v>51</v>
      </c>
      <c r="C39" s="670" t="s">
        <v>6</v>
      </c>
      <c r="D39" s="668">
        <f>IFERROR(IF(OR(AND(VLOOKUP(B39,데이터입력!$B$42:$L$80,6,FALSE)=0,SUM(데이터입력!$L$42:$L$80)&gt;0),IFERROR(IF((ROUND($D$1/10,0)*HLOOKUP($B$1,$E:$AB,A39+1,FALSE)*$C$1)&gt;24000000,ROUND(24000000/12*$C$1,0),IF(OR($B$1=$G$1,$B$1=$M$1,$B$1=$J$1,$B$1=$P$1),ROUND($D$1/10,0)*HLOOKUP($B$1,$E:$AB,A39+1,FALSE)*$C$1,IF($D$1&lt;0,0,ROUND($D$1/10,0)*HLOOKUP($B$1,$E:$AB,A39+1,FALSE)*$C$1))),0)&lt;VLOOKUP(B39,데이터입력!$B$42:$L$80,6,FALSE)),VLOOKUP(B39,데이터입력!$B$42:$L$80,6,FALSE),IFERROR(IF((ROUND($D$1/10,0)*HLOOKUP($B$1,$E:$AB,A39+1,FALSE)*$C$1)&gt;24000000,ROUND(24000000/12*$C$1,0),IF(OR($B$1=$G$1,$B$1=$M$1,$B$1=$J$1,$B$1=$P$1),ROUND($D$1/10,0)*HLOOKUP($B$1,$E:$AB,A39+1,FALSE)*$C$1,IF($D$1&lt;0,0,ROUND($D$1/10,0)*HLOOKUP($B$1,$E:$AB,A39+1,FALSE)*$C$1))),0)),0)</f>
        <v>8400000</v>
      </c>
      <c r="E39" s="679" t="s">
        <v>51</v>
      </c>
      <c r="F39" s="680" t="s">
        <v>6</v>
      </c>
      <c r="G39" s="681">
        <v>200000</v>
      </c>
      <c r="H39" s="679" t="s">
        <v>51</v>
      </c>
      <c r="I39" s="680" t="s">
        <v>6</v>
      </c>
      <c r="J39" s="681"/>
      <c r="K39" s="679" t="s">
        <v>51</v>
      </c>
      <c r="L39" s="680" t="s">
        <v>6</v>
      </c>
      <c r="M39" s="681">
        <v>200000</v>
      </c>
      <c r="N39" s="679" t="s">
        <v>51</v>
      </c>
      <c r="O39" s="680" t="s">
        <v>6</v>
      </c>
      <c r="P39" s="681">
        <v>150000</v>
      </c>
      <c r="Q39" s="679" t="s">
        <v>51</v>
      </c>
      <c r="R39" s="680" t="s">
        <v>6</v>
      </c>
      <c r="S39" s="681">
        <v>100000</v>
      </c>
      <c r="T39" s="679" t="s">
        <v>51</v>
      </c>
      <c r="U39" s="680" t="s">
        <v>6</v>
      </c>
      <c r="V39" s="681">
        <f>IF($D$1&lt;80,50000,80000)</f>
        <v>50000</v>
      </c>
      <c r="W39" s="679" t="s">
        <v>51</v>
      </c>
      <c r="X39" s="680" t="s">
        <v>6</v>
      </c>
      <c r="Y39" s="681">
        <f>IFERROR(IF(데이터입력!$AC$5=TRUE,ROUND(V39*데이터입력!$O$25,0)+ROUND(IF($D$1&lt;80,50000,100000)*데이터입력!$O$26,0),IF($D$1&lt;80,50000,100000)),0)</f>
        <v>50000</v>
      </c>
      <c r="Z39" s="679" t="s">
        <v>51</v>
      </c>
      <c r="AA39" s="680" t="s">
        <v>6</v>
      </c>
      <c r="AB39" s="1361">
        <f>IF($D$1&lt;80,50000,80000)</f>
        <v>50000</v>
      </c>
      <c r="AC39" s="1330" t="s">
        <v>112</v>
      </c>
      <c r="AD39" s="1362" t="s">
        <v>105</v>
      </c>
      <c r="AE39" s="1364">
        <v>54110</v>
      </c>
      <c r="AF39" s="1366">
        <v>60310</v>
      </c>
    </row>
    <row r="40" spans="1:32">
      <c r="A40" s="671">
        <v>39</v>
      </c>
      <c r="B40" s="669" t="s">
        <v>52</v>
      </c>
      <c r="C40" s="670" t="s">
        <v>6</v>
      </c>
      <c r="D40" s="668">
        <f>IFERROR(IF(OR(AND(VLOOKUP(B40,데이터입력!$B$42:$L$80,6,FALSE)=0,SUM(데이터입력!$L$42:$L$80)&gt;0),IFERROR(IF((ROUND($D$1/10,0)*HLOOKUP($B$1,$E:$AB,A40+1,FALSE)*ROUND($C$1/4,0))&gt;1000000,ROUND(1200000/12*$C$1,0),IF(OR($B$1=$G$1,$B$1=$M$1,$B$1=$J$1,$B$1=$P$1),ROUND($D$1/10,0)*HLOOKUP($B$1,$E:$AB,A40+1,FALSE)*ROUND($C$1/4,0),IF($D$1&lt;0,0,ROUND($D$1/10,0)*HLOOKUP($B$1,$E:$AB,A40+1,FALSE)*ROUND($C$1/4,0)))),0)&lt;VLOOKUP(B40,데이터입력!$B$42:$L$80,6,FALSE)),VLOOKUP(B40,데이터입력!$B$42:$L$80,6,FALSE),IFERROR(IF((ROUND($D$1/10,0)*HLOOKUP($B$1,$E:$AB,A40+1,FALSE)*ROUND($C$1/4,0))&gt;1000000,ROUND(1200000/12*$C$1,0),IF(OR($B$1=$G$1,$B$1=$M$1,$B$1=$J$1,$B$1=$P$1),ROUND($D$1/10,0)*HLOOKUP($B$1,$E:$AB,A40+1,FALSE)*ROUND($C$1/4,0),IF($D$1&lt;0,0,ROUND($D$1/10,0)*HLOOKUP($B$1,$E:$AB,A40+1,FALSE)*ROUND($C$1/4,0)))),0)),0)</f>
        <v>0</v>
      </c>
      <c r="E40" s="679" t="s">
        <v>52</v>
      </c>
      <c r="F40" s="680" t="s">
        <v>6</v>
      </c>
      <c r="G40" s="681">
        <v>50000</v>
      </c>
      <c r="H40" s="679" t="s">
        <v>52</v>
      </c>
      <c r="I40" s="680" t="s">
        <v>6</v>
      </c>
      <c r="J40" s="681">
        <v>30000</v>
      </c>
      <c r="K40" s="679" t="s">
        <v>52</v>
      </c>
      <c r="L40" s="680" t="s">
        <v>6</v>
      </c>
      <c r="M40" s="681">
        <v>20000</v>
      </c>
      <c r="N40" s="679" t="s">
        <v>52</v>
      </c>
      <c r="O40" s="680" t="s">
        <v>6</v>
      </c>
      <c r="P40" s="681">
        <v>20000</v>
      </c>
      <c r="Q40" s="679" t="s">
        <v>52</v>
      </c>
      <c r="R40" s="680" t="s">
        <v>6</v>
      </c>
      <c r="S40" s="681">
        <v>20000</v>
      </c>
      <c r="T40" s="679" t="s">
        <v>52</v>
      </c>
      <c r="U40" s="680" t="s">
        <v>6</v>
      </c>
      <c r="V40" s="681"/>
      <c r="W40" s="679" t="s">
        <v>52</v>
      </c>
      <c r="X40" s="680" t="s">
        <v>6</v>
      </c>
      <c r="Y40" s="681"/>
      <c r="Z40" s="679" t="s">
        <v>52</v>
      </c>
      <c r="AA40" s="680" t="s">
        <v>6</v>
      </c>
      <c r="AB40" s="1361">
        <v>10000</v>
      </c>
      <c r="AC40" s="1330" t="s">
        <v>224</v>
      </c>
      <c r="AD40" s="1362" t="s">
        <v>114</v>
      </c>
      <c r="AE40" s="1364">
        <v>52880</v>
      </c>
      <c r="AF40" s="1366">
        <v>54320</v>
      </c>
    </row>
    <row r="41" spans="1:32">
      <c r="A41" s="671">
        <v>40</v>
      </c>
      <c r="B41" s="669" t="s">
        <v>53</v>
      </c>
      <c r="C41" s="670" t="s">
        <v>6</v>
      </c>
      <c r="D41" s="668">
        <f>IFERROR(IF(OR(AND(VLOOKUP(B41,데이터입력!$B$42:$L$80,6,FALSE)=0,SUM(데이터입력!$L$42:$L$80)&gt;0),IFERROR(IF((ROUND($D$1/10,0)*HLOOKUP($B$1,$E:$AB,A41+1,FALSE)*$C$1)&gt;2000000,ROUND(2400000/12*$C$1,0),IF(OR($B$1=$G$1,$B$1=$M$1,$B$1=$J$1,$B$1=$P$1),ROUND($D$1/10,0)*HLOOKUP($B$1,$E:$AB,A41+1,FALSE)*$C$1,IF($D$1&lt;0,0,ROUND($D$1/10,0)*HLOOKUP($B$1,$E:$AB,A41+1,FALSE)*$C$1))),0)&lt;VLOOKUP(B41,데이터입력!$B$42:$L$80,6,FALSE)),VLOOKUP(B41,데이터입력!$B$42:$L$80,6,FALSE),IFERROR(IF((ROUND($D$1/10,0)*HLOOKUP($B$1,$E:$AB,A41+1,FALSE)*$C$1)&gt;2000000,ROUND(2400000/12*$C$1,0),IF(OR($B$1=$G$1,$B$1=$M$1,$B$1=$J$1,$B$1=$P$1),ROUND($D$1/10,0)*HLOOKUP($B$1,$E:$AB,A41+1,FALSE)*$C$1,IF($D$1&lt;0,0,ROUND($D$1/10,0)*HLOOKUP($B$1,$E:$AB,A41+1,FALSE)*$C$1))),0)),0)</f>
        <v>0</v>
      </c>
      <c r="E41" s="679" t="s">
        <v>53</v>
      </c>
      <c r="F41" s="680" t="s">
        <v>6</v>
      </c>
      <c r="G41" s="681">
        <v>20000</v>
      </c>
      <c r="H41" s="679" t="s">
        <v>53</v>
      </c>
      <c r="I41" s="680" t="s">
        <v>6</v>
      </c>
      <c r="J41" s="681">
        <v>10000</v>
      </c>
      <c r="K41" s="679" t="s">
        <v>53</v>
      </c>
      <c r="L41" s="680" t="s">
        <v>6</v>
      </c>
      <c r="M41" s="681">
        <v>10000</v>
      </c>
      <c r="N41" s="679" t="s">
        <v>53</v>
      </c>
      <c r="O41" s="680" t="s">
        <v>6</v>
      </c>
      <c r="P41" s="681">
        <v>10000</v>
      </c>
      <c r="Q41" s="679" t="s">
        <v>53</v>
      </c>
      <c r="R41" s="680" t="s">
        <v>6</v>
      </c>
      <c r="S41" s="681">
        <v>5000</v>
      </c>
      <c r="T41" s="679" t="s">
        <v>53</v>
      </c>
      <c r="U41" s="680" t="s">
        <v>6</v>
      </c>
      <c r="V41" s="681"/>
      <c r="W41" s="679" t="s">
        <v>53</v>
      </c>
      <c r="X41" s="680" t="s">
        <v>6</v>
      </c>
      <c r="Y41" s="681"/>
      <c r="Z41" s="679" t="s">
        <v>53</v>
      </c>
      <c r="AA41" s="680" t="s">
        <v>6</v>
      </c>
      <c r="AB41" s="1361">
        <v>2500</v>
      </c>
      <c r="AC41" s="1330" t="s">
        <v>808</v>
      </c>
      <c r="AD41" s="1362" t="s">
        <v>809</v>
      </c>
      <c r="AE41" s="1364">
        <v>31650</v>
      </c>
      <c r="AF41" s="1366">
        <v>32510</v>
      </c>
    </row>
    <row r="42" spans="1:32">
      <c r="A42" s="671">
        <v>41</v>
      </c>
      <c r="B42" s="669" t="s">
        <v>54</v>
      </c>
      <c r="C42" s="670" t="s">
        <v>6</v>
      </c>
      <c r="D42" s="668">
        <f>IFERROR(IF(OR(AND(VLOOKUP(B42,데이터입력!$B$42:$L$80,6,FALSE)=0,SUM(데이터입력!$L$42:$L$80)&gt;0),IFERROR(IF(OR($B$1=$G$1,$B$1=$M$1,$D$1&gt;34),ROUND($D$1/10*HLOOKUP($B$1,$E:$AB,A42+1,FALSE)*$C$1*$A$1,-5),IF(OR($B$1=$G$1,$B$1=$M$1),ROUND(($D$1/10*HLOOKUP($B$1,$E:$AB,A42+1,FALSE)*$C$1),0),ROUND($D$1/10,1)*HLOOKUP($B$1,$E:$AB,A42+1,FALSE)*$C$1)),0)&lt;VLOOKUP(B42,데이터입력!$B$42:$L$80,6,FALSE)),ROUND(VLOOKUP(B42,데이터입력!$B$42:$L$80,6,FALSE)*데이터입력!$Y$6,0),IFERROR(IF(OR($B$1=$G$1,$B$1=$M$1,$D$1&gt;34),ROUND($D$1/10*HLOOKUP($B$1,$E:$AB,A42+1,FALSE)*$C$1*$A$1,-5),IF(OR($B$1=$G$1,$B$1=$M$1),ROUND(($D$1/10*HLOOKUP($B$1,$E:$AB,A42+1,FALSE)*$C$1),0),ROUND($D$1/10,1)*HLOOKUP($B$1,$E:$AB,A42+1,FALSE)*$C$1)),0)),0)</f>
        <v>10200000</v>
      </c>
      <c r="E42" s="679" t="s">
        <v>54</v>
      </c>
      <c r="F42" s="680" t="s">
        <v>6</v>
      </c>
      <c r="G42" s="681">
        <v>650000</v>
      </c>
      <c r="H42" s="679" t="s">
        <v>54</v>
      </c>
      <c r="I42" s="680" t="s">
        <v>6</v>
      </c>
      <c r="J42" s="681">
        <v>500000</v>
      </c>
      <c r="K42" s="679" t="s">
        <v>54</v>
      </c>
      <c r="L42" s="680" t="s">
        <v>6</v>
      </c>
      <c r="M42" s="681">
        <v>500000</v>
      </c>
      <c r="N42" s="679" t="s">
        <v>54</v>
      </c>
      <c r="O42" s="680" t="s">
        <v>6</v>
      </c>
      <c r="P42" s="681">
        <v>400000</v>
      </c>
      <c r="Q42" s="679" t="s">
        <v>54</v>
      </c>
      <c r="R42" s="680" t="s">
        <v>6</v>
      </c>
      <c r="S42" s="681">
        <v>150000</v>
      </c>
      <c r="T42" s="679" t="s">
        <v>54</v>
      </c>
      <c r="U42" s="680" t="s">
        <v>6</v>
      </c>
      <c r="V42" s="681">
        <f>IF($D$1&lt;80,20000,25000)</f>
        <v>20000</v>
      </c>
      <c r="W42" s="679" t="s">
        <v>54</v>
      </c>
      <c r="X42" s="680" t="s">
        <v>6</v>
      </c>
      <c r="Y42" s="681">
        <f>IFERROR(IF(데이터입력!$AC$5=TRUE,ROUND(V42*데이터입력!$O$25,0)+ROUND(IF($D$1&lt;80,20000,25000)*데이터입력!$O$26,0),IF($D$1&lt;80,20000,25000)),0)</f>
        <v>20000</v>
      </c>
      <c r="Z42" s="679" t="s">
        <v>54</v>
      </c>
      <c r="AA42" s="680" t="s">
        <v>6</v>
      </c>
      <c r="AB42" s="1361">
        <f>IF($D$1&lt;80,20000,25000)</f>
        <v>20000</v>
      </c>
      <c r="AC42" s="1330" t="s">
        <v>808</v>
      </c>
      <c r="AD42" s="1362" t="s">
        <v>810</v>
      </c>
      <c r="AE42" s="1364">
        <v>23480</v>
      </c>
      <c r="AF42" s="1366">
        <v>24120</v>
      </c>
    </row>
    <row r="43" spans="1:32">
      <c r="A43" s="671">
        <v>42</v>
      </c>
      <c r="B43" s="66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C43" s="670" t="s">
        <v>6</v>
      </c>
      <c r="D43" s="668">
        <f>IFERROR(IF(OR(AND(VLOOKUP(B43,데이터입력!$B$42:$L$80,6,FALSE)=0,SUM(데이터입력!$L$42:$L$80)&gt;0),IFERROR(IF(OR($B$1=$G$1,$B$1=$M$1,$D$1&gt;34),ROUND($D$1/10*HLOOKUP($B$1,$E:$AB,A43+1,FALSE)*$C$1*$A$1,-5),IF(OR($B$1=$G$1,$B$1=$M$1),ROUND(($D$1/10*HLOOKUP($B$1,$E:$AB,A43+1,FALSE)*$C$1),0),ROUND($D$1/10,1)*HLOOKUP($B$1,$E:$AB,A43+1,FALSE)*$C$1)),0)&lt;VLOOKUP(B43,데이터입력!$B$42:$L$80,6,FALSE)),ROUND(VLOOKUP(B43,데이터입력!$B$42:$L$80,6,FALSE)*데이터입력!$Y$6,0),IFERROR(IF(OR($B$1=$G$1,$B$1=$M$1,$D$1&gt;34),ROUND($D$1/10*HLOOKUP($B$1,$E:$AB,A43+1,FALSE)*$C$1*$A$1,-5),IF(OR($B$1=$G$1,$B$1=$M$1),ROUND(($D$1/10*HLOOKUP($B$1,$E:$AB,A43+1,FALSE)*$C$1),0),ROUND($D$1/10,1)*HLOOKUP($B$1,$E:$AB,A43+1,FALSE)*$C$1)),0)),0)</f>
        <v>13300000</v>
      </c>
      <c r="E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F43" s="680" t="s">
        <v>6</v>
      </c>
      <c r="G43" s="681">
        <v>850000</v>
      </c>
      <c r="H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I43" s="680" t="s">
        <v>6</v>
      </c>
      <c r="J43" s="681">
        <v>650000</v>
      </c>
      <c r="K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L43" s="680" t="s">
        <v>6</v>
      </c>
      <c r="M43" s="681">
        <v>650000</v>
      </c>
      <c r="N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O43" s="680" t="s">
        <v>6</v>
      </c>
      <c r="P43" s="681">
        <v>550000</v>
      </c>
      <c r="Q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R43" s="680" t="s">
        <v>6</v>
      </c>
      <c r="S43" s="681">
        <v>180000</v>
      </c>
      <c r="T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U43" s="680" t="s">
        <v>6</v>
      </c>
      <c r="V43" s="681">
        <f>IF($D$1&lt;80,30000,35000)</f>
        <v>30000</v>
      </c>
      <c r="W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X43" s="680" t="s">
        <v>6</v>
      </c>
      <c r="Y43" s="681">
        <f>IFERROR(IF(데이터입력!$AC$5=TRUE,ROUND(V43*데이터입력!$O$25,0)+ROUND(IF($D$1&lt;80,30000,35000)*데이터입력!$O$26,0),IF($D$1&lt;80,30000,35000)),0)</f>
        <v>30000</v>
      </c>
      <c r="Z43" s="679" t="str">
        <f>IFERROR(IF(VLOOKUP("공공요금 및 제세공과금",예산실적비교표!$O$8:$R$432,2,FALSE)+VLOOKUP("공공요금 및 제세공과금",예산실적비교표!$O$8:$R$432,3,FALSE)&gt;=0,"공공요금 및 제세공과금","공공요금 및 각종 세금공과금"),"공공요금 및 각종 세금공과금")</f>
        <v>공공요금 및 각종 세금공과금</v>
      </c>
      <c r="AA43" s="680" t="s">
        <v>6</v>
      </c>
      <c r="AB43" s="1361">
        <f>IF($D$1&lt;80,30000,35000)</f>
        <v>30000</v>
      </c>
      <c r="AC43" s="1330" t="s">
        <v>226</v>
      </c>
      <c r="AD43" s="1362" t="s">
        <v>117</v>
      </c>
      <c r="AE43" s="1364">
        <v>82160</v>
      </c>
      <c r="AF43" s="1366">
        <v>84670</v>
      </c>
    </row>
    <row r="44" spans="1:32">
      <c r="A44" s="671">
        <v>43</v>
      </c>
      <c r="B44" s="669" t="s">
        <v>55</v>
      </c>
      <c r="C44" s="670" t="s">
        <v>6</v>
      </c>
      <c r="D44" s="668">
        <f>IFERROR(IF(OR(AND(VLOOKUP(B44,데이터입력!$B$42:$L$80,6,FALSE)=0,SUM(데이터입력!$L$42:$L$80)&gt;0),IFERROR(IF(IFERROR(IF(OR($B$1=$G$1,$B$1=$M$1,$D$1&gt;34),ROUND($D$1/10*HLOOKUP($B$1,$E:$AB,A44+1,FALSE)*$C$1*$A$1,-5),IF(OR($B$1=$G$1,$B$1=$M$1),ROUND(($D$1/10*HLOOKUP($B$1,$E:$AB,A44+1,FALSE)*$C$1),0),ROUND($D$1/10,1)*HLOOKUP($B$1,$E:$AB,A44+1,FALSE)*$C$1)),0)&lt;VLOOKUP(B44,데이터입력!$B$42:$G$80,6,FALSE),VLOOKUP(B44,데이터입력!$B$42:$G$80,6,FALSE)*데이터입력!$Y$6,IFERROR(IF(OR($B$1=$G$1,$B$1=$M$1,$D$1&gt;34),ROUND($D$1/10*HLOOKUP($B$1,$E:$AB,A44+1,FALSE)*$C$1*$A$1,-5),IF(OR($B$1=$G$1,$B$1=$M$1),ROUND(($D$1/10*HLOOKUP($B$1,$E:$AB,A44+1,FALSE)*$C$1),0),ROUND($D$1/10,1)*HLOOKUP($B$1,$E:$AB,A44+1,FALSE)*$C$1)),0)),0)&lt;VLOOKUP(B44,데이터입력!$B$42:$L$80,6,FALSE)),ROUND(VLOOKUP(B44,데이터입력!$B$42:$L$80,6,FALSE)*데이터입력!$Y$6,0),IFERROR(IF(IFERROR(IF(OR($B$1=$G$1,$B$1=$M$1,$D$1&gt;34),ROUND($D$1/10*HLOOKUP($B$1,$E:$AB,A44+1,FALSE)*$C$1*$A$1,-5),IF(OR($B$1=$G$1,$B$1=$M$1),ROUND(($D$1/10*HLOOKUP($B$1,$E:$AB,A44+1,FALSE)*$C$1),0),ROUND($D$1/10,1)*HLOOKUP($B$1,$E:$AB,A44+1,FALSE)*$C$1)),0)&lt;VLOOKUP(B44,데이터입력!$B$42:$G$80,6,FALSE),VLOOKUP(B44,데이터입력!$B$42:$G$80,6,FALSE)*데이터입력!$Y$6,IFERROR(IF(OR($B$1=$G$1,$B$1=$M$1,$D$1&gt;34),ROUND($D$1/10*HLOOKUP($B$1,$E:$AB,A44+1,FALSE)*$C$1*$A$1,-5),IF(OR($B$1=$G$1,$B$1=$M$1),ROUND(($D$1/10*HLOOKUP($B$1,$E:$AB,A44+1,FALSE)*$C$1),0),ROUND($D$1/10,1)*HLOOKUP($B$1,$E:$AB,A44+1,FALSE)*$C$1)),0)),0)),0)</f>
        <v>6600000</v>
      </c>
      <c r="E44" s="679" t="s">
        <v>55</v>
      </c>
      <c r="F44" s="680" t="s">
        <v>6</v>
      </c>
      <c r="G44" s="681"/>
      <c r="H44" s="679" t="s">
        <v>55</v>
      </c>
      <c r="I44" s="680" t="s">
        <v>6</v>
      </c>
      <c r="J44" s="681"/>
      <c r="K44" s="679" t="s">
        <v>55</v>
      </c>
      <c r="L44" s="680" t="s">
        <v>6</v>
      </c>
      <c r="M44" s="681">
        <v>300000</v>
      </c>
      <c r="N44" s="679" t="s">
        <v>55</v>
      </c>
      <c r="O44" s="680" t="s">
        <v>6</v>
      </c>
      <c r="P44" s="681"/>
      <c r="Q44" s="679" t="s">
        <v>55</v>
      </c>
      <c r="R44" s="680" t="s">
        <v>6</v>
      </c>
      <c r="S44" s="681"/>
      <c r="T44" s="679" t="s">
        <v>55</v>
      </c>
      <c r="U44" s="680" t="s">
        <v>6</v>
      </c>
      <c r="V44" s="681">
        <v>125000</v>
      </c>
      <c r="W44" s="679" t="s">
        <v>55</v>
      </c>
      <c r="X44" s="680" t="s">
        <v>6</v>
      </c>
      <c r="Y44" s="681">
        <f>IFERROR(IF(데이터입력!$AC$5=TRUE,ROUND(V44*데이터입력!$O$25,0),IF($D$1&lt;80,0,0)),0)</f>
        <v>0</v>
      </c>
      <c r="Z44" s="679" t="s">
        <v>55</v>
      </c>
      <c r="AA44" s="680" t="s">
        <v>6</v>
      </c>
      <c r="AB44" s="1361"/>
      <c r="AC44" s="1330" t="s">
        <v>226</v>
      </c>
      <c r="AD44" s="1362" t="s">
        <v>118</v>
      </c>
      <c r="AE44" s="1364">
        <v>46250</v>
      </c>
      <c r="AF44" s="1366">
        <v>47670</v>
      </c>
    </row>
    <row r="45" spans="1:32" ht="17.25" thickBot="1">
      <c r="A45" s="671">
        <v>44</v>
      </c>
      <c r="B45" s="669" t="s">
        <v>56</v>
      </c>
      <c r="C45" s="670" t="s">
        <v>6</v>
      </c>
      <c r="D45" s="668">
        <f>IFERROR(IF(D1=0,0,IF(OR(AND(VLOOKUP(B45,데이터입력!$B$42:$L$80,6,FALSE)=0,SUM(데이터입력!$L$42:$L$80)&gt;0),IFERROR(IF((ROUND($D$1/10,0)*HLOOKUP($B$1,$E:$AB,A45+1,FALSE)*$C$1)&gt;36000000,ROUND(36000000/12*$C$1,0),IF(OR($B$1=$G$1,$B$1=$J$1,$B$1=$M$1,$B$1=$P$1),IF($D$1&gt;34,ROUND($D$1/10*HLOOKUP($B$1,$E:$AB,A45+1,FALSE)*$C$1*$A$1,0),ROUND($D$1/10*HLOOKUP($B$1,$E:$AB,A45+1,FALSE)*$C$1,0)),IF(OR($B$1=$S$1,$B$1=$AB$1),ROUND(400000*$C$1,0),ROUND(400000/2*$C$1,0)))),0)&lt;VLOOKUP(B45,데이터입력!$B$42:$L$80,6,FALSE)),ROUND(VLOOKUP(B45,데이터입력!$B$42:$L$80,6,FALSE)*데이터입력!$Y$6,-4),IFERROR(IF((ROUND($D$1/10,0)*HLOOKUP($B$1,$E:$AB,A45+1,FALSE)*$C$1)&gt;36000000,ROUND(36000000/12*$C$1,0),IF(OR($B$1=$G$1,$B$1=$J$1,$B$1=$M$1,$B$1=$P$1),IF($D$1&gt;34,ROUND($D$1/10*HLOOKUP($B$1,$E:$AB,A45+1,FALSE)*$C$1*$A$1,0),ROUND($D$1/10*HLOOKUP($B$1,$E:$AB,A45+1,FALSE)*$C$1,0)),IF(OR($B$1=$S$1,$B$1=$AB$1),ROUND(400000*$C$1,0),ROUND(400000/2*$C$1,0)))),0))),0)</f>
        <v>15300000</v>
      </c>
      <c r="E45" s="679" t="s">
        <v>56</v>
      </c>
      <c r="F45" s="680" t="s">
        <v>6</v>
      </c>
      <c r="G45" s="681"/>
      <c r="H45" s="679" t="s">
        <v>56</v>
      </c>
      <c r="I45" s="680" t="s">
        <v>6</v>
      </c>
      <c r="J45" s="681">
        <v>700000</v>
      </c>
      <c r="K45" s="679" t="s">
        <v>56</v>
      </c>
      <c r="L45" s="680" t="s">
        <v>6</v>
      </c>
      <c r="M45" s="681">
        <v>750000</v>
      </c>
      <c r="N45" s="679" t="s">
        <v>56</v>
      </c>
      <c r="O45" s="680" t="s">
        <v>6</v>
      </c>
      <c r="P45" s="681">
        <v>700000</v>
      </c>
      <c r="Q45" s="679" t="s">
        <v>56</v>
      </c>
      <c r="R45" s="680" t="s">
        <v>6</v>
      </c>
      <c r="S45" s="681"/>
      <c r="T45" s="679" t="s">
        <v>56</v>
      </c>
      <c r="U45" s="680" t="s">
        <v>6</v>
      </c>
      <c r="V45" s="681"/>
      <c r="W45" s="679" t="s">
        <v>56</v>
      </c>
      <c r="X45" s="680" t="s">
        <v>6</v>
      </c>
      <c r="Y45" s="681"/>
      <c r="Z45" s="679" t="s">
        <v>56</v>
      </c>
      <c r="AA45" s="680" t="s">
        <v>6</v>
      </c>
      <c r="AB45" s="1361"/>
      <c r="AC45" s="1333" t="s">
        <v>228</v>
      </c>
      <c r="AD45" s="1367" t="s">
        <v>120</v>
      </c>
      <c r="AE45" s="1368">
        <v>59500</v>
      </c>
      <c r="AF45" s="1369">
        <v>61490</v>
      </c>
    </row>
    <row r="46" spans="1:32">
      <c r="A46" s="671">
        <v>45</v>
      </c>
      <c r="B46" s="669" t="s">
        <v>57</v>
      </c>
      <c r="C46" s="670" t="s">
        <v>6</v>
      </c>
      <c r="D46" s="668">
        <f>IFERROR(IF(OR(AND(VLOOKUP(B46,데이터입력!$B$42:$L$80,6,FALSE)=0,SUM(데이터입력!$L$42:$L$80)&gt;0),IFERROR(IF(OR($B$1=$G$1,$B$1=$M$1,$D$1&gt;34),ROUND($D$1/10*HLOOKUP($B$1,$E:$AB,A46+1,FALSE)*$C$1*$A$1,-5),IF(OR($B$1=$G$1,$B$1=$M$1),ROUND(($D$1/10*HLOOKUP($B$1,$E:$AB,A46+1,FALSE)*$C$1),0),ROUND($D$1/10,1)*HLOOKUP($B$1,$E:$AB,A46+1,FALSE)*$C$1)),0)&lt;VLOOKUP(B46,데이터입력!$B$42:$L$80,6,FALSE)),ROUND(VLOOKUP(B46,데이터입력!$B$42:$L$80,6,FALSE)*데이터입력!$Y$6,0),IFERROR(IF(OR($B$1=$G$1,$B$1=$M$1,$D$1&gt;34),ROUND($D$1/10*HLOOKUP($B$1,$E:$AB,A46+1,FALSE)*$C$1*$A$1,-5),IF(OR($B$1=$G$1,$B$1=$M$1),ROUND(($D$1/10*HLOOKUP($B$1,$E:$AB,A46+1,FALSE)*$C$1),0),ROUND($D$1/10,1)*HLOOKUP($B$1,$E:$AB,A46+1,FALSE)*$C$1)),0)),0)</f>
        <v>7100000</v>
      </c>
      <c r="E46" s="679" t="s">
        <v>57</v>
      </c>
      <c r="F46" s="680" t="s">
        <v>6</v>
      </c>
      <c r="G46" s="681">
        <v>450000</v>
      </c>
      <c r="H46" s="679" t="s">
        <v>57</v>
      </c>
      <c r="I46" s="680" t="s">
        <v>6</v>
      </c>
      <c r="J46" s="681">
        <v>200000</v>
      </c>
      <c r="K46" s="679" t="s">
        <v>57</v>
      </c>
      <c r="L46" s="680" t="s">
        <v>6</v>
      </c>
      <c r="M46" s="681">
        <v>350000</v>
      </c>
      <c r="N46" s="679" t="s">
        <v>57</v>
      </c>
      <c r="O46" s="680" t="s">
        <v>6</v>
      </c>
      <c r="P46" s="681">
        <v>200000</v>
      </c>
      <c r="Q46" s="679" t="s">
        <v>57</v>
      </c>
      <c r="R46" s="680" t="s">
        <v>6</v>
      </c>
      <c r="S46" s="681">
        <v>100000</v>
      </c>
      <c r="T46" s="679" t="s">
        <v>57</v>
      </c>
      <c r="U46" s="680" t="s">
        <v>6</v>
      </c>
      <c r="V46" s="681">
        <v>31000</v>
      </c>
      <c r="W46" s="679" t="s">
        <v>57</v>
      </c>
      <c r="X46" s="680" t="s">
        <v>6</v>
      </c>
      <c r="Y46" s="681">
        <f>IFERROR(IF(데이터입력!$AC$5=TRUE,ROUND(V46*데이터입력!$O$25,0)+ROUND(IF($D$1&lt;80,31000,31000)*데이터입력!$O$26,0),IF($D$1&lt;80,31000,31000)),0)</f>
        <v>31000</v>
      </c>
      <c r="Z46" s="679" t="s">
        <v>57</v>
      </c>
      <c r="AA46" s="680" t="s">
        <v>6</v>
      </c>
      <c r="AB46" s="681">
        <v>31000</v>
      </c>
    </row>
    <row r="47" spans="1:32">
      <c r="A47" s="671">
        <v>46</v>
      </c>
      <c r="B47" s="669" t="s">
        <v>58</v>
      </c>
      <c r="C47" s="670" t="s">
        <v>6</v>
      </c>
      <c r="D47" s="668">
        <f>IFERROR(IF(OR(AND(VLOOKUP(B47,데이터입력!$B$42:$L$80,6,FALSE)=0,SUM(데이터입력!$L$42:$L$80)&gt;0),IFERROR(IF(OR($B$1=$G$1,$B$1=$M$1,$D$1&gt;34),ROUND($D$1/10*HLOOKUP($B$1,$E:$AB,A47+1,FALSE)*$C$1*$A$1,0),IF(OR($B$1=$G$1,$B$1=$M$1),ROUND(($D$1/10*HLOOKUP($B$1,$E:$AB,A47+1,FALSE)*$C$1),0),ROUND($D$1/10,1)*HLOOKUP($B$1,$E:$AB,A47+1,FALSE)*$C$1)),0)&lt;VLOOKUP(B47,데이터입력!$B$42:$L$80,6,FALSE)),VLOOKUP(B47,데이터입력!$B$42:$L$80,6,FALSE),IFERROR(IF(OR($B$1=$G$1,$B$1=$M$1,$D$1&gt;34),ROUND($D$1/10*HLOOKUP($B$1,$E:$AB,A47+1,FALSE)*$C$1*$A$1,0),IF(OR($B$1=$G$1,$B$1=$M$1),ROUND(($D$1/10*HLOOKUP($B$1,$E:$AB,A47+1,FALSE)*$C$1),0),ROUND($D$1/10,1)*HLOOKUP($B$1,$E:$AB,A47+1,FALSE)*$C$1)),0)),0)</f>
        <v>0</v>
      </c>
      <c r="E47" s="679" t="s">
        <v>58</v>
      </c>
      <c r="F47" s="680" t="s">
        <v>6</v>
      </c>
      <c r="G47" s="681">
        <v>250000</v>
      </c>
      <c r="H47" s="679" t="s">
        <v>58</v>
      </c>
      <c r="I47" s="680" t="s">
        <v>6</v>
      </c>
      <c r="J47" s="681">
        <v>50000</v>
      </c>
      <c r="K47" s="679" t="s">
        <v>58</v>
      </c>
      <c r="L47" s="680" t="s">
        <v>6</v>
      </c>
      <c r="M47" s="681">
        <v>80000</v>
      </c>
      <c r="N47" s="679" t="s">
        <v>58</v>
      </c>
      <c r="O47" s="680" t="s">
        <v>6</v>
      </c>
      <c r="P47" s="681">
        <v>50000</v>
      </c>
      <c r="Q47" s="679" t="s">
        <v>58</v>
      </c>
      <c r="R47" s="680" t="s">
        <v>6</v>
      </c>
      <c r="S47" s="681"/>
      <c r="T47" s="679" t="s">
        <v>58</v>
      </c>
      <c r="U47" s="680" t="s">
        <v>6</v>
      </c>
      <c r="V47" s="681"/>
      <c r="W47" s="679" t="s">
        <v>58</v>
      </c>
      <c r="X47" s="680" t="s">
        <v>6</v>
      </c>
      <c r="Y47" s="681"/>
      <c r="Z47" s="679" t="s">
        <v>58</v>
      </c>
      <c r="AA47" s="680" t="s">
        <v>6</v>
      </c>
      <c r="AB47" s="681"/>
    </row>
    <row r="48" spans="1:32">
      <c r="A48" s="671">
        <v>47</v>
      </c>
      <c r="B48" s="669" t="s">
        <v>59</v>
      </c>
      <c r="C48" s="670" t="s">
        <v>6</v>
      </c>
      <c r="D48" s="668">
        <f>IFERROR(IF(OR(AND(VLOOKUP(B48,데이터입력!$B$42:$L$80,6,FALSE)=0,SUM(데이터입력!$L$42:$L$80)&gt;0),IFERROR(IF(OR($B$1=$G$1,$B$1=$M$1,$D$1&gt;34),ROUND($D$1/10*HLOOKUP($B$1,$E:$AB,A48+1,FALSE)*$C$1*$A$1,0),IF(OR($B$1=$G$1,$B$1=$M$1),ROUND(($D$1/10*HLOOKUP($B$1,$E:$AB,A48+1,FALSE)*$C$1),0),ROUND($D$1/10,1)*HLOOKUP($B$1,$E:$AB,A48+1,FALSE)*$C$1)),0)&lt;VLOOKUP(B48,데이터입력!$B$42:$L$80,6,FALSE)),VLOOKUP(B48,데이터입력!$B$42:$L$80,6,FALSE),IFERROR(IF(OR($B$1=$G$1,$B$1=$M$1,$D$1&gt;34),ROUND($D$1/10*HLOOKUP($B$1,$E:$AB,A48+1,FALSE)*$C$1*$A$1,0),IF(OR($B$1=$G$1,$B$1=$M$1),ROUND(($D$1/10*HLOOKUP($B$1,$E:$AB,A48+1,FALSE)*$C$1),0),ROUND($D$1/10,1)*HLOOKUP($B$1,$E:$AB,A48+1,FALSE)*$C$1)),0)),0)</f>
        <v>3600000</v>
      </c>
      <c r="E48" s="679" t="s">
        <v>59</v>
      </c>
      <c r="F48" s="680" t="s">
        <v>6</v>
      </c>
      <c r="G48" s="681">
        <v>300000</v>
      </c>
      <c r="H48" s="679" t="s">
        <v>59</v>
      </c>
      <c r="I48" s="680" t="s">
        <v>6</v>
      </c>
      <c r="J48" s="681">
        <v>100000</v>
      </c>
      <c r="K48" s="679" t="s">
        <v>59</v>
      </c>
      <c r="L48" s="680" t="s">
        <v>6</v>
      </c>
      <c r="M48" s="681">
        <v>150000</v>
      </c>
      <c r="N48" s="679" t="s">
        <v>59</v>
      </c>
      <c r="O48" s="680" t="s">
        <v>6</v>
      </c>
      <c r="P48" s="681">
        <v>100000</v>
      </c>
      <c r="Q48" s="679" t="s">
        <v>59</v>
      </c>
      <c r="R48" s="680" t="s">
        <v>6</v>
      </c>
      <c r="S48" s="681">
        <v>30000</v>
      </c>
      <c r="T48" s="679" t="s">
        <v>59</v>
      </c>
      <c r="U48" s="680" t="s">
        <v>6</v>
      </c>
      <c r="V48" s="681">
        <f>IF($D$1&lt;80,15000,160000)</f>
        <v>15000</v>
      </c>
      <c r="W48" s="679" t="s">
        <v>59</v>
      </c>
      <c r="X48" s="680" t="s">
        <v>6</v>
      </c>
      <c r="Y48" s="681">
        <f>IFERROR(IF(데이터입력!$AC$5=TRUE,ROUND(V48*데이터입력!$O$25,0)+ROUND(IF($D$1&lt;80,0,0)*데이터입력!$O$26,0),IF($D$1&lt;80,0,0)),0)</f>
        <v>0</v>
      </c>
      <c r="Z48" s="679" t="s">
        <v>59</v>
      </c>
      <c r="AA48" s="680" t="s">
        <v>6</v>
      </c>
      <c r="AB48" s="681">
        <v>31000</v>
      </c>
    </row>
    <row r="49" spans="1:28">
      <c r="A49" s="671">
        <v>48</v>
      </c>
      <c r="B49" s="669" t="s">
        <v>60</v>
      </c>
      <c r="C49" s="670" t="s">
        <v>6</v>
      </c>
      <c r="D49" s="668">
        <f>IFERROR(IF(OR(AND(VLOOKUP(B49,데이터입력!$B$42:$L$80,6,FALSE)=0,SUM(데이터입력!$L$42:$L$80)&gt;0),IFERROR(IF(OR($B$1=$G$1,$B$1=$M$1,$D$1&gt;34),ROUND($D$1/10*HLOOKUP($B$1,$E:$AB,A49+1,FALSE)*$C$1*$A$1,0),IF(OR($B$1=$G$1,$B$1=$M$1),ROUND(($D$1/10*HLOOKUP($B$1,$E:$AB,A49+1,FALSE)*$C$1),0),ROUND($D$1/10,1)*HLOOKUP($B$1,$E:$AB,A49+1,FALSE)*$C$1)),0)&lt;VLOOKUP(B49,데이터입력!$B$42:$L$80,6,FALSE)),VLOOKUP(B49,데이터입력!$B$42:$L$80,6,FALSE),IFERROR(IF(OR($B$1=$G$1,$B$1=$M$1,$D$1&gt;34),ROUND($D$1/10*HLOOKUP($B$1,$E:$AB,A49+1,FALSE)*$C$1*$A$1,0),IF(OR($B$1=$G$1,$B$1=$M$1),ROUND(($D$1/10*HLOOKUP($B$1,$E:$AB,A49+1,FALSE)*$C$1),0),ROUND($D$1/10,1)*HLOOKUP($B$1,$E:$AB,A49+1,FALSE)*$C$1)),0)),0)</f>
        <v>2400000</v>
      </c>
      <c r="E49" s="679" t="s">
        <v>60</v>
      </c>
      <c r="F49" s="680" t="s">
        <v>6</v>
      </c>
      <c r="G49" s="681">
        <v>250000</v>
      </c>
      <c r="H49" s="679" t="s">
        <v>60</v>
      </c>
      <c r="I49" s="680" t="s">
        <v>6</v>
      </c>
      <c r="J49" s="681">
        <v>80000</v>
      </c>
      <c r="K49" s="679" t="s">
        <v>60</v>
      </c>
      <c r="L49" s="680" t="s">
        <v>6</v>
      </c>
      <c r="M49" s="681">
        <v>100000</v>
      </c>
      <c r="N49" s="679" t="s">
        <v>60</v>
      </c>
      <c r="O49" s="680" t="s">
        <v>6</v>
      </c>
      <c r="P49" s="681">
        <v>80000</v>
      </c>
      <c r="Q49" s="679" t="s">
        <v>60</v>
      </c>
      <c r="R49" s="680" t="s">
        <v>6</v>
      </c>
      <c r="S49" s="681"/>
      <c r="T49" s="679" t="s">
        <v>60</v>
      </c>
      <c r="U49" s="680" t="s">
        <v>6</v>
      </c>
      <c r="V49" s="681"/>
      <c r="W49" s="679" t="s">
        <v>60</v>
      </c>
      <c r="X49" s="680" t="s">
        <v>6</v>
      </c>
      <c r="Y49" s="681"/>
      <c r="Z49" s="679" t="s">
        <v>60</v>
      </c>
      <c r="AA49" s="680" t="s">
        <v>6</v>
      </c>
      <c r="AB49" s="681"/>
    </row>
    <row r="50" spans="1:28">
      <c r="A50" s="671">
        <v>49</v>
      </c>
      <c r="B50" s="669" t="s">
        <v>61</v>
      </c>
      <c r="C50" s="670" t="s">
        <v>6</v>
      </c>
      <c r="D50" s="668"/>
      <c r="E50" s="679" t="s">
        <v>61</v>
      </c>
      <c r="F50" s="680" t="s">
        <v>6</v>
      </c>
      <c r="G50" s="681"/>
      <c r="H50" s="679" t="s">
        <v>61</v>
      </c>
      <c r="I50" s="680" t="s">
        <v>6</v>
      </c>
      <c r="J50" s="681"/>
      <c r="K50" s="679" t="s">
        <v>61</v>
      </c>
      <c r="L50" s="680" t="s">
        <v>6</v>
      </c>
      <c r="M50" s="681"/>
      <c r="N50" s="679" t="s">
        <v>61</v>
      </c>
      <c r="O50" s="680" t="s">
        <v>6</v>
      </c>
      <c r="P50" s="681"/>
      <c r="Q50" s="679" t="s">
        <v>61</v>
      </c>
      <c r="R50" s="680" t="s">
        <v>6</v>
      </c>
      <c r="S50" s="681"/>
      <c r="T50" s="679" t="s">
        <v>61</v>
      </c>
      <c r="U50" s="680" t="s">
        <v>6</v>
      </c>
      <c r="V50" s="681"/>
      <c r="W50" s="679" t="s">
        <v>61</v>
      </c>
      <c r="X50" s="680" t="s">
        <v>6</v>
      </c>
      <c r="Y50" s="681"/>
      <c r="Z50" s="679" t="s">
        <v>61</v>
      </c>
      <c r="AA50" s="680" t="s">
        <v>6</v>
      </c>
      <c r="AB50" s="681"/>
    </row>
    <row r="51" spans="1:28">
      <c r="A51" s="671">
        <v>50</v>
      </c>
      <c r="B51" s="669" t="s">
        <v>62</v>
      </c>
      <c r="C51" s="670" t="s">
        <v>6</v>
      </c>
      <c r="D51" s="668">
        <f>IFERROR(IF(OR(AND(VLOOKUP(B51,데이터입력!$B$42:$L$80,6,FALSE)=0,SUM(데이터입력!$L$42:$L$80)&gt;0),IFERROR(IF(OR($B$1=$G$1,$B$1=$M$1,$D$1&gt;34),ROUND($D$1/10*HLOOKUP($B$1,$E:$AB,A51+1,FALSE)*$C$1*$A$1,0),IF(OR($B$1=$G$1,$B$1=$M$1),ROUND(($D$1/10*HLOOKUP($B$1,$E:$AB,A51+1,FALSE)*$C$1),0),ROUND($D$1/10,1)*HLOOKUP($B$1,$E:$AB,A51+1,FALSE)*$C$1)),0)&lt;VLOOKUP(B51,데이터입력!$B$42:$L$80,6,FALSE)),ROUND(VLOOKUP(B51,데이터입력!$B$42:$L$80,6,FALSE)*데이터입력!$Y$6,0),IFERROR(IF(OR($B$1=$G$1,$B$1=$M$1,$D$1&gt;34),ROUND($D$1/10*HLOOKUP($B$1,$E:$AB,A51+1,FALSE)*$C$1*$A$1,0),IF(OR($B$1=$G$1,$B$1=$M$1),ROUND(($D$1/10*HLOOKUP($B$1,$E:$AB,A51+1,FALSE)*$C$1),0),ROUND($D$1/10,1)*HLOOKUP($B$1,$E:$AB,A51+1,FALSE)*$C$1)),0)),0)</f>
        <v>6120000</v>
      </c>
      <c r="E51" s="679" t="s">
        <v>62</v>
      </c>
      <c r="F51" s="680" t="s">
        <v>6</v>
      </c>
      <c r="G51" s="681">
        <v>400000</v>
      </c>
      <c r="H51" s="679" t="s">
        <v>62</v>
      </c>
      <c r="I51" s="680" t="s">
        <v>6</v>
      </c>
      <c r="J51" s="681">
        <v>200000</v>
      </c>
      <c r="K51" s="679" t="s">
        <v>62</v>
      </c>
      <c r="L51" s="680" t="s">
        <v>6</v>
      </c>
      <c r="M51" s="681">
        <v>300000</v>
      </c>
      <c r="N51" s="679" t="s">
        <v>62</v>
      </c>
      <c r="O51" s="680" t="s">
        <v>6</v>
      </c>
      <c r="P51" s="681">
        <v>100000</v>
      </c>
      <c r="Q51" s="679" t="s">
        <v>62</v>
      </c>
      <c r="R51" s="680" t="s">
        <v>6</v>
      </c>
      <c r="S51" s="681"/>
      <c r="T51" s="679" t="s">
        <v>62</v>
      </c>
      <c r="U51" s="680" t="s">
        <v>6</v>
      </c>
      <c r="V51" s="681"/>
      <c r="W51" s="679" t="s">
        <v>62</v>
      </c>
      <c r="X51" s="680" t="s">
        <v>6</v>
      </c>
      <c r="Y51" s="681"/>
      <c r="Z51" s="679" t="s">
        <v>62</v>
      </c>
      <c r="AA51" s="680" t="s">
        <v>6</v>
      </c>
      <c r="AB51" s="681"/>
    </row>
    <row r="52" spans="1:28">
      <c r="A52" s="671">
        <v>51</v>
      </c>
      <c r="B52" s="669" t="s">
        <v>63</v>
      </c>
      <c r="C52" s="670" t="s">
        <v>6</v>
      </c>
      <c r="D52" s="668">
        <f>IFERROR(IF(OR(AND(VLOOKUP(B52,데이터입력!$B$42:$L$80,6,FALSE)=0,SUM(데이터입력!$L$42:$L$80)&gt;0),IFERROR(IF(OR($B$1=$G$1,$B$1=$M$1,$D$1&gt;34),ROUND($D$1/10*HLOOKUP($B$1,$E:$AB,A52+1,FALSE)*$C$1*$A$1,0),IF(OR($B$1=$G$1,$B$1=$M$1),ROUND(($D$1/10*HLOOKUP($B$1,$E:$AB,A52+1,FALSE)*$C$1),0),ROUND($D$1/10,1)*HLOOKUP($B$1,$E:$AB,A52+1,FALSE)*$C$1)),0)&lt;VLOOKUP(B52,데이터입력!$B$42:$L$80,6,FALSE)),ROUND(VLOOKUP(B52,데이터입력!$B$42:$L$80,6,FALSE)*데이터입력!$Y$6,0),IFERROR(IF(OR($B$1=$G$1,$B$1=$M$1,$D$1&gt;34),ROUND($D$1/10*HLOOKUP($B$1,$E:$AB,A52+1,FALSE)*$C$1*$A$1,0),IF(OR($B$1=$G$1,$B$1=$M$1),ROUND(($D$1/10*HLOOKUP($B$1,$E:$AB,A52+1,FALSE)*$C$1),0),ROUND($D$1/10,1)*HLOOKUP($B$1,$E:$AB,A52+1,FALSE)*$C$1)),0)),0)</f>
        <v>2754000</v>
      </c>
      <c r="E52" s="679" t="s">
        <v>63</v>
      </c>
      <c r="F52" s="680" t="s">
        <v>6</v>
      </c>
      <c r="G52" s="681">
        <f>IFERROR(ROUNDDOWN(($D$6*90%)/$D$1*10/$C$1,-3),0)</f>
        <v>135000</v>
      </c>
      <c r="H52" s="679" t="s">
        <v>63</v>
      </c>
      <c r="I52" s="680" t="s">
        <v>6</v>
      </c>
      <c r="J52" s="681">
        <f>IFERROR(ROUNDDOWN(($D$6*90%)/$D$1*10/$C$1,-3),0)</f>
        <v>135000</v>
      </c>
      <c r="K52" s="679" t="s">
        <v>63</v>
      </c>
      <c r="L52" s="680" t="s">
        <v>6</v>
      </c>
      <c r="M52" s="681">
        <f>IFERROR(ROUNDDOWN(($D$6*90%)/$D$1*10/$C$1,-3),0)</f>
        <v>135000</v>
      </c>
      <c r="N52" s="679" t="s">
        <v>63</v>
      </c>
      <c r="O52" s="680" t="s">
        <v>6</v>
      </c>
      <c r="P52" s="681">
        <f>IFERROR(ROUNDDOWN(($D$6*90%)/$D$1*10/$C$1,-3),0)</f>
        <v>135000</v>
      </c>
      <c r="Q52" s="679" t="s">
        <v>63</v>
      </c>
      <c r="R52" s="680" t="s">
        <v>6</v>
      </c>
      <c r="S52" s="681">
        <f>IFERROR(ROUNDDOWN(($D$6*90%)/$D$1*10/$C$1,-3),0)</f>
        <v>135000</v>
      </c>
      <c r="T52" s="679" t="s">
        <v>63</v>
      </c>
      <c r="U52" s="680" t="s">
        <v>6</v>
      </c>
      <c r="V52" s="681">
        <f>IFERROR(ROUNDDOWN(($D$6*90%)/$D$1*10/$C$1,-3),0)</f>
        <v>135000</v>
      </c>
      <c r="W52" s="679" t="s">
        <v>63</v>
      </c>
      <c r="X52" s="680" t="s">
        <v>6</v>
      </c>
      <c r="Y52" s="681">
        <f>IFERROR(ROUNDDOWN(($D$6*90%)/$D$1*10/$C$1,-3),0)</f>
        <v>135000</v>
      </c>
      <c r="Z52" s="679" t="s">
        <v>63</v>
      </c>
      <c r="AA52" s="680" t="s">
        <v>6</v>
      </c>
      <c r="AB52" s="681">
        <f>IFERROR(ROUNDDOWN(($D$6*90%)/$D$1*10/$C$1,-3),0)</f>
        <v>135000</v>
      </c>
    </row>
    <row r="53" spans="1:28">
      <c r="A53" s="671">
        <v>52</v>
      </c>
      <c r="B53" s="669" t="s">
        <v>64</v>
      </c>
      <c r="C53" s="670" t="s">
        <v>6</v>
      </c>
      <c r="D53" s="668">
        <f>IFERROR(IF(OR(AND(VLOOKUP(B53,데이터입력!$B$42:$L$80,6,FALSE)=0,SUM(데이터입력!$L$42:$L$80)&gt;0),IFERROR(IF(OR($B$1=$G$1,$B$1=$M$1,$D$1&gt;34),ROUND($D$1/10*HLOOKUP($B$1,$E:$AB,A53+1,FALSE)*$C$1*$A$1,0),IF(OR($B$1=$G$1,$B$1=$M$1),ROUND(($D$1/10*HLOOKUP($B$1,$E:$AB,A53+1,FALSE)*$C$1),0),ROUND($D$1/10,1)*HLOOKUP($B$1,$E:$AB,A53+1,FALSE)*$C$1)),0)&lt;VLOOKUP(B53,데이터입력!$B$42:$L$80,6,FALSE)),ROUND(VLOOKUP(B53,데이터입력!$B$42:$L$80,6,FALSE)*데이터입력!$Y$6,0),IFERROR(IF(OR($B$1=$G$1,$B$1=$M$1,$D$1&gt;34),ROUND($D$1/10*HLOOKUP($B$1,$E:$AB,A53+1,FALSE)*$C$1*$A$1,0),IF(OR($B$1=$G$1,$B$1=$M$1),ROUND(($D$1/10*HLOOKUP($B$1,$E:$AB,A53+1,FALSE)*$C$1),0),ROUND($D$1/10,1)*HLOOKUP($B$1,$E:$AB,A53+1,FALSE)*$C$1)),0)),0)</f>
        <v>0</v>
      </c>
      <c r="E53" s="679" t="s">
        <v>64</v>
      </c>
      <c r="F53" s="680" t="s">
        <v>6</v>
      </c>
      <c r="G53" s="681"/>
      <c r="H53" s="679" t="s">
        <v>64</v>
      </c>
      <c r="I53" s="680" t="s">
        <v>6</v>
      </c>
      <c r="J53" s="681"/>
      <c r="K53" s="679" t="s">
        <v>64</v>
      </c>
      <c r="L53" s="680" t="s">
        <v>6</v>
      </c>
      <c r="M53" s="681"/>
      <c r="N53" s="679" t="s">
        <v>64</v>
      </c>
      <c r="O53" s="680" t="s">
        <v>6</v>
      </c>
      <c r="P53" s="681"/>
      <c r="Q53" s="679" t="s">
        <v>64</v>
      </c>
      <c r="R53" s="680" t="s">
        <v>6</v>
      </c>
      <c r="S53" s="681"/>
      <c r="T53" s="679" t="s">
        <v>64</v>
      </c>
      <c r="U53" s="680" t="s">
        <v>6</v>
      </c>
      <c r="V53" s="681"/>
      <c r="W53" s="679" t="s">
        <v>64</v>
      </c>
      <c r="X53" s="680" t="s">
        <v>6</v>
      </c>
      <c r="Y53" s="681"/>
      <c r="Z53" s="679" t="s">
        <v>64</v>
      </c>
      <c r="AA53" s="680" t="s">
        <v>6</v>
      </c>
      <c r="AB53" s="681"/>
    </row>
    <row r="54" spans="1:28">
      <c r="A54" s="671">
        <v>53</v>
      </c>
      <c r="B54" s="669" t="s">
        <v>65</v>
      </c>
      <c r="C54" s="670" t="s">
        <v>6</v>
      </c>
      <c r="D54" s="668">
        <f>IFERROR(IF(OR(AND(VLOOKUP(B54,데이터입력!$B$42:$L$80,6,FALSE)=0,SUM(데이터입력!$L$42:$L$80)&gt;0),IFERROR(IF(OR($B$1=$G$1,$B$1=$M$1,$D$1&gt;34),ROUND($D$1/10*HLOOKUP($B$1,$E:$AB,A54+1,FALSE)*$C$1*$A$1,0),IF(OR($B$1=$G$1,$B$1=$M$1),ROUND(($D$1/10*HLOOKUP($B$1,$E:$AB,A54+1,FALSE)*$C$1),0),ROUND($D$1/10,1)*HLOOKUP($B$1,$E:$AB,A54+1,FALSE)*$C$1)),0)&lt;VLOOKUP(B54,데이터입력!$B$42:$L$80,6,FALSE)),ROUND(VLOOKUP(B54,데이터입력!$B$42:$L$80,6,FALSE)*데이터입력!$Y$6,0),IFERROR(IF(OR($B$1=$G$1,$B$1=$M$1,$D$1&gt;34),ROUND($D$1/10*HLOOKUP($B$1,$E:$AB,A54+1,FALSE)*$C$1*$A$1,0),IF(OR($B$1=$G$1,$B$1=$M$1),ROUND(($D$1/10*HLOOKUP($B$1,$E:$AB,A54+1,FALSE)*$C$1),0),ROUND($D$1/10,1)*HLOOKUP($B$1,$E:$AB,A54+1,FALSE)*$C$1)),0)),0)</f>
        <v>8396000</v>
      </c>
      <c r="E54" s="679" t="s">
        <v>65</v>
      </c>
      <c r="F54" s="680" t="s">
        <v>6</v>
      </c>
      <c r="G54" s="681">
        <v>250000</v>
      </c>
      <c r="H54" s="679" t="s">
        <v>65</v>
      </c>
      <c r="I54" s="680" t="s">
        <v>6</v>
      </c>
      <c r="J54" s="681">
        <v>100000</v>
      </c>
      <c r="K54" s="679" t="s">
        <v>65</v>
      </c>
      <c r="L54" s="680" t="s">
        <v>6</v>
      </c>
      <c r="M54" s="681">
        <v>300000</v>
      </c>
      <c r="N54" s="679" t="s">
        <v>65</v>
      </c>
      <c r="O54" s="680" t="s">
        <v>6</v>
      </c>
      <c r="P54" s="681">
        <v>50000</v>
      </c>
      <c r="Q54" s="679" t="s">
        <v>65</v>
      </c>
      <c r="R54" s="680" t="s">
        <v>6</v>
      </c>
      <c r="S54" s="681"/>
      <c r="T54" s="679" t="s">
        <v>65</v>
      </c>
      <c r="U54" s="680" t="s">
        <v>6</v>
      </c>
      <c r="V54" s="681"/>
      <c r="W54" s="679" t="s">
        <v>65</v>
      </c>
      <c r="X54" s="680" t="s">
        <v>6</v>
      </c>
      <c r="Y54" s="681"/>
      <c r="Z54" s="679" t="s">
        <v>65</v>
      </c>
      <c r="AA54" s="680" t="s">
        <v>6</v>
      </c>
      <c r="AB54" s="681"/>
    </row>
    <row r="55" spans="1:28">
      <c r="A55" s="671">
        <v>54</v>
      </c>
      <c r="B55" s="669" t="s">
        <v>448</v>
      </c>
      <c r="C55" s="670" t="s">
        <v>6</v>
      </c>
      <c r="D55" s="668">
        <f>IFERROR(IF(OR(AND(VLOOKUP(B55,데이터입력!$B$42:$L$80,6,FALSE)=0,SUM(데이터입력!$L$42:$L$80)&gt;0),IFERROR(IF(OR($B$1=$G$1,$B$1=$M$1,$D$1&gt;34),ROUND($D$1/10*HLOOKUP($B$1,$E:$AB,A55+1,FALSE)*$C$1*$A$1,0),IF(OR($B$1=$G$1,$B$1=$M$1),ROUND(($D$1/10*HLOOKUP($B$1,$E:$AB,A55+1,FALSE)*$C$1),0),ROUND($D$1/10,1)*HLOOKUP($B$1,$E:$AB,A55+1,FALSE)*$C$1)),0)&lt;VLOOKUP(B55,데이터입력!$B$42:$L$80,6,FALSE)),ROUND(VLOOKUP(B55,데이터입력!$B$42:$L$80,6,FALSE)*데이터입력!$Y$6,0),IFERROR(IF(OR($B$1=$G$1,$B$1=$M$1,$D$1&gt;34),ROUND($D$1/10*HLOOKUP($B$1,$E:$AB,A55+1,FALSE)*$C$1*$A$1,0),IF(OR($B$1=$G$1,$B$1=$M$1),ROUND(($D$1/10*HLOOKUP($B$1,$E:$AB,A55+1,FALSE)*$C$1),0),ROUND($D$1/10,1)*HLOOKUP($B$1,$E:$AB,A55+1,FALSE)*$C$1)),0)),0)</f>
        <v>0</v>
      </c>
      <c r="E55" s="679" t="s">
        <v>448</v>
      </c>
      <c r="F55" s="680" t="s">
        <v>6</v>
      </c>
      <c r="G55" s="681"/>
      <c r="H55" s="679" t="s">
        <v>448</v>
      </c>
      <c r="I55" s="680" t="s">
        <v>6</v>
      </c>
      <c r="J55" s="681"/>
      <c r="K55" s="679" t="s">
        <v>448</v>
      </c>
      <c r="L55" s="680" t="s">
        <v>6</v>
      </c>
      <c r="M55" s="681"/>
      <c r="N55" s="679" t="s">
        <v>448</v>
      </c>
      <c r="O55" s="680" t="s">
        <v>6</v>
      </c>
      <c r="P55" s="681"/>
      <c r="Q55" s="679" t="s">
        <v>448</v>
      </c>
      <c r="R55" s="680" t="s">
        <v>6</v>
      </c>
      <c r="S55" s="681"/>
      <c r="T55" s="679" t="s">
        <v>448</v>
      </c>
      <c r="U55" s="680" t="s">
        <v>6</v>
      </c>
      <c r="V55" s="681"/>
      <c r="W55" s="679" t="s">
        <v>448</v>
      </c>
      <c r="X55" s="680" t="s">
        <v>6</v>
      </c>
      <c r="Y55" s="681"/>
      <c r="Z55" s="679" t="s">
        <v>448</v>
      </c>
      <c r="AA55" s="680" t="s">
        <v>6</v>
      </c>
      <c r="AB55" s="681"/>
    </row>
    <row r="56" spans="1:28">
      <c r="A56" s="671">
        <v>55</v>
      </c>
      <c r="B56" s="669" t="s">
        <v>447</v>
      </c>
      <c r="C56" s="670" t="s">
        <v>6</v>
      </c>
      <c r="D56" s="668">
        <f>IFERROR(IF(OR(AND(VLOOKUP(B56,데이터입력!$B$42:$L$80,6,FALSE)=0,SUM(데이터입력!$L$42:$L$80)&gt;0),IFERROR(IF(OR($B$1=$G$1,$B$1=$M$1,$D$1&gt;34),ROUND($D$1/10*HLOOKUP($B$1,$E:$AB,A56+1,FALSE)*$C$1*$A$1,0),IF(OR($B$1=$G$1,$B$1=$M$1),ROUND(($D$1/10*HLOOKUP($B$1,$E:$AB,A56+1,FALSE)*$C$1),0),ROUND($D$1/10,1)*HLOOKUP($B$1,$E:$AB,A56+1,FALSE)*$C$1)),0)&lt;VLOOKUP(B56,데이터입력!$B$42:$L$80,6,FALSE)),ROUND(VLOOKUP(B56,데이터입력!$B$42:$L$80,6,FALSE)*데이터입력!$Y$6,0),IFERROR(IF(OR($B$1=$G$1,$B$1=$M$1,$D$1&gt;34),ROUND($D$1/10*HLOOKUP($B$1,$E:$AB,A56+1,FALSE)*$C$1*$A$1,0),IF(OR($B$1=$G$1,$B$1=$M$1),ROUND(($D$1/10*HLOOKUP($B$1,$E:$AB,A56+1,FALSE)*$C$1),0),ROUND($D$1/10,1)*HLOOKUP($B$1,$E:$AB,A56+1,FALSE)*$C$1)),0)),0)</f>
        <v>0</v>
      </c>
      <c r="E56" s="679" t="s">
        <v>447</v>
      </c>
      <c r="F56" s="680" t="s">
        <v>6</v>
      </c>
      <c r="G56" s="681"/>
      <c r="H56" s="679" t="s">
        <v>447</v>
      </c>
      <c r="I56" s="680" t="s">
        <v>6</v>
      </c>
      <c r="J56" s="681"/>
      <c r="K56" s="679" t="s">
        <v>447</v>
      </c>
      <c r="L56" s="680" t="s">
        <v>6</v>
      </c>
      <c r="M56" s="681"/>
      <c r="N56" s="679" t="s">
        <v>447</v>
      </c>
      <c r="O56" s="680" t="s">
        <v>6</v>
      </c>
      <c r="P56" s="681"/>
      <c r="Q56" s="679" t="s">
        <v>447</v>
      </c>
      <c r="R56" s="680" t="s">
        <v>6</v>
      </c>
      <c r="S56" s="681"/>
      <c r="T56" s="679" t="s">
        <v>447</v>
      </c>
      <c r="U56" s="680" t="s">
        <v>6</v>
      </c>
      <c r="V56" s="681"/>
      <c r="W56" s="679" t="s">
        <v>447</v>
      </c>
      <c r="X56" s="680" t="s">
        <v>6</v>
      </c>
      <c r="Y56" s="681"/>
      <c r="Z56" s="679" t="s">
        <v>447</v>
      </c>
      <c r="AA56" s="680" t="s">
        <v>6</v>
      </c>
      <c r="AB56" s="681"/>
    </row>
    <row r="57" spans="1:28">
      <c r="A57" s="671">
        <v>56</v>
      </c>
      <c r="B57" s="669" t="s">
        <v>66</v>
      </c>
      <c r="C57" s="670" t="s">
        <v>6</v>
      </c>
      <c r="D57" s="668"/>
      <c r="E57" s="679" t="s">
        <v>66</v>
      </c>
      <c r="F57" s="680" t="s">
        <v>6</v>
      </c>
      <c r="G57" s="681"/>
      <c r="H57" s="679" t="s">
        <v>66</v>
      </c>
      <c r="I57" s="680" t="s">
        <v>6</v>
      </c>
      <c r="J57" s="681"/>
      <c r="K57" s="679" t="s">
        <v>66</v>
      </c>
      <c r="L57" s="680" t="s">
        <v>6</v>
      </c>
      <c r="M57" s="681"/>
      <c r="N57" s="679" t="s">
        <v>66</v>
      </c>
      <c r="O57" s="680" t="s">
        <v>6</v>
      </c>
      <c r="P57" s="681"/>
      <c r="Q57" s="679" t="s">
        <v>66</v>
      </c>
      <c r="R57" s="680" t="s">
        <v>6</v>
      </c>
      <c r="S57" s="681"/>
      <c r="T57" s="679" t="s">
        <v>66</v>
      </c>
      <c r="U57" s="680" t="s">
        <v>6</v>
      </c>
      <c r="V57" s="681"/>
      <c r="W57" s="679" t="s">
        <v>66</v>
      </c>
      <c r="X57" s="680" t="s">
        <v>6</v>
      </c>
      <c r="Y57" s="681"/>
      <c r="Z57" s="679" t="s">
        <v>66</v>
      </c>
      <c r="AA57" s="680" t="s">
        <v>6</v>
      </c>
      <c r="AB57" s="681"/>
    </row>
    <row r="58" spans="1:28">
      <c r="A58" s="671">
        <v>57</v>
      </c>
      <c r="B58" s="669" t="s">
        <v>67</v>
      </c>
      <c r="C58" s="670" t="s">
        <v>6</v>
      </c>
      <c r="D58" s="668"/>
      <c r="E58" s="679" t="s">
        <v>67</v>
      </c>
      <c r="F58" s="680" t="s">
        <v>6</v>
      </c>
      <c r="G58" s="681"/>
      <c r="H58" s="679" t="s">
        <v>67</v>
      </c>
      <c r="I58" s="680" t="s">
        <v>6</v>
      </c>
      <c r="J58" s="681"/>
      <c r="K58" s="679" t="s">
        <v>67</v>
      </c>
      <c r="L58" s="680" t="s">
        <v>6</v>
      </c>
      <c r="M58" s="681"/>
      <c r="N58" s="679" t="s">
        <v>67</v>
      </c>
      <c r="O58" s="680" t="s">
        <v>6</v>
      </c>
      <c r="P58" s="681"/>
      <c r="Q58" s="679" t="s">
        <v>67</v>
      </c>
      <c r="R58" s="680" t="s">
        <v>6</v>
      </c>
      <c r="S58" s="681"/>
      <c r="T58" s="679" t="s">
        <v>67</v>
      </c>
      <c r="U58" s="680" t="s">
        <v>6</v>
      </c>
      <c r="V58" s="681"/>
      <c r="W58" s="679" t="s">
        <v>67</v>
      </c>
      <c r="X58" s="680" t="s">
        <v>6</v>
      </c>
      <c r="Y58" s="681"/>
      <c r="Z58" s="679" t="s">
        <v>67</v>
      </c>
      <c r="AA58" s="680" t="s">
        <v>6</v>
      </c>
      <c r="AB58" s="681"/>
    </row>
    <row r="59" spans="1:28">
      <c r="A59" s="671">
        <v>58</v>
      </c>
      <c r="B59" s="669" t="s">
        <v>68</v>
      </c>
      <c r="C59" s="670" t="s">
        <v>6</v>
      </c>
      <c r="D59" s="668"/>
      <c r="E59" s="679" t="s">
        <v>68</v>
      </c>
      <c r="F59" s="680" t="s">
        <v>6</v>
      </c>
      <c r="G59" s="681"/>
      <c r="H59" s="679" t="s">
        <v>68</v>
      </c>
      <c r="I59" s="680" t="s">
        <v>6</v>
      </c>
      <c r="J59" s="681"/>
      <c r="K59" s="679" t="s">
        <v>68</v>
      </c>
      <c r="L59" s="680" t="s">
        <v>6</v>
      </c>
      <c r="M59" s="681"/>
      <c r="N59" s="679" t="s">
        <v>68</v>
      </c>
      <c r="O59" s="680" t="s">
        <v>6</v>
      </c>
      <c r="P59" s="681"/>
      <c r="Q59" s="679" t="s">
        <v>68</v>
      </c>
      <c r="R59" s="680" t="s">
        <v>6</v>
      </c>
      <c r="S59" s="681"/>
      <c r="T59" s="679" t="s">
        <v>68</v>
      </c>
      <c r="U59" s="680" t="s">
        <v>6</v>
      </c>
      <c r="V59" s="681"/>
      <c r="W59" s="679" t="s">
        <v>68</v>
      </c>
      <c r="X59" s="680" t="s">
        <v>6</v>
      </c>
      <c r="Y59" s="681"/>
      <c r="Z59" s="679" t="s">
        <v>68</v>
      </c>
      <c r="AA59" s="680" t="s">
        <v>6</v>
      </c>
      <c r="AB59" s="681"/>
    </row>
    <row r="60" spans="1:28">
      <c r="A60" s="671">
        <v>59</v>
      </c>
      <c r="B60" s="669" t="s">
        <v>69</v>
      </c>
      <c r="C60" s="670" t="s">
        <v>6</v>
      </c>
      <c r="D60" s="668"/>
      <c r="E60" s="679" t="s">
        <v>69</v>
      </c>
      <c r="F60" s="680" t="s">
        <v>6</v>
      </c>
      <c r="G60" s="681"/>
      <c r="H60" s="679" t="s">
        <v>69</v>
      </c>
      <c r="I60" s="680" t="s">
        <v>6</v>
      </c>
      <c r="J60" s="681"/>
      <c r="K60" s="679" t="s">
        <v>69</v>
      </c>
      <c r="L60" s="680" t="s">
        <v>6</v>
      </c>
      <c r="M60" s="681"/>
      <c r="N60" s="679" t="s">
        <v>69</v>
      </c>
      <c r="O60" s="680" t="s">
        <v>6</v>
      </c>
      <c r="P60" s="681"/>
      <c r="Q60" s="679" t="s">
        <v>69</v>
      </c>
      <c r="R60" s="680" t="s">
        <v>6</v>
      </c>
      <c r="S60" s="681"/>
      <c r="T60" s="679" t="s">
        <v>69</v>
      </c>
      <c r="U60" s="680" t="s">
        <v>6</v>
      </c>
      <c r="V60" s="681"/>
      <c r="W60" s="679" t="s">
        <v>69</v>
      </c>
      <c r="X60" s="680" t="s">
        <v>6</v>
      </c>
      <c r="Y60" s="681"/>
      <c r="Z60" s="679" t="s">
        <v>69</v>
      </c>
      <c r="AA60" s="680" t="s">
        <v>6</v>
      </c>
      <c r="AB60" s="681"/>
    </row>
    <row r="61" spans="1:28">
      <c r="A61" s="671">
        <v>60</v>
      </c>
      <c r="B61" s="669" t="s">
        <v>70</v>
      </c>
      <c r="C61" s="670" t="s">
        <v>6</v>
      </c>
      <c r="D61" s="668"/>
      <c r="E61" s="679" t="s">
        <v>70</v>
      </c>
      <c r="F61" s="680" t="s">
        <v>6</v>
      </c>
      <c r="G61" s="681"/>
      <c r="H61" s="679" t="s">
        <v>70</v>
      </c>
      <c r="I61" s="680" t="s">
        <v>6</v>
      </c>
      <c r="J61" s="681"/>
      <c r="K61" s="679" t="s">
        <v>70</v>
      </c>
      <c r="L61" s="680" t="s">
        <v>6</v>
      </c>
      <c r="M61" s="681"/>
      <c r="N61" s="679" t="s">
        <v>70</v>
      </c>
      <c r="O61" s="680" t="s">
        <v>6</v>
      </c>
      <c r="P61" s="681"/>
      <c r="Q61" s="679" t="s">
        <v>70</v>
      </c>
      <c r="R61" s="680" t="s">
        <v>6</v>
      </c>
      <c r="S61" s="681"/>
      <c r="T61" s="679" t="s">
        <v>70</v>
      </c>
      <c r="U61" s="680" t="s">
        <v>6</v>
      </c>
      <c r="V61" s="681"/>
      <c r="W61" s="679" t="s">
        <v>70</v>
      </c>
      <c r="X61" s="680" t="s">
        <v>6</v>
      </c>
      <c r="Y61" s="681"/>
      <c r="Z61" s="679" t="s">
        <v>70</v>
      </c>
      <c r="AA61" s="680" t="s">
        <v>6</v>
      </c>
      <c r="AB61" s="681"/>
    </row>
    <row r="62" spans="1:28">
      <c r="A62" s="671">
        <v>61</v>
      </c>
      <c r="B62" s="669" t="s">
        <v>71</v>
      </c>
      <c r="C62" s="670" t="s">
        <v>6</v>
      </c>
      <c r="D62" s="668"/>
      <c r="E62" s="679" t="s">
        <v>71</v>
      </c>
      <c r="F62" s="680" t="s">
        <v>6</v>
      </c>
      <c r="G62" s="681"/>
      <c r="H62" s="679" t="s">
        <v>71</v>
      </c>
      <c r="I62" s="680" t="s">
        <v>6</v>
      </c>
      <c r="J62" s="681"/>
      <c r="K62" s="679" t="s">
        <v>71</v>
      </c>
      <c r="L62" s="680" t="s">
        <v>6</v>
      </c>
      <c r="M62" s="681"/>
      <c r="N62" s="679" t="s">
        <v>71</v>
      </c>
      <c r="O62" s="680" t="s">
        <v>6</v>
      </c>
      <c r="P62" s="681"/>
      <c r="Q62" s="679" t="s">
        <v>71</v>
      </c>
      <c r="R62" s="680" t="s">
        <v>6</v>
      </c>
      <c r="S62" s="681"/>
      <c r="T62" s="679" t="s">
        <v>71</v>
      </c>
      <c r="U62" s="680" t="s">
        <v>6</v>
      </c>
      <c r="V62" s="681"/>
      <c r="W62" s="679" t="s">
        <v>71</v>
      </c>
      <c r="X62" s="680" t="s">
        <v>6</v>
      </c>
      <c r="Y62" s="681"/>
      <c r="Z62" s="679" t="s">
        <v>71</v>
      </c>
      <c r="AA62" s="680" t="s">
        <v>6</v>
      </c>
      <c r="AB62" s="681"/>
    </row>
    <row r="63" spans="1:28">
      <c r="A63" s="671">
        <v>62</v>
      </c>
      <c r="B63" s="669" t="s">
        <v>72</v>
      </c>
      <c r="C63" s="670" t="s">
        <v>6</v>
      </c>
      <c r="D63" s="668"/>
      <c r="E63" s="679" t="s">
        <v>72</v>
      </c>
      <c r="F63" s="680" t="s">
        <v>6</v>
      </c>
      <c r="G63" s="681"/>
      <c r="H63" s="679" t="s">
        <v>72</v>
      </c>
      <c r="I63" s="680" t="s">
        <v>6</v>
      </c>
      <c r="J63" s="681"/>
      <c r="K63" s="679" t="s">
        <v>72</v>
      </c>
      <c r="L63" s="680" t="s">
        <v>6</v>
      </c>
      <c r="M63" s="681"/>
      <c r="N63" s="679" t="s">
        <v>72</v>
      </c>
      <c r="O63" s="680" t="s">
        <v>6</v>
      </c>
      <c r="P63" s="681"/>
      <c r="Q63" s="679" t="s">
        <v>72</v>
      </c>
      <c r="R63" s="680" t="s">
        <v>6</v>
      </c>
      <c r="S63" s="681"/>
      <c r="T63" s="679" t="s">
        <v>72</v>
      </c>
      <c r="U63" s="680" t="s">
        <v>6</v>
      </c>
      <c r="V63" s="681"/>
      <c r="W63" s="679" t="s">
        <v>72</v>
      </c>
      <c r="X63" s="680" t="s">
        <v>6</v>
      </c>
      <c r="Y63" s="681"/>
      <c r="Z63" s="679" t="s">
        <v>72</v>
      </c>
      <c r="AA63" s="680" t="s">
        <v>6</v>
      </c>
      <c r="AB63" s="681"/>
    </row>
    <row r="64" spans="1:28">
      <c r="A64" s="671">
        <v>63</v>
      </c>
      <c r="B64" s="669" t="s">
        <v>73</v>
      </c>
      <c r="C64" s="670" t="s">
        <v>6</v>
      </c>
      <c r="D64" s="668"/>
      <c r="E64" s="679" t="s">
        <v>73</v>
      </c>
      <c r="F64" s="680" t="s">
        <v>6</v>
      </c>
      <c r="G64" s="681"/>
      <c r="H64" s="679" t="s">
        <v>73</v>
      </c>
      <c r="I64" s="680" t="s">
        <v>6</v>
      </c>
      <c r="J64" s="681"/>
      <c r="K64" s="679" t="s">
        <v>73</v>
      </c>
      <c r="L64" s="680" t="s">
        <v>6</v>
      </c>
      <c r="M64" s="681"/>
      <c r="N64" s="679" t="s">
        <v>73</v>
      </c>
      <c r="O64" s="680" t="s">
        <v>6</v>
      </c>
      <c r="P64" s="681"/>
      <c r="Q64" s="679" t="s">
        <v>73</v>
      </c>
      <c r="R64" s="680" t="s">
        <v>6</v>
      </c>
      <c r="S64" s="681"/>
      <c r="T64" s="679" t="s">
        <v>73</v>
      </c>
      <c r="U64" s="680" t="s">
        <v>6</v>
      </c>
      <c r="V64" s="681"/>
      <c r="W64" s="679" t="s">
        <v>73</v>
      </c>
      <c r="X64" s="680" t="s">
        <v>6</v>
      </c>
      <c r="Y64" s="681"/>
      <c r="Z64" s="679" t="s">
        <v>73</v>
      </c>
      <c r="AA64" s="680" t="s">
        <v>6</v>
      </c>
      <c r="AB64" s="681"/>
    </row>
    <row r="65" spans="1:28">
      <c r="A65" s="671">
        <v>64</v>
      </c>
      <c r="B65" s="669" t="s">
        <v>3</v>
      </c>
      <c r="C65" s="670" t="s">
        <v>6</v>
      </c>
      <c r="D65" s="668">
        <f>IFERROR(IF(OR(AND(VLOOKUP(B65,데이터입력!$B$42:$L$80,6,FALSE)=0,SUM(데이터입력!$L$42:$L$80)&gt;0),IFERROR(IF(OR($B$1=$G$1,$B$1=$M$1,$D$1&gt;34),ROUND($D$1/10*HLOOKUP($B$1,$E:$AB,A65+1,FALSE)*$C$1*$A$1,0),IF(OR($B$1=$G$1,$B$1=$M$1),ROUND(($D$1/10*HLOOKUP($B$1,$E:$AB,A65+1,FALSE)*$C$1),0),ROUND($D$1/10,1)*HLOOKUP($B$1,$E:$AB,A65+1,FALSE)*$C$1)),0)&lt;VLOOKUP(B65,데이터입력!$B$42:$L$80,6,FALSE)),VLOOKUP(B65,데이터입력!$B$42:$L$80,6,FALSE),IFERROR(IF(OR($B$1=$G$1,$B$1=$M$1,$D$1&gt;34),ROUND($D$1/10*HLOOKUP($B$1,$E:$AB,A65+1,FALSE)*$C$1*$A$1,0),IF(OR($B$1=$G$1,$B$1=$M$1),ROUND(($D$1/10*HLOOKUP($B$1,$E:$AB,A65+1,FALSE)*$C$1),0),ROUND($D$1/10,1)*HLOOKUP($B$1,$E:$AB,A65+1,FALSE)*$C$1)),0)),0)</f>
        <v>0</v>
      </c>
      <c r="E65" s="679" t="s">
        <v>3</v>
      </c>
      <c r="F65" s="680" t="s">
        <v>6</v>
      </c>
      <c r="G65" s="681"/>
      <c r="H65" s="679" t="s">
        <v>3</v>
      </c>
      <c r="I65" s="680" t="s">
        <v>6</v>
      </c>
      <c r="J65" s="681"/>
      <c r="K65" s="679" t="s">
        <v>3</v>
      </c>
      <c r="L65" s="680" t="s">
        <v>6</v>
      </c>
      <c r="M65" s="681"/>
      <c r="N65" s="679" t="s">
        <v>3</v>
      </c>
      <c r="O65" s="680" t="s">
        <v>6</v>
      </c>
      <c r="P65" s="681"/>
      <c r="Q65" s="679" t="s">
        <v>3</v>
      </c>
      <c r="R65" s="680" t="s">
        <v>6</v>
      </c>
      <c r="S65" s="681"/>
      <c r="T65" s="679" t="s">
        <v>3</v>
      </c>
      <c r="U65" s="680" t="s">
        <v>6</v>
      </c>
      <c r="V65" s="681"/>
      <c r="W65" s="679" t="s">
        <v>3</v>
      </c>
      <c r="X65" s="680" t="s">
        <v>6</v>
      </c>
      <c r="Y65" s="681"/>
      <c r="Z65" s="679" t="s">
        <v>3</v>
      </c>
      <c r="AA65" s="680" t="s">
        <v>6</v>
      </c>
      <c r="AB65" s="681"/>
    </row>
    <row r="66" spans="1:28">
      <c r="A66" s="671">
        <v>65</v>
      </c>
      <c r="B66" s="669" t="s">
        <v>74</v>
      </c>
      <c r="C66" s="670" t="s">
        <v>6</v>
      </c>
      <c r="D66" s="668">
        <f>IFERROR(IF(OR(AND(VLOOKUP(B66,데이터입력!$B$42:$L$80,6,FALSE)=0,SUM(데이터입력!$L$42:$L$80)&gt;0),IFERROR(IF(OR($B$1=$G$1,$B$1=$M$1,$D$1&gt;34),ROUND($D$1/10*HLOOKUP($B$1,$E:$AB,A66+1,FALSE)*$C$1*$A$1,0),IF(OR($B$1=$G$1,$B$1=$M$1),ROUND(($D$1/10*HLOOKUP($B$1,$E:$AB,A66+1,FALSE)*$C$1),0),ROUND($D$1/10,1)*HLOOKUP($B$1,$E:$AB,A66+1,FALSE)*$C$1)),0)&lt;VLOOKUP(B66,데이터입력!$B$42:$L$80,6,FALSE)),VLOOKUP(B66,데이터입력!$B$42:$L$80,6,FALSE),IFERROR(IF(OR($B$1=$G$1,$B$1=$M$1,$D$1&gt;34),ROUND($D$1/10*HLOOKUP($B$1,$E:$AB,A66+1,FALSE)*$C$1*$A$1,0),IF(OR($B$1=$G$1,$B$1=$M$1),ROUND(($D$1/10*HLOOKUP($B$1,$E:$AB,A66+1,FALSE)*$C$1),0),ROUND($D$1/10,1)*HLOOKUP($B$1,$E:$AB,A66+1,FALSE)*$C$1)),0)),0)</f>
        <v>0</v>
      </c>
      <c r="E66" s="679" t="s">
        <v>74</v>
      </c>
      <c r="F66" s="680" t="s">
        <v>6</v>
      </c>
      <c r="G66" s="681"/>
      <c r="H66" s="679" t="s">
        <v>74</v>
      </c>
      <c r="I66" s="680" t="s">
        <v>6</v>
      </c>
      <c r="J66" s="681"/>
      <c r="K66" s="679" t="s">
        <v>74</v>
      </c>
      <c r="L66" s="680" t="s">
        <v>6</v>
      </c>
      <c r="M66" s="681"/>
      <c r="N66" s="679" t="s">
        <v>74</v>
      </c>
      <c r="O66" s="680" t="s">
        <v>6</v>
      </c>
      <c r="P66" s="681"/>
      <c r="Q66" s="679" t="s">
        <v>74</v>
      </c>
      <c r="R66" s="680" t="s">
        <v>6</v>
      </c>
      <c r="S66" s="681"/>
      <c r="T66" s="679" t="s">
        <v>74</v>
      </c>
      <c r="U66" s="680" t="s">
        <v>6</v>
      </c>
      <c r="V66" s="681"/>
      <c r="W66" s="679" t="s">
        <v>74</v>
      </c>
      <c r="X66" s="680" t="s">
        <v>6</v>
      </c>
      <c r="Y66" s="681"/>
      <c r="Z66" s="679" t="s">
        <v>74</v>
      </c>
      <c r="AA66" s="680" t="s">
        <v>6</v>
      </c>
      <c r="AB66" s="681"/>
    </row>
  </sheetData>
  <mergeCells count="3">
    <mergeCell ref="AC1:AE1"/>
    <mergeCell ref="AC10:AF10"/>
    <mergeCell ref="AC20:AF20"/>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89057-9096-4FE7-87B2-6A98BF617990}">
  <sheetPr>
    <tabColor theme="7"/>
  </sheetPr>
  <dimension ref="A1:AX264"/>
  <sheetViews>
    <sheetView topLeftCell="A61" zoomScaleNormal="100" zoomScaleSheetLayoutView="100" workbookViewId="0">
      <selection activeCell="G87" sqref="A87:G87"/>
    </sheetView>
  </sheetViews>
  <sheetFormatPr defaultRowHeight="16.5"/>
  <cols>
    <col min="1" max="1" width="15.875" style="524" customWidth="1"/>
    <col min="2" max="6" width="13.125" style="524" customWidth="1"/>
    <col min="7" max="9" width="12.75" style="524" customWidth="1"/>
    <col min="10" max="10" width="4.875" style="98" customWidth="1"/>
    <col min="11" max="11" width="7.5" customWidth="1"/>
    <col min="12" max="12" width="14.625" customWidth="1"/>
    <col min="13" max="13" width="14.875" customWidth="1"/>
    <col min="14" max="14" width="24.25" customWidth="1"/>
    <col min="15" max="15" width="23.75" customWidth="1"/>
    <col min="16" max="16" width="16.125" customWidth="1"/>
    <col min="17" max="17" width="18.75" customWidth="1"/>
    <col min="18" max="18" width="16.75" customWidth="1"/>
    <col min="19" max="19" width="3.625" style="9" customWidth="1"/>
    <col min="20" max="20" width="7.5" customWidth="1"/>
    <col min="21" max="21" width="14.625" customWidth="1"/>
    <col min="22" max="22" width="14.875" customWidth="1"/>
    <col min="23" max="23" width="24.25" customWidth="1"/>
    <col min="24" max="24" width="23.75" customWidth="1"/>
    <col min="25" max="25" width="16.125" customWidth="1"/>
    <col min="26" max="26" width="18.75" customWidth="1"/>
    <col min="27" max="27" width="16.75" customWidth="1"/>
    <col min="28" max="28" width="3.625" style="9" customWidth="1"/>
    <col min="29" max="29" width="7.5" customWidth="1"/>
    <col min="30" max="30" width="14.625" customWidth="1"/>
    <col min="31" max="31" width="14.875" customWidth="1"/>
    <col min="32" max="32" width="24.25" customWidth="1"/>
    <col min="33" max="33" width="23.75" customWidth="1"/>
    <col min="34" max="34" width="16.125" customWidth="1"/>
    <col min="35" max="35" width="18.75" customWidth="1"/>
    <col min="36" max="36" width="16.75" customWidth="1"/>
    <col min="38" max="38" width="9" style="98"/>
    <col min="39" max="39" width="12.125" style="98" customWidth="1"/>
    <col min="40" max="40" width="11.625" style="98" customWidth="1"/>
    <col min="41" max="41" width="10.5" style="98" customWidth="1"/>
    <col min="42" max="42" width="12.625" style="98" customWidth="1"/>
    <col min="43" max="43" width="9.625" style="98" customWidth="1"/>
    <col min="44" max="45" width="10.75" style="98" customWidth="1"/>
    <col min="46" max="46" width="12.625" style="98" customWidth="1"/>
    <col min="47" max="48" width="12.625" style="98" hidden="1" customWidth="1"/>
    <col min="49" max="50" width="9" style="98"/>
  </cols>
  <sheetData>
    <row r="1" spans="1:50" ht="24" customHeight="1" thickBot="1">
      <c r="A1" s="754" t="s">
        <v>671</v>
      </c>
      <c r="B1" s="755">
        <v>2023</v>
      </c>
      <c r="C1" s="756"/>
      <c r="D1" s="757" t="s">
        <v>672</v>
      </c>
      <c r="E1" s="758" t="s">
        <v>812</v>
      </c>
      <c r="F1" s="759"/>
      <c r="G1" s="757" t="s">
        <v>673</v>
      </c>
      <c r="H1" s="758" t="s">
        <v>813</v>
      </c>
      <c r="I1" s="760"/>
      <c r="J1" s="748"/>
      <c r="K1" s="1227"/>
      <c r="L1" s="1227"/>
      <c r="M1" s="1227"/>
      <c r="N1" s="1227"/>
      <c r="O1" s="219"/>
      <c r="P1" s="219"/>
      <c r="Q1" s="219"/>
      <c r="R1" s="219"/>
      <c r="S1" s="216"/>
      <c r="T1" s="1227"/>
      <c r="U1" s="1227"/>
      <c r="V1" s="1227"/>
      <c r="W1" s="1227"/>
      <c r="X1" s="219"/>
      <c r="Y1" s="219"/>
      <c r="Z1" s="219"/>
      <c r="AA1" s="219"/>
      <c r="AC1" s="1227"/>
      <c r="AD1" s="1227"/>
      <c r="AE1" s="1227"/>
      <c r="AF1" s="1227"/>
      <c r="AG1" s="9"/>
      <c r="AH1" s="9"/>
      <c r="AI1" s="9"/>
      <c r="AJ1" s="9"/>
      <c r="AL1" s="1240"/>
      <c r="AM1" s="1241"/>
      <c r="AN1" s="1085"/>
      <c r="AO1" s="1086"/>
      <c r="AP1" s="1086"/>
      <c r="AQ1" s="1086"/>
      <c r="AR1" s="1086"/>
      <c r="AS1" s="1086"/>
      <c r="AT1" s="1086"/>
      <c r="AU1" s="1086"/>
      <c r="AV1" s="1086"/>
      <c r="AW1" s="214"/>
      <c r="AX1" s="214"/>
    </row>
    <row r="2" spans="1:50" ht="17.25" customHeight="1" thickBot="1">
      <c r="A2" s="761" t="s">
        <v>674</v>
      </c>
      <c r="B2" s="765"/>
      <c r="C2" s="873"/>
      <c r="D2" s="762" t="s">
        <v>675</v>
      </c>
      <c r="E2" s="763" t="s">
        <v>108</v>
      </c>
      <c r="F2" s="764" t="s">
        <v>136</v>
      </c>
      <c r="G2" s="762" t="s">
        <v>676</v>
      </c>
      <c r="H2" s="765" t="s">
        <v>814</v>
      </c>
      <c r="I2" s="904" t="b">
        <v>1</v>
      </c>
      <c r="J2" s="749"/>
      <c r="K2" s="1227"/>
      <c r="L2" s="1227"/>
      <c r="M2" s="1227"/>
      <c r="N2" s="1227"/>
      <c r="O2" s="219"/>
      <c r="P2" s="219"/>
      <c r="Q2" s="219"/>
      <c r="R2" s="219"/>
      <c r="S2" s="216"/>
      <c r="T2" s="1227"/>
      <c r="U2" s="1227"/>
      <c r="V2" s="1227"/>
      <c r="W2" s="1227"/>
      <c r="X2" s="219"/>
      <c r="Y2" s="219"/>
      <c r="Z2" s="219"/>
      <c r="AA2" s="219"/>
      <c r="AC2" s="1227"/>
      <c r="AD2" s="1227"/>
      <c r="AE2" s="1227"/>
      <c r="AF2" s="1227"/>
      <c r="AG2" s="9"/>
      <c r="AH2" s="9"/>
      <c r="AI2" s="9"/>
      <c r="AJ2" s="9"/>
      <c r="AL2" s="1087"/>
      <c r="AM2" s="1220"/>
      <c r="AN2" s="1221"/>
      <c r="AO2" s="1222"/>
      <c r="AP2" s="1087"/>
      <c r="AQ2" s="1242"/>
      <c r="AR2" s="1242"/>
      <c r="AS2" s="1242"/>
      <c r="AT2" s="1243"/>
      <c r="AU2" s="1086"/>
      <c r="AV2" s="1086"/>
      <c r="AW2" s="214"/>
      <c r="AX2" s="214"/>
    </row>
    <row r="3" spans="1:50" ht="17.25" customHeight="1" thickTop="1" thickBot="1">
      <c r="A3" s="906" t="s">
        <v>707</v>
      </c>
      <c r="B3" s="907">
        <v>12</v>
      </c>
      <c r="C3" s="908"/>
      <c r="D3" s="909" t="s">
        <v>677</v>
      </c>
      <c r="E3" s="907" t="s">
        <v>136</v>
      </c>
      <c r="F3" s="908"/>
      <c r="G3" s="766"/>
      <c r="H3" s="1375"/>
      <c r="I3" s="1376">
        <v>9</v>
      </c>
      <c r="J3" s="737"/>
      <c r="K3" s="1227"/>
      <c r="L3" s="1227"/>
      <c r="M3" s="1227"/>
      <c r="N3" s="1227"/>
      <c r="O3" s="219"/>
      <c r="P3" s="219"/>
      <c r="Q3" s="219"/>
      <c r="R3" s="219"/>
      <c r="S3" s="216"/>
      <c r="T3" s="1227"/>
      <c r="U3" s="1227"/>
      <c r="V3" s="1227"/>
      <c r="W3" s="1227"/>
      <c r="X3" s="219"/>
      <c r="Y3" s="219"/>
      <c r="Z3" s="219"/>
      <c r="AA3" s="219"/>
      <c r="AC3" s="1227"/>
      <c r="AD3" s="1227"/>
      <c r="AE3" s="1227"/>
      <c r="AF3" s="1227"/>
      <c r="AG3" s="9"/>
      <c r="AH3" s="9"/>
      <c r="AI3" s="9"/>
      <c r="AJ3" s="9"/>
      <c r="AL3" s="1088"/>
      <c r="AM3" s="1223"/>
      <c r="AN3" s="1223"/>
      <c r="AO3" s="1224"/>
      <c r="AP3" s="1089"/>
      <c r="AQ3" s="1090"/>
      <c r="AR3" s="1090"/>
      <c r="AS3" s="1090"/>
      <c r="AT3" s="1091"/>
      <c r="AU3" s="1086"/>
      <c r="AV3" s="1086"/>
      <c r="AW3" s="214"/>
      <c r="AX3" s="214"/>
    </row>
    <row r="4" spans="1:50" ht="17.25" customHeight="1" thickBot="1">
      <c r="A4" s="769" t="s">
        <v>815</v>
      </c>
      <c r="B4" s="770"/>
      <c r="C4" s="771">
        <v>17</v>
      </c>
      <c r="D4" s="772" t="s">
        <v>816</v>
      </c>
      <c r="E4" s="773"/>
      <c r="F4" s="774">
        <v>0</v>
      </c>
      <c r="G4" s="775"/>
      <c r="H4" s="1377"/>
      <c r="I4" s="1378"/>
      <c r="J4" s="737"/>
      <c r="K4" s="1228"/>
      <c r="L4" s="1228"/>
      <c r="M4" s="1228"/>
      <c r="N4" s="1228"/>
      <c r="O4" s="220"/>
      <c r="P4" s="220"/>
      <c r="Q4" s="220"/>
      <c r="R4" s="220"/>
      <c r="S4" s="216"/>
      <c r="T4" s="1228"/>
      <c r="U4" s="1228"/>
      <c r="V4" s="1228"/>
      <c r="W4" s="1228"/>
      <c r="X4" s="220"/>
      <c r="Y4" s="220"/>
      <c r="Z4" s="220"/>
      <c r="AA4" s="220"/>
      <c r="AC4" s="1228"/>
      <c r="AD4" s="1228"/>
      <c r="AE4" s="1228"/>
      <c r="AF4" s="1228"/>
      <c r="AG4" s="9"/>
      <c r="AH4" s="9"/>
      <c r="AI4" s="9"/>
      <c r="AJ4" s="9"/>
      <c r="AL4" s="1092"/>
      <c r="AM4" s="1225"/>
      <c r="AN4" s="1225"/>
      <c r="AO4" s="1226"/>
      <c r="AP4" s="1093"/>
      <c r="AQ4" s="1094"/>
      <c r="AR4" s="1095"/>
      <c r="AS4" s="1095"/>
      <c r="AT4" s="1096"/>
      <c r="AU4" s="1086"/>
      <c r="AV4" s="1086"/>
      <c r="AW4" s="214"/>
      <c r="AX4" s="214"/>
    </row>
    <row r="5" spans="1:50" ht="33" customHeight="1" thickBot="1">
      <c r="A5" s="778" t="s">
        <v>678</v>
      </c>
      <c r="B5" s="779"/>
      <c r="C5" s="780"/>
      <c r="D5" s="781"/>
      <c r="E5" s="782"/>
      <c r="F5" s="782"/>
      <c r="G5" s="783"/>
      <c r="H5" s="783"/>
      <c r="I5" s="784"/>
      <c r="J5" s="750"/>
      <c r="K5" s="1229"/>
      <c r="L5" s="1230"/>
      <c r="M5" s="1230"/>
      <c r="N5" s="1230"/>
      <c r="O5" s="1230"/>
      <c r="P5" s="1230"/>
      <c r="Q5" s="1230"/>
      <c r="R5" s="1230"/>
      <c r="S5" s="217"/>
      <c r="T5" s="1231"/>
      <c r="U5" s="1232"/>
      <c r="V5" s="1232"/>
      <c r="W5" s="1232"/>
      <c r="X5" s="1232"/>
      <c r="Y5" s="1232"/>
      <c r="Z5" s="1232"/>
      <c r="AA5" s="1232"/>
      <c r="AB5" s="217"/>
      <c r="AC5" s="1233"/>
      <c r="AD5" s="1234"/>
      <c r="AE5" s="1234"/>
      <c r="AF5" s="1234"/>
      <c r="AG5" s="1234"/>
      <c r="AH5" s="1234"/>
      <c r="AI5" s="1234"/>
      <c r="AJ5" s="1234"/>
      <c r="AL5" s="1244"/>
      <c r="AM5" s="1245"/>
      <c r="AN5" s="1097"/>
      <c r="AO5" s="1098"/>
      <c r="AP5" s="1087"/>
      <c r="AQ5" s="1242"/>
      <c r="AR5" s="1242"/>
      <c r="AS5" s="1242"/>
      <c r="AT5" s="1243"/>
      <c r="AU5" s="1086"/>
      <c r="AV5" s="1086"/>
      <c r="AW5" s="214"/>
      <c r="AX5" s="214"/>
    </row>
    <row r="6" spans="1:50" ht="16.5" customHeight="1" thickBot="1">
      <c r="A6" s="751" t="s">
        <v>102</v>
      </c>
      <c r="B6" s="785">
        <v>0.61399999999999999</v>
      </c>
      <c r="C6" s="786">
        <v>2.5</v>
      </c>
      <c r="D6" s="787" t="s">
        <v>668</v>
      </c>
      <c r="E6" s="788" t="s">
        <v>746</v>
      </c>
      <c r="F6" s="789" t="s">
        <v>669</v>
      </c>
      <c r="G6" s="790" t="s">
        <v>299</v>
      </c>
      <c r="H6" s="791" t="s">
        <v>670</v>
      </c>
      <c r="I6" s="792" t="s">
        <v>752</v>
      </c>
      <c r="J6" s="738"/>
      <c r="K6" s="1630" t="s">
        <v>0</v>
      </c>
      <c r="L6" s="1632" t="s">
        <v>503</v>
      </c>
      <c r="M6" s="1633"/>
      <c r="N6" s="1633"/>
      <c r="O6" s="1634"/>
      <c r="P6" s="1632" t="s">
        <v>504</v>
      </c>
      <c r="Q6" s="1633"/>
      <c r="R6" s="1634"/>
      <c r="S6" s="218"/>
      <c r="T6" s="1235"/>
      <c r="U6" s="1237"/>
      <c r="V6" s="1238"/>
      <c r="W6" s="1238"/>
      <c r="X6" s="1239"/>
      <c r="Y6" s="1237"/>
      <c r="Z6" s="1238"/>
      <c r="AA6" s="1239"/>
      <c r="AB6" s="218"/>
      <c r="AC6" s="1235"/>
      <c r="AD6" s="1237"/>
      <c r="AE6" s="1238"/>
      <c r="AF6" s="1238"/>
      <c r="AG6" s="1239"/>
      <c r="AH6" s="1237"/>
      <c r="AI6" s="1238"/>
      <c r="AJ6" s="1239"/>
      <c r="AL6" s="1246"/>
      <c r="AM6" s="1247"/>
      <c r="AN6" s="1099"/>
      <c r="AO6" s="1100"/>
      <c r="AP6" s="1089"/>
      <c r="AQ6" s="1090"/>
      <c r="AR6" s="1090"/>
      <c r="AS6" s="1090"/>
      <c r="AT6" s="1091"/>
      <c r="AU6" s="1086"/>
      <c r="AV6" s="1086"/>
      <c r="AW6" s="214"/>
      <c r="AX6" s="214"/>
    </row>
    <row r="7" spans="1:50" ht="16.5" customHeight="1" thickBot="1">
      <c r="A7" s="752" t="s">
        <v>106</v>
      </c>
      <c r="B7" s="785">
        <v>0.65800000000000003</v>
      </c>
      <c r="C7" s="793">
        <v>3</v>
      </c>
      <c r="D7" s="794" t="s">
        <v>471</v>
      </c>
      <c r="E7" s="795"/>
      <c r="F7" s="796" t="s">
        <v>679</v>
      </c>
      <c r="G7" s="797"/>
      <c r="H7" s="798"/>
      <c r="I7" s="799" t="s">
        <v>248</v>
      </c>
      <c r="J7" s="739"/>
      <c r="K7" s="1631"/>
      <c r="L7" s="691" t="s">
        <v>379</v>
      </c>
      <c r="M7" s="691" t="s">
        <v>380</v>
      </c>
      <c r="N7" s="691" t="s">
        <v>381</v>
      </c>
      <c r="O7" s="691" t="s">
        <v>1</v>
      </c>
      <c r="P7" s="691" t="s">
        <v>505</v>
      </c>
      <c r="Q7" s="691" t="s">
        <v>506</v>
      </c>
      <c r="R7" s="691" t="s">
        <v>507</v>
      </c>
      <c r="S7" s="218"/>
      <c r="T7" s="1236"/>
      <c r="U7" s="691"/>
      <c r="V7" s="691"/>
      <c r="W7" s="691"/>
      <c r="X7" s="691"/>
      <c r="Y7" s="691"/>
      <c r="Z7" s="691"/>
      <c r="AA7" s="691"/>
      <c r="AB7" s="218"/>
      <c r="AC7" s="1236"/>
      <c r="AD7" s="691"/>
      <c r="AE7" s="691"/>
      <c r="AF7" s="691"/>
      <c r="AG7" s="691"/>
      <c r="AH7" s="691"/>
      <c r="AI7" s="691"/>
      <c r="AJ7" s="691"/>
      <c r="AL7" s="1250"/>
      <c r="AM7" s="1251"/>
      <c r="AN7" s="1101"/>
      <c r="AO7" s="1102"/>
      <c r="AP7" s="1103"/>
      <c r="AQ7" s="1104"/>
      <c r="AR7" s="1104"/>
      <c r="AS7" s="1104"/>
      <c r="AT7" s="1105"/>
      <c r="AU7" s="1086"/>
      <c r="AV7" s="1086"/>
      <c r="AW7" s="214"/>
      <c r="AX7" s="214"/>
    </row>
    <row r="8" spans="1:50" ht="16.5" customHeight="1" thickBot="1">
      <c r="A8" s="752" t="s">
        <v>108</v>
      </c>
      <c r="B8" s="785">
        <v>0.49</v>
      </c>
      <c r="C8" s="793">
        <v>7</v>
      </c>
      <c r="D8" s="766"/>
      <c r="E8" s="767"/>
      <c r="F8" s="767"/>
      <c r="G8" s="767"/>
      <c r="H8" s="768"/>
      <c r="I8" s="800">
        <v>1</v>
      </c>
      <c r="J8" s="740"/>
      <c r="K8" s="250">
        <v>1</v>
      </c>
      <c r="L8" s="6"/>
      <c r="M8" s="6"/>
      <c r="N8" s="6"/>
      <c r="O8" s="6" t="s">
        <v>5</v>
      </c>
      <c r="P8" s="7">
        <v>34057584</v>
      </c>
      <c r="Q8" s="7">
        <v>13401120</v>
      </c>
      <c r="R8" s="7">
        <v>20656464</v>
      </c>
      <c r="S8" s="218"/>
      <c r="T8" s="250"/>
      <c r="U8" s="6"/>
      <c r="V8" s="6"/>
      <c r="W8" s="6"/>
      <c r="X8" s="6"/>
      <c r="Y8" s="7"/>
      <c r="Z8" s="7"/>
      <c r="AA8" s="7"/>
      <c r="AB8" s="218"/>
      <c r="AC8" s="250"/>
      <c r="AD8" s="6"/>
      <c r="AE8" s="6"/>
      <c r="AF8" s="6"/>
      <c r="AG8" s="6"/>
      <c r="AH8" s="7"/>
      <c r="AI8" s="7"/>
      <c r="AJ8" s="7"/>
      <c r="AL8" s="1252"/>
      <c r="AM8" s="1253"/>
      <c r="AN8" s="1253"/>
      <c r="AO8" s="1253"/>
      <c r="AP8" s="1253"/>
      <c r="AQ8" s="1253"/>
      <c r="AR8" s="1253"/>
      <c r="AS8" s="1253"/>
      <c r="AT8" s="1253"/>
      <c r="AU8" s="1086"/>
      <c r="AV8" s="1086"/>
      <c r="AW8" s="214"/>
      <c r="AX8" s="214"/>
    </row>
    <row r="9" spans="1:50" ht="16.5" customHeight="1" thickBot="1">
      <c r="A9" s="752" t="s">
        <v>112</v>
      </c>
      <c r="B9" s="785">
        <v>0.59299999999999997</v>
      </c>
      <c r="C9" s="793">
        <v>4</v>
      </c>
      <c r="D9" s="801"/>
      <c r="E9" s="802"/>
      <c r="F9" s="802"/>
      <c r="G9" s="802"/>
      <c r="H9" s="802"/>
      <c r="I9" s="768"/>
      <c r="J9" s="741"/>
      <c r="K9" s="41">
        <v>2</v>
      </c>
      <c r="L9" s="10"/>
      <c r="M9" s="10"/>
      <c r="N9" s="10" t="s">
        <v>5</v>
      </c>
      <c r="O9" s="44" t="s">
        <v>825</v>
      </c>
      <c r="P9" s="251">
        <v>34057584</v>
      </c>
      <c r="Q9" s="251">
        <v>13401120</v>
      </c>
      <c r="R9" s="251">
        <v>20656464</v>
      </c>
      <c r="S9" s="218"/>
      <c r="T9" s="41"/>
      <c r="U9" s="10"/>
      <c r="V9" s="10"/>
      <c r="W9" s="10"/>
      <c r="X9" s="44"/>
      <c r="Y9" s="251"/>
      <c r="Z9" s="251"/>
      <c r="AA9" s="251"/>
      <c r="AB9" s="218"/>
      <c r="AC9" s="41"/>
      <c r="AD9" s="10"/>
      <c r="AE9" s="10"/>
      <c r="AF9" s="10"/>
      <c r="AG9" s="44"/>
      <c r="AH9" s="251"/>
      <c r="AI9" s="251"/>
      <c r="AJ9" s="251"/>
      <c r="AL9" s="1254"/>
      <c r="AM9" s="1255"/>
      <c r="AN9" s="1255"/>
      <c r="AO9" s="1255"/>
      <c r="AP9" s="1255"/>
      <c r="AQ9" s="1255"/>
      <c r="AR9" s="1255"/>
      <c r="AS9" s="1255"/>
      <c r="AT9" s="1255"/>
      <c r="AU9" s="1086"/>
      <c r="AV9" s="1086"/>
      <c r="AW9" s="214"/>
      <c r="AX9" s="214"/>
    </row>
    <row r="10" spans="1:50" ht="16.5" customHeight="1" thickBot="1">
      <c r="A10" s="752" t="s">
        <v>224</v>
      </c>
      <c r="B10" s="785">
        <v>0.86599999999999999</v>
      </c>
      <c r="C10" s="793">
        <v>1.5</v>
      </c>
      <c r="D10" s="801"/>
      <c r="E10" s="802"/>
      <c r="F10" s="802"/>
      <c r="G10" s="802"/>
      <c r="H10" s="802"/>
      <c r="I10" s="803"/>
      <c r="J10" s="742"/>
      <c r="K10" s="42">
        <v>3</v>
      </c>
      <c r="L10" s="12"/>
      <c r="M10" s="12"/>
      <c r="N10" s="12"/>
      <c r="O10" s="12" t="s">
        <v>7</v>
      </c>
      <c r="P10" s="13">
        <v>36720000</v>
      </c>
      <c r="Q10" s="13">
        <v>17408270</v>
      </c>
      <c r="R10" s="13">
        <v>19311730</v>
      </c>
      <c r="S10" s="218"/>
      <c r="T10" s="42"/>
      <c r="U10" s="12"/>
      <c r="V10" s="12"/>
      <c r="W10" s="45"/>
      <c r="X10" s="12"/>
      <c r="Y10" s="252"/>
      <c r="Z10" s="252"/>
      <c r="AA10" s="252"/>
      <c r="AB10" s="218"/>
      <c r="AC10" s="42"/>
      <c r="AD10" s="12"/>
      <c r="AE10" s="12"/>
      <c r="AF10" s="45"/>
      <c r="AG10" s="12"/>
      <c r="AH10" s="252"/>
      <c r="AI10" s="252"/>
      <c r="AJ10" s="252"/>
      <c r="AL10" s="1106"/>
      <c r="AM10" s="1107"/>
      <c r="AN10" s="1107"/>
      <c r="AO10" s="1108"/>
      <c r="AP10" s="1109"/>
      <c r="AQ10" s="1110"/>
      <c r="AR10" s="1107"/>
      <c r="AS10" s="1108"/>
      <c r="AT10" s="1109"/>
      <c r="AU10" s="1109"/>
      <c r="AV10" s="1109"/>
      <c r="AW10" s="1111"/>
      <c r="AX10" s="1112"/>
    </row>
    <row r="11" spans="1:50" ht="16.5" customHeight="1">
      <c r="A11" s="752" t="s">
        <v>226</v>
      </c>
      <c r="B11" s="785">
        <v>0.501</v>
      </c>
      <c r="C11" s="793">
        <v>2</v>
      </c>
      <c r="D11" s="801"/>
      <c r="E11" s="802"/>
      <c r="F11" s="802"/>
      <c r="G11" s="802"/>
      <c r="H11" s="802"/>
      <c r="I11" s="803"/>
      <c r="J11" s="743"/>
      <c r="K11" s="41">
        <v>4</v>
      </c>
      <c r="L11" s="10"/>
      <c r="M11" s="10"/>
      <c r="N11" s="10" t="s">
        <v>7</v>
      </c>
      <c r="O11" s="44" t="s">
        <v>825</v>
      </c>
      <c r="P11" s="251">
        <v>36720000</v>
      </c>
      <c r="Q11" s="251">
        <v>17408270</v>
      </c>
      <c r="R11" s="251">
        <v>19311730</v>
      </c>
      <c r="S11" s="218"/>
      <c r="T11" s="41"/>
      <c r="U11" s="10"/>
      <c r="V11" s="44"/>
      <c r="W11" s="10"/>
      <c r="X11" s="10"/>
      <c r="Y11" s="251"/>
      <c r="Z11" s="251"/>
      <c r="AA11" s="251"/>
      <c r="AB11" s="218"/>
      <c r="AC11" s="41"/>
      <c r="AD11" s="10"/>
      <c r="AE11" s="44"/>
      <c r="AF11" s="10"/>
      <c r="AG11" s="10"/>
      <c r="AH11" s="251"/>
      <c r="AI11" s="251"/>
      <c r="AJ11" s="251"/>
      <c r="AL11" s="1114"/>
      <c r="AM11" s="1115"/>
      <c r="AN11" s="1116"/>
      <c r="AO11" s="1117"/>
      <c r="AP11" s="1118"/>
      <c r="AQ11" s="1119"/>
      <c r="AR11" s="1120"/>
      <c r="AS11" s="1121"/>
      <c r="AT11" s="1122"/>
      <c r="AU11" s="1123"/>
      <c r="AV11" s="1124"/>
      <c r="AW11" s="1125"/>
      <c r="AX11" s="1126"/>
    </row>
    <row r="12" spans="1:50" ht="16.5" customHeight="1" thickBot="1">
      <c r="A12" s="753" t="s">
        <v>228</v>
      </c>
      <c r="B12" s="804">
        <v>0.60899999999999999</v>
      </c>
      <c r="C12" s="805">
        <v>1.5</v>
      </c>
      <c r="D12" s="775"/>
      <c r="E12" s="776"/>
      <c r="F12" s="776"/>
      <c r="G12" s="776"/>
      <c r="H12" s="776"/>
      <c r="I12" s="777"/>
      <c r="J12" s="743"/>
      <c r="K12" s="42">
        <v>5</v>
      </c>
      <c r="L12" s="12"/>
      <c r="M12" s="12"/>
      <c r="N12" s="12"/>
      <c r="O12" s="12" t="s">
        <v>10</v>
      </c>
      <c r="P12" s="13">
        <v>1800000</v>
      </c>
      <c r="Q12" s="13">
        <v>0</v>
      </c>
      <c r="R12" s="13">
        <v>1800000</v>
      </c>
      <c r="S12" s="218"/>
      <c r="T12" s="42"/>
      <c r="U12" s="12"/>
      <c r="V12" s="12"/>
      <c r="W12" s="12"/>
      <c r="X12" s="12"/>
      <c r="Y12" s="13"/>
      <c r="Z12" s="13"/>
      <c r="AA12" s="13"/>
      <c r="AB12" s="218"/>
      <c r="AC12" s="42"/>
      <c r="AD12" s="12"/>
      <c r="AE12" s="12"/>
      <c r="AF12" s="12"/>
      <c r="AG12" s="12"/>
      <c r="AH12" s="13"/>
      <c r="AI12" s="13"/>
      <c r="AJ12" s="13"/>
      <c r="AL12" s="1128"/>
      <c r="AM12" s="1129"/>
      <c r="AN12" s="1130"/>
      <c r="AO12" s="1131"/>
      <c r="AP12" s="1118"/>
      <c r="AQ12" s="1132"/>
      <c r="AR12" s="1120"/>
      <c r="AS12" s="1121"/>
      <c r="AT12" s="1122"/>
      <c r="AU12" s="1123"/>
      <c r="AV12" s="1124"/>
      <c r="AW12" s="1133"/>
      <c r="AX12" s="1134"/>
    </row>
    <row r="13" spans="1:50" ht="16.5" customHeight="1" thickBot="1">
      <c r="A13" s="921" t="s">
        <v>747</v>
      </c>
      <c r="B13" s="922">
        <v>4250</v>
      </c>
      <c r="C13" s="806" t="s">
        <v>680</v>
      </c>
      <c r="D13" s="807"/>
      <c r="E13" s="807"/>
      <c r="F13" s="807"/>
      <c r="G13" s="807"/>
      <c r="H13" s="807"/>
      <c r="I13" s="808"/>
      <c r="J13" s="744"/>
      <c r="K13" s="41">
        <v>6</v>
      </c>
      <c r="L13" s="10"/>
      <c r="M13" s="10"/>
      <c r="N13" s="10" t="s">
        <v>10</v>
      </c>
      <c r="O13" s="44" t="s">
        <v>825</v>
      </c>
      <c r="P13" s="251">
        <v>1800000</v>
      </c>
      <c r="Q13" s="251">
        <v>0</v>
      </c>
      <c r="R13" s="251">
        <v>1800000</v>
      </c>
      <c r="S13" s="218"/>
      <c r="T13" s="41"/>
      <c r="U13" s="10"/>
      <c r="V13" s="10"/>
      <c r="W13" s="10"/>
      <c r="X13" s="44"/>
      <c r="Y13" s="251"/>
      <c r="Z13" s="251"/>
      <c r="AA13" s="251"/>
      <c r="AB13" s="218"/>
      <c r="AC13" s="41"/>
      <c r="AD13" s="10"/>
      <c r="AE13" s="10"/>
      <c r="AF13" s="10"/>
      <c r="AG13" s="44"/>
      <c r="AH13" s="251"/>
      <c r="AI13" s="251"/>
      <c r="AJ13" s="251"/>
      <c r="AL13" s="1128"/>
      <c r="AM13" s="1129"/>
      <c r="AN13" s="1130"/>
      <c r="AO13" s="1131"/>
      <c r="AP13" s="1118"/>
      <c r="AQ13" s="1132"/>
      <c r="AR13" s="1120"/>
      <c r="AS13" s="1121"/>
      <c r="AT13" s="1122"/>
      <c r="AU13" s="1123"/>
      <c r="AV13" s="1124"/>
      <c r="AW13" s="1133"/>
      <c r="AX13" s="1134"/>
    </row>
    <row r="14" spans="1:50" ht="17.25" customHeight="1" thickBot="1">
      <c r="A14" s="801"/>
      <c r="B14" s="803"/>
      <c r="C14" s="809" t="s">
        <v>13</v>
      </c>
      <c r="D14" s="810"/>
      <c r="E14" s="811" t="s">
        <v>15</v>
      </c>
      <c r="F14" s="810"/>
      <c r="G14" s="811" t="s">
        <v>38</v>
      </c>
      <c r="H14" s="812"/>
      <c r="I14" s="813" t="s">
        <v>681</v>
      </c>
      <c r="J14" s="745"/>
      <c r="K14" s="42">
        <v>7</v>
      </c>
      <c r="L14" s="12"/>
      <c r="M14" s="12" t="s">
        <v>4</v>
      </c>
      <c r="N14" s="45" t="s">
        <v>825</v>
      </c>
      <c r="O14" s="12"/>
      <c r="P14" s="252">
        <v>72577584</v>
      </c>
      <c r="Q14" s="252">
        <v>30809390</v>
      </c>
      <c r="R14" s="252">
        <v>41768194</v>
      </c>
      <c r="S14" s="218"/>
      <c r="T14" s="42"/>
      <c r="U14" s="12"/>
      <c r="V14" s="12"/>
      <c r="W14" s="45"/>
      <c r="X14" s="12"/>
      <c r="Y14" s="252"/>
      <c r="Z14" s="252"/>
      <c r="AA14" s="252"/>
      <c r="AB14" s="218"/>
      <c r="AC14" s="42"/>
      <c r="AD14" s="12"/>
      <c r="AE14" s="12"/>
      <c r="AF14" s="45"/>
      <c r="AG14" s="12"/>
      <c r="AH14" s="252"/>
      <c r="AI14" s="252"/>
      <c r="AJ14" s="252"/>
      <c r="AL14" s="1128"/>
      <c r="AM14" s="1129"/>
      <c r="AN14" s="1130"/>
      <c r="AO14" s="1131"/>
      <c r="AP14" s="1118"/>
      <c r="AQ14" s="1132"/>
      <c r="AR14" s="1120"/>
      <c r="AS14" s="1121"/>
      <c r="AT14" s="1122"/>
      <c r="AU14" s="1123"/>
      <c r="AV14" s="1124"/>
      <c r="AW14" s="1133"/>
      <c r="AX14" s="1134"/>
    </row>
    <row r="15" spans="1:50" ht="22.5">
      <c r="A15" s="801"/>
      <c r="B15" s="803"/>
      <c r="C15" s="814" t="s">
        <v>13</v>
      </c>
      <c r="D15" s="815"/>
      <c r="E15" s="816" t="s">
        <v>15</v>
      </c>
      <c r="F15" s="815"/>
      <c r="G15" s="817" t="s">
        <v>38</v>
      </c>
      <c r="H15" s="815"/>
      <c r="I15" s="818"/>
      <c r="J15" s="746"/>
      <c r="K15" s="41">
        <v>8</v>
      </c>
      <c r="L15" s="10" t="s">
        <v>298</v>
      </c>
      <c r="M15" s="44" t="s">
        <v>825</v>
      </c>
      <c r="N15" s="10"/>
      <c r="O15" s="10"/>
      <c r="P15" s="251">
        <v>72577584</v>
      </c>
      <c r="Q15" s="251">
        <v>30809390</v>
      </c>
      <c r="R15" s="251">
        <v>41768194</v>
      </c>
      <c r="S15" s="218"/>
      <c r="T15" s="41"/>
      <c r="U15" s="10"/>
      <c r="V15" s="44"/>
      <c r="W15" s="10"/>
      <c r="X15" s="10"/>
      <c r="Y15" s="251"/>
      <c r="Z15" s="251"/>
      <c r="AA15" s="251"/>
      <c r="AB15" s="218"/>
      <c r="AC15" s="41"/>
      <c r="AD15" s="10"/>
      <c r="AE15" s="44"/>
      <c r="AF15" s="10"/>
      <c r="AG15" s="10"/>
      <c r="AH15" s="251"/>
      <c r="AI15" s="251"/>
      <c r="AJ15" s="251"/>
      <c r="AL15" s="1128"/>
      <c r="AM15" s="1129"/>
      <c r="AN15" s="1130"/>
      <c r="AO15" s="1131"/>
      <c r="AP15" s="1118"/>
      <c r="AQ15" s="1132"/>
      <c r="AR15" s="1120"/>
      <c r="AS15" s="1121"/>
      <c r="AT15" s="1122"/>
      <c r="AU15" s="1123"/>
      <c r="AV15" s="1124"/>
      <c r="AW15" s="1133"/>
      <c r="AX15" s="1134"/>
    </row>
    <row r="16" spans="1:50" ht="22.5">
      <c r="A16" s="801"/>
      <c r="B16" s="803"/>
      <c r="C16" s="819" t="s">
        <v>732</v>
      </c>
      <c r="D16" s="820">
        <v>0</v>
      </c>
      <c r="E16" s="819" t="s">
        <v>732</v>
      </c>
      <c r="F16" s="820">
        <v>0</v>
      </c>
      <c r="G16" s="817" t="s">
        <v>749</v>
      </c>
      <c r="H16" s="820">
        <v>500000</v>
      </c>
      <c r="I16" s="821">
        <v>12</v>
      </c>
      <c r="J16" s="746"/>
      <c r="K16" s="42">
        <v>9</v>
      </c>
      <c r="L16" s="12"/>
      <c r="M16" s="12"/>
      <c r="N16" s="12"/>
      <c r="O16" s="12" t="s">
        <v>21</v>
      </c>
      <c r="P16" s="13">
        <v>192992976</v>
      </c>
      <c r="Q16" s="13">
        <v>113193310</v>
      </c>
      <c r="R16" s="13">
        <v>79799666</v>
      </c>
      <c r="S16" s="218"/>
      <c r="T16" s="42"/>
      <c r="U16" s="45"/>
      <c r="V16" s="12"/>
      <c r="W16" s="12"/>
      <c r="X16" s="12"/>
      <c r="Y16" s="252"/>
      <c r="Z16" s="252"/>
      <c r="AA16" s="252"/>
      <c r="AB16" s="218"/>
      <c r="AC16" s="42"/>
      <c r="AD16" s="12"/>
      <c r="AE16" s="12"/>
      <c r="AF16" s="12"/>
      <c r="AG16" s="12"/>
      <c r="AH16" s="13"/>
      <c r="AI16" s="13"/>
      <c r="AJ16" s="13"/>
      <c r="AL16" s="1128"/>
      <c r="AM16" s="1129"/>
      <c r="AN16" s="1130"/>
      <c r="AO16" s="1131"/>
      <c r="AP16" s="1118"/>
      <c r="AQ16" s="1119"/>
      <c r="AR16" s="1120"/>
      <c r="AS16" s="1121"/>
      <c r="AT16" s="1122"/>
      <c r="AU16" s="1123"/>
      <c r="AV16" s="1124"/>
      <c r="AW16" s="1133"/>
      <c r="AX16" s="1134"/>
    </row>
    <row r="17" spans="1:50" ht="17.25" thickBot="1">
      <c r="A17" s="801"/>
      <c r="B17" s="803"/>
      <c r="C17" s="819" t="s">
        <v>732</v>
      </c>
      <c r="D17" s="820">
        <v>0</v>
      </c>
      <c r="E17" s="819" t="s">
        <v>732</v>
      </c>
      <c r="F17" s="820">
        <v>0</v>
      </c>
      <c r="G17" s="817" t="s">
        <v>748</v>
      </c>
      <c r="H17" s="820">
        <v>200000</v>
      </c>
      <c r="I17" s="821">
        <v>12</v>
      </c>
      <c r="J17" s="746"/>
      <c r="K17" s="41">
        <v>10</v>
      </c>
      <c r="L17" s="10"/>
      <c r="M17" s="10"/>
      <c r="N17" s="10" t="s">
        <v>412</v>
      </c>
      <c r="O17" s="44" t="s">
        <v>825</v>
      </c>
      <c r="P17" s="251">
        <v>192992976</v>
      </c>
      <c r="Q17" s="251">
        <v>113193310</v>
      </c>
      <c r="R17" s="251">
        <v>79799666</v>
      </c>
      <c r="S17" s="218"/>
      <c r="T17" s="41"/>
      <c r="U17" s="10"/>
      <c r="V17" s="10"/>
      <c r="W17" s="10"/>
      <c r="X17" s="10"/>
      <c r="Y17" s="11"/>
      <c r="Z17" s="11"/>
      <c r="AA17" s="11"/>
      <c r="AB17" s="218"/>
      <c r="AC17" s="41"/>
      <c r="AD17" s="10"/>
      <c r="AE17" s="10"/>
      <c r="AF17" s="10"/>
      <c r="AG17" s="44"/>
      <c r="AH17" s="251"/>
      <c r="AI17" s="251"/>
      <c r="AJ17" s="251"/>
      <c r="AL17" s="1128"/>
      <c r="AM17" s="1129"/>
      <c r="AN17" s="1130"/>
      <c r="AO17" s="1131"/>
      <c r="AP17" s="1118"/>
      <c r="AQ17" s="1119"/>
      <c r="AR17" s="1120"/>
      <c r="AS17" s="1121"/>
      <c r="AT17" s="1122"/>
      <c r="AU17" s="1123"/>
      <c r="AV17" s="1124"/>
      <c r="AW17" s="1133"/>
      <c r="AX17" s="1134"/>
    </row>
    <row r="18" spans="1:50" ht="17.25" thickBot="1">
      <c r="A18" s="801"/>
      <c r="B18" s="803"/>
      <c r="C18" s="822" t="s">
        <v>16</v>
      </c>
      <c r="D18" s="823"/>
      <c r="E18" s="824" t="s">
        <v>17</v>
      </c>
      <c r="F18" s="823"/>
      <c r="G18" s="819" t="s">
        <v>732</v>
      </c>
      <c r="H18" s="820">
        <v>0</v>
      </c>
      <c r="I18" s="821">
        <v>12</v>
      </c>
      <c r="J18" s="746"/>
      <c r="K18" s="42">
        <v>11</v>
      </c>
      <c r="L18" s="12"/>
      <c r="M18" s="12"/>
      <c r="N18" s="12"/>
      <c r="O18" s="12" t="s">
        <v>23</v>
      </c>
      <c r="P18" s="13">
        <v>54000000</v>
      </c>
      <c r="Q18" s="13">
        <v>50398310</v>
      </c>
      <c r="R18" s="13">
        <v>3601690</v>
      </c>
      <c r="S18" s="218"/>
      <c r="T18" s="42"/>
      <c r="U18" s="12"/>
      <c r="V18" s="12"/>
      <c r="W18" s="12"/>
      <c r="X18" s="45"/>
      <c r="Y18" s="252"/>
      <c r="Z18" s="252"/>
      <c r="AA18" s="252"/>
      <c r="AB18" s="218"/>
      <c r="AC18" s="42"/>
      <c r="AD18" s="12"/>
      <c r="AE18" s="12"/>
      <c r="AF18" s="12"/>
      <c r="AG18" s="12"/>
      <c r="AH18" s="13"/>
      <c r="AI18" s="13"/>
      <c r="AJ18" s="13"/>
      <c r="AL18" s="1128"/>
      <c r="AM18" s="1129"/>
      <c r="AN18" s="1130"/>
      <c r="AO18" s="1131"/>
      <c r="AP18" s="1118"/>
      <c r="AQ18" s="1119"/>
      <c r="AR18" s="1120"/>
      <c r="AS18" s="1121"/>
      <c r="AT18" s="1122"/>
      <c r="AU18" s="1123"/>
      <c r="AV18" s="1124"/>
      <c r="AW18" s="1133"/>
      <c r="AX18" s="1134"/>
    </row>
    <row r="19" spans="1:50">
      <c r="A19" s="801"/>
      <c r="B19" s="803"/>
      <c r="C19" s="814" t="s">
        <v>16</v>
      </c>
      <c r="D19" s="815"/>
      <c r="E19" s="816" t="s">
        <v>17</v>
      </c>
      <c r="F19" s="815"/>
      <c r="G19" s="819" t="s">
        <v>732</v>
      </c>
      <c r="H19" s="820">
        <v>0</v>
      </c>
      <c r="I19" s="821">
        <v>12</v>
      </c>
      <c r="J19" s="746"/>
      <c r="K19" s="41">
        <v>12</v>
      </c>
      <c r="L19" s="10"/>
      <c r="M19" s="10"/>
      <c r="N19" s="10" t="s">
        <v>418</v>
      </c>
      <c r="O19" s="44" t="s">
        <v>825</v>
      </c>
      <c r="P19" s="251">
        <v>54000000</v>
      </c>
      <c r="Q19" s="251">
        <v>50398310</v>
      </c>
      <c r="R19" s="251">
        <v>3601690</v>
      </c>
      <c r="S19" s="218"/>
      <c r="T19" s="41"/>
      <c r="U19" s="10"/>
      <c r="V19" s="10"/>
      <c r="W19" s="44"/>
      <c r="X19" s="10"/>
      <c r="Y19" s="251"/>
      <c r="Z19" s="251"/>
      <c r="AA19" s="251"/>
      <c r="AB19" s="218"/>
      <c r="AC19" s="41"/>
      <c r="AD19" s="10"/>
      <c r="AE19" s="10"/>
      <c r="AF19" s="10"/>
      <c r="AG19" s="44"/>
      <c r="AH19" s="251"/>
      <c r="AI19" s="251"/>
      <c r="AJ19" s="251"/>
      <c r="AL19" s="1128"/>
      <c r="AM19" s="1129"/>
      <c r="AN19" s="1130"/>
      <c r="AO19" s="1131"/>
      <c r="AP19" s="1118"/>
      <c r="AQ19" s="1119"/>
      <c r="AR19" s="1120"/>
      <c r="AS19" s="1121"/>
      <c r="AT19" s="1122"/>
      <c r="AU19" s="1123"/>
      <c r="AV19" s="1124"/>
      <c r="AW19" s="1133"/>
      <c r="AX19" s="1134"/>
    </row>
    <row r="20" spans="1:50">
      <c r="A20" s="801"/>
      <c r="B20" s="803"/>
      <c r="C20" s="819" t="s">
        <v>732</v>
      </c>
      <c r="D20" s="820">
        <v>0</v>
      </c>
      <c r="E20" s="819" t="s">
        <v>732</v>
      </c>
      <c r="F20" s="820">
        <v>0</v>
      </c>
      <c r="G20" s="819" t="s">
        <v>732</v>
      </c>
      <c r="H20" s="820">
        <v>0</v>
      </c>
      <c r="I20" s="821">
        <v>12</v>
      </c>
      <c r="J20" s="746"/>
      <c r="K20" s="42">
        <v>13</v>
      </c>
      <c r="L20" s="12"/>
      <c r="M20" s="12" t="s">
        <v>317</v>
      </c>
      <c r="N20" s="45" t="s">
        <v>825</v>
      </c>
      <c r="O20" s="12"/>
      <c r="P20" s="252">
        <v>246992976</v>
      </c>
      <c r="Q20" s="252">
        <v>163591620</v>
      </c>
      <c r="R20" s="252">
        <v>83401356</v>
      </c>
      <c r="S20" s="218"/>
      <c r="T20" s="42"/>
      <c r="U20" s="12"/>
      <c r="V20" s="45"/>
      <c r="W20" s="12"/>
      <c r="X20" s="12"/>
      <c r="Y20" s="252"/>
      <c r="Z20" s="252"/>
      <c r="AA20" s="252"/>
      <c r="AB20" s="218"/>
      <c r="AC20" s="42"/>
      <c r="AD20" s="12"/>
      <c r="AE20" s="12"/>
      <c r="AF20" s="45"/>
      <c r="AG20" s="12"/>
      <c r="AH20" s="252"/>
      <c r="AI20" s="252"/>
      <c r="AJ20" s="252"/>
      <c r="AL20" s="1128"/>
      <c r="AM20" s="1129"/>
      <c r="AN20" s="1130"/>
      <c r="AO20" s="1131"/>
      <c r="AP20" s="1118"/>
      <c r="AQ20" s="1119"/>
      <c r="AR20" s="1120"/>
      <c r="AS20" s="1121"/>
      <c r="AT20" s="1122"/>
      <c r="AU20" s="1123"/>
      <c r="AV20" s="1124"/>
      <c r="AW20" s="1133"/>
      <c r="AX20" s="1134"/>
    </row>
    <row r="21" spans="1:50" ht="17.25" thickBot="1">
      <c r="A21" s="801"/>
      <c r="B21" s="803"/>
      <c r="C21" s="819" t="s">
        <v>732</v>
      </c>
      <c r="D21" s="820">
        <v>0</v>
      </c>
      <c r="E21" s="819" t="s">
        <v>732</v>
      </c>
      <c r="F21" s="820">
        <v>0</v>
      </c>
      <c r="G21" s="819" t="s">
        <v>732</v>
      </c>
      <c r="H21" s="820">
        <v>0</v>
      </c>
      <c r="I21" s="821">
        <v>12</v>
      </c>
      <c r="J21" s="746"/>
      <c r="K21" s="41">
        <v>14</v>
      </c>
      <c r="L21" s="10" t="s">
        <v>317</v>
      </c>
      <c r="M21" s="44" t="s">
        <v>825</v>
      </c>
      <c r="N21" s="10"/>
      <c r="O21" s="10"/>
      <c r="P21" s="251">
        <v>246992976</v>
      </c>
      <c r="Q21" s="251">
        <v>163591620</v>
      </c>
      <c r="R21" s="251">
        <v>83401356</v>
      </c>
      <c r="S21" s="218"/>
      <c r="T21" s="41"/>
      <c r="U21" s="10"/>
      <c r="V21" s="10"/>
      <c r="W21" s="10"/>
      <c r="X21" s="10"/>
      <c r="Y21" s="11"/>
      <c r="Z21" s="11"/>
      <c r="AA21" s="11"/>
      <c r="AB21" s="218"/>
      <c r="AC21" s="41"/>
      <c r="AD21" s="10"/>
      <c r="AE21" s="44"/>
      <c r="AF21" s="10"/>
      <c r="AG21" s="10"/>
      <c r="AH21" s="251"/>
      <c r="AI21" s="251"/>
      <c r="AJ21" s="251"/>
      <c r="AL21" s="1128"/>
      <c r="AM21" s="1129"/>
      <c r="AN21" s="1130"/>
      <c r="AO21" s="1131"/>
      <c r="AP21" s="1118"/>
      <c r="AQ21" s="1119"/>
      <c r="AR21" s="1120"/>
      <c r="AS21" s="1121"/>
      <c r="AT21" s="1122"/>
      <c r="AU21" s="1123"/>
      <c r="AV21" s="1124"/>
      <c r="AW21" s="1133"/>
      <c r="AX21" s="1134"/>
    </row>
    <row r="22" spans="1:50" ht="17.25" thickBot="1">
      <c r="A22" s="801"/>
      <c r="B22" s="776"/>
      <c r="C22" s="825"/>
      <c r="D22" s="825"/>
      <c r="E22" s="825"/>
      <c r="F22" s="825"/>
      <c r="G22" s="825"/>
      <c r="H22" s="825"/>
      <c r="I22" s="826"/>
      <c r="K22" s="42">
        <v>15</v>
      </c>
      <c r="L22" s="12"/>
      <c r="M22" s="12"/>
      <c r="N22" s="12"/>
      <c r="O22" s="12" t="s">
        <v>31</v>
      </c>
      <c r="P22" s="13">
        <v>24777480</v>
      </c>
      <c r="Q22" s="13">
        <v>24777480</v>
      </c>
      <c r="R22" s="13">
        <v>0</v>
      </c>
      <c r="S22" s="218"/>
      <c r="T22" s="42"/>
      <c r="U22" s="12"/>
      <c r="V22" s="12"/>
      <c r="W22" s="12"/>
      <c r="X22" s="45"/>
      <c r="Y22" s="252"/>
      <c r="Z22" s="252"/>
      <c r="AA22" s="252"/>
      <c r="AB22" s="218"/>
      <c r="AC22" s="42"/>
      <c r="AD22" s="45"/>
      <c r="AE22" s="12"/>
      <c r="AF22" s="12"/>
      <c r="AG22" s="12"/>
      <c r="AH22" s="252"/>
      <c r="AI22" s="252"/>
      <c r="AJ22" s="252"/>
      <c r="AL22" s="1128"/>
      <c r="AM22" s="1129"/>
      <c r="AN22" s="1130"/>
      <c r="AO22" s="1131"/>
      <c r="AP22" s="1118"/>
      <c r="AQ22" s="1119"/>
      <c r="AR22" s="1120"/>
      <c r="AS22" s="1121"/>
      <c r="AT22" s="1122"/>
      <c r="AU22" s="1123"/>
      <c r="AV22" s="1124"/>
      <c r="AW22" s="1133"/>
      <c r="AX22" s="1134"/>
    </row>
    <row r="23" spans="1:50" ht="17.25" thickBot="1">
      <c r="A23" s="806" t="s">
        <v>682</v>
      </c>
      <c r="B23" s="807"/>
      <c r="C23" s="807"/>
      <c r="D23" s="807"/>
      <c r="E23" s="807"/>
      <c r="F23" s="807"/>
      <c r="G23" s="807"/>
      <c r="H23" s="807"/>
      <c r="I23" s="808"/>
      <c r="J23" s="744"/>
      <c r="K23" s="41">
        <v>16</v>
      </c>
      <c r="L23" s="10"/>
      <c r="M23" s="10"/>
      <c r="N23" s="10" t="s">
        <v>31</v>
      </c>
      <c r="O23" s="44" t="s">
        <v>825</v>
      </c>
      <c r="P23" s="251">
        <v>24777480</v>
      </c>
      <c r="Q23" s="251">
        <v>24777480</v>
      </c>
      <c r="R23" s="251">
        <v>0</v>
      </c>
      <c r="S23" s="218"/>
      <c r="T23" s="41"/>
      <c r="U23" s="10"/>
      <c r="V23" s="10"/>
      <c r="W23" s="44"/>
      <c r="X23" s="10"/>
      <c r="Y23" s="251"/>
      <c r="Z23" s="251"/>
      <c r="AA23" s="251"/>
      <c r="AB23" s="218"/>
      <c r="AC23" s="41"/>
      <c r="AD23" s="10"/>
      <c r="AE23" s="10"/>
      <c r="AF23" s="10"/>
      <c r="AG23" s="10"/>
      <c r="AH23" s="11"/>
      <c r="AI23" s="11"/>
      <c r="AJ23" s="11"/>
      <c r="AL23" s="1128"/>
      <c r="AM23" s="1129"/>
      <c r="AN23" s="1130"/>
      <c r="AO23" s="1131"/>
      <c r="AP23" s="1118"/>
      <c r="AQ23" s="1119"/>
      <c r="AR23" s="1120"/>
      <c r="AS23" s="1121"/>
      <c r="AT23" s="1122"/>
      <c r="AU23" s="1123"/>
      <c r="AV23" s="1124"/>
      <c r="AW23" s="1133"/>
      <c r="AX23" s="1134"/>
    </row>
    <row r="24" spans="1:50" ht="17.25" thickBot="1">
      <c r="A24" s="407" t="s">
        <v>51</v>
      </c>
      <c r="B24" s="878"/>
      <c r="C24" s="407" t="s">
        <v>52</v>
      </c>
      <c r="D24" s="878"/>
      <c r="E24" s="407" t="s">
        <v>53</v>
      </c>
      <c r="F24" s="878"/>
      <c r="G24" s="407" t="s">
        <v>50</v>
      </c>
      <c r="H24" s="635"/>
      <c r="I24" s="437"/>
      <c r="J24" s="745"/>
      <c r="K24" s="42">
        <v>17</v>
      </c>
      <c r="L24" s="12"/>
      <c r="M24" s="12" t="s">
        <v>327</v>
      </c>
      <c r="N24" s="45" t="s">
        <v>825</v>
      </c>
      <c r="O24" s="12"/>
      <c r="P24" s="252">
        <v>24777480</v>
      </c>
      <c r="Q24" s="252">
        <v>24777480</v>
      </c>
      <c r="R24" s="252">
        <v>0</v>
      </c>
      <c r="S24" s="218"/>
      <c r="T24" s="42"/>
      <c r="U24" s="12"/>
      <c r="V24" s="45"/>
      <c r="W24" s="12"/>
      <c r="X24" s="12"/>
      <c r="Y24" s="252"/>
      <c r="Z24" s="252"/>
      <c r="AA24" s="252"/>
      <c r="AB24" s="218"/>
      <c r="AC24" s="42"/>
      <c r="AD24" s="12"/>
      <c r="AE24" s="12"/>
      <c r="AF24" s="12"/>
      <c r="AG24" s="12"/>
      <c r="AH24" s="13"/>
      <c r="AI24" s="13"/>
      <c r="AJ24" s="13"/>
      <c r="AL24" s="1128"/>
      <c r="AM24" s="1129"/>
      <c r="AN24" s="1130"/>
      <c r="AO24" s="1131"/>
      <c r="AP24" s="1118"/>
      <c r="AQ24" s="1119"/>
      <c r="AR24" s="1120"/>
      <c r="AS24" s="1121"/>
      <c r="AT24" s="1122"/>
      <c r="AU24" s="1123"/>
      <c r="AV24" s="1124"/>
      <c r="AW24" s="1133"/>
      <c r="AX24" s="1134"/>
    </row>
    <row r="25" spans="1:50">
      <c r="A25" s="1073" t="s">
        <v>51</v>
      </c>
      <c r="B25" s="1074"/>
      <c r="C25" s="1075" t="s">
        <v>52</v>
      </c>
      <c r="D25" s="1074"/>
      <c r="E25" s="1075" t="s">
        <v>53</v>
      </c>
      <c r="F25" s="879"/>
      <c r="G25" s="1078" t="s">
        <v>742</v>
      </c>
      <c r="H25" s="886"/>
      <c r="I25" s="1079">
        <v>12</v>
      </c>
      <c r="J25" s="746"/>
      <c r="K25" s="41">
        <v>18</v>
      </c>
      <c r="L25" s="10" t="s">
        <v>327</v>
      </c>
      <c r="M25" s="44" t="s">
        <v>825</v>
      </c>
      <c r="N25" s="10"/>
      <c r="O25" s="10"/>
      <c r="P25" s="251">
        <v>24777480</v>
      </c>
      <c r="Q25" s="251">
        <v>24777480</v>
      </c>
      <c r="R25" s="251">
        <v>0</v>
      </c>
      <c r="S25" s="218"/>
      <c r="T25" s="41"/>
      <c r="U25" s="44"/>
      <c r="V25" s="10"/>
      <c r="W25" s="10"/>
      <c r="X25" s="10"/>
      <c r="Y25" s="251"/>
      <c r="Z25" s="251"/>
      <c r="AA25" s="251"/>
      <c r="AB25" s="218"/>
      <c r="AC25" s="41"/>
      <c r="AD25" s="10"/>
      <c r="AE25" s="10"/>
      <c r="AF25" s="10"/>
      <c r="AG25" s="44"/>
      <c r="AH25" s="251"/>
      <c r="AI25" s="251"/>
      <c r="AJ25" s="251"/>
      <c r="AL25" s="1128"/>
      <c r="AM25" s="1129"/>
      <c r="AN25" s="1130"/>
      <c r="AO25" s="1131"/>
      <c r="AP25" s="1118"/>
      <c r="AQ25" s="1119"/>
      <c r="AR25" s="1120"/>
      <c r="AS25" s="1121"/>
      <c r="AT25" s="1122"/>
      <c r="AU25" s="1123"/>
      <c r="AV25" s="1124"/>
      <c r="AW25" s="1133"/>
      <c r="AX25" s="1134"/>
    </row>
    <row r="26" spans="1:50">
      <c r="A26" s="1080" t="s">
        <v>732</v>
      </c>
      <c r="B26" s="880">
        <v>0</v>
      </c>
      <c r="C26" s="819" t="s">
        <v>732</v>
      </c>
      <c r="D26" s="880">
        <v>0</v>
      </c>
      <c r="E26" s="819" t="s">
        <v>732</v>
      </c>
      <c r="F26" s="880">
        <v>0</v>
      </c>
      <c r="G26" s="1072" t="s">
        <v>737</v>
      </c>
      <c r="H26" s="880">
        <v>100000</v>
      </c>
      <c r="I26" s="821">
        <v>12</v>
      </c>
      <c r="J26" s="746"/>
      <c r="K26" s="42">
        <v>19</v>
      </c>
      <c r="L26" s="12"/>
      <c r="M26" s="12"/>
      <c r="N26" s="12"/>
      <c r="O26" s="12" t="s">
        <v>36</v>
      </c>
      <c r="P26" s="13">
        <v>20000</v>
      </c>
      <c r="Q26" s="13">
        <v>7242</v>
      </c>
      <c r="R26" s="13">
        <v>12758</v>
      </c>
      <c r="S26" s="218"/>
      <c r="T26" s="42"/>
      <c r="U26" s="12"/>
      <c r="V26" s="12"/>
      <c r="W26" s="12"/>
      <c r="X26" s="12"/>
      <c r="Y26" s="13"/>
      <c r="Z26" s="13"/>
      <c r="AA26" s="13"/>
      <c r="AB26" s="218"/>
      <c r="AC26" s="42"/>
      <c r="AD26" s="12"/>
      <c r="AE26" s="12"/>
      <c r="AF26" s="12"/>
      <c r="AG26" s="12"/>
      <c r="AH26" s="13"/>
      <c r="AI26" s="13"/>
      <c r="AJ26" s="13"/>
      <c r="AL26" s="1128"/>
      <c r="AM26" s="1129"/>
      <c r="AN26" s="1130"/>
      <c r="AO26" s="1131"/>
      <c r="AP26" s="1118"/>
      <c r="AQ26" s="1119"/>
      <c r="AR26" s="1120"/>
      <c r="AS26" s="1121"/>
      <c r="AT26" s="1122"/>
      <c r="AU26" s="1123"/>
      <c r="AV26" s="1124"/>
      <c r="AW26" s="1133"/>
      <c r="AX26" s="1134"/>
    </row>
    <row r="27" spans="1:50">
      <c r="A27" s="1080" t="s">
        <v>732</v>
      </c>
      <c r="B27" s="880">
        <v>0</v>
      </c>
      <c r="C27" s="819" t="s">
        <v>732</v>
      </c>
      <c r="D27" s="880">
        <v>0</v>
      </c>
      <c r="E27" s="819" t="s">
        <v>732</v>
      </c>
      <c r="F27" s="880">
        <v>0</v>
      </c>
      <c r="G27" s="817" t="s">
        <v>753</v>
      </c>
      <c r="H27" s="880">
        <v>100000</v>
      </c>
      <c r="I27" s="821">
        <v>3</v>
      </c>
      <c r="J27" s="746"/>
      <c r="K27" s="41">
        <v>20</v>
      </c>
      <c r="L27" s="10"/>
      <c r="M27" s="10"/>
      <c r="N27" s="10" t="s">
        <v>36</v>
      </c>
      <c r="O27" s="44" t="s">
        <v>825</v>
      </c>
      <c r="P27" s="251">
        <v>20000</v>
      </c>
      <c r="Q27" s="251">
        <v>7242</v>
      </c>
      <c r="R27" s="251">
        <v>12758</v>
      </c>
      <c r="S27" s="218"/>
      <c r="T27" s="41"/>
      <c r="U27" s="10"/>
      <c r="V27" s="10"/>
      <c r="W27" s="10"/>
      <c r="X27" s="44"/>
      <c r="Y27" s="251"/>
      <c r="Z27" s="251"/>
      <c r="AA27" s="251"/>
      <c r="AB27" s="218"/>
      <c r="AC27" s="41"/>
      <c r="AD27" s="10"/>
      <c r="AE27" s="10"/>
      <c r="AF27" s="10"/>
      <c r="AG27" s="10"/>
      <c r="AH27" s="11"/>
      <c r="AI27" s="11"/>
      <c r="AJ27" s="11"/>
      <c r="AL27" s="1128"/>
      <c r="AM27" s="1129"/>
      <c r="AN27" s="1130"/>
      <c r="AO27" s="1131"/>
      <c r="AP27" s="1118"/>
      <c r="AQ27" s="1119"/>
      <c r="AR27" s="1120"/>
      <c r="AS27" s="1121"/>
      <c r="AT27" s="1122"/>
      <c r="AU27" s="1123"/>
      <c r="AV27" s="1124"/>
      <c r="AW27" s="1133"/>
      <c r="AX27" s="1134"/>
    </row>
    <row r="28" spans="1:50">
      <c r="A28" s="1080" t="s">
        <v>732</v>
      </c>
      <c r="B28" s="880">
        <v>0</v>
      </c>
      <c r="C28" s="819" t="s">
        <v>732</v>
      </c>
      <c r="D28" s="880">
        <v>0</v>
      </c>
      <c r="E28" s="819" t="s">
        <v>732</v>
      </c>
      <c r="F28" s="880">
        <v>0</v>
      </c>
      <c r="G28" s="819" t="s">
        <v>732</v>
      </c>
      <c r="H28" s="880">
        <v>0</v>
      </c>
      <c r="I28" s="821">
        <v>12</v>
      </c>
      <c r="J28" s="746"/>
      <c r="K28" s="42">
        <v>21</v>
      </c>
      <c r="L28" s="12"/>
      <c r="M28" s="12"/>
      <c r="N28" s="12"/>
      <c r="O28" s="12" t="s">
        <v>38</v>
      </c>
      <c r="P28" s="13">
        <v>9600000</v>
      </c>
      <c r="Q28" s="13">
        <v>3145905</v>
      </c>
      <c r="R28" s="13">
        <v>6454095</v>
      </c>
      <c r="S28" s="218"/>
      <c r="T28" s="42"/>
      <c r="U28" s="12"/>
      <c r="V28" s="12"/>
      <c r="W28" s="12"/>
      <c r="X28" s="12"/>
      <c r="Y28" s="13"/>
      <c r="Z28" s="13"/>
      <c r="AA28" s="13"/>
      <c r="AB28" s="218"/>
      <c r="AC28" s="42"/>
      <c r="AD28" s="12"/>
      <c r="AE28" s="12"/>
      <c r="AF28" s="12"/>
      <c r="AG28" s="45"/>
      <c r="AH28" s="252"/>
      <c r="AI28" s="252"/>
      <c r="AJ28" s="252"/>
      <c r="AL28" s="1128"/>
      <c r="AM28" s="1129"/>
      <c r="AN28" s="1130"/>
      <c r="AO28" s="1131"/>
      <c r="AP28" s="1118"/>
      <c r="AQ28" s="1119"/>
      <c r="AR28" s="1120"/>
      <c r="AS28" s="1121"/>
      <c r="AT28" s="1122"/>
      <c r="AU28" s="1123"/>
      <c r="AV28" s="1124"/>
      <c r="AW28" s="1133"/>
      <c r="AX28" s="1134"/>
    </row>
    <row r="29" spans="1:50">
      <c r="A29" s="1080" t="s">
        <v>732</v>
      </c>
      <c r="B29" s="880">
        <v>0</v>
      </c>
      <c r="C29" s="819" t="s">
        <v>732</v>
      </c>
      <c r="D29" s="880">
        <v>0</v>
      </c>
      <c r="E29" s="819" t="s">
        <v>732</v>
      </c>
      <c r="F29" s="880">
        <v>0</v>
      </c>
      <c r="G29" s="819" t="s">
        <v>732</v>
      </c>
      <c r="H29" s="880">
        <v>0</v>
      </c>
      <c r="I29" s="821">
        <v>12</v>
      </c>
      <c r="J29" s="746"/>
      <c r="K29" s="41">
        <v>22</v>
      </c>
      <c r="L29" s="10"/>
      <c r="M29" s="10"/>
      <c r="N29" s="10" t="s">
        <v>38</v>
      </c>
      <c r="O29" s="44" t="s">
        <v>825</v>
      </c>
      <c r="P29" s="251">
        <v>9600000</v>
      </c>
      <c r="Q29" s="251">
        <v>3145905</v>
      </c>
      <c r="R29" s="251">
        <v>6454095</v>
      </c>
      <c r="S29" s="218"/>
      <c r="T29" s="41"/>
      <c r="U29" s="10"/>
      <c r="V29" s="10"/>
      <c r="W29" s="10"/>
      <c r="X29" s="44"/>
      <c r="Y29" s="251"/>
      <c r="Z29" s="251"/>
      <c r="AA29" s="251"/>
      <c r="AB29" s="218"/>
      <c r="AC29" s="41"/>
      <c r="AD29" s="10"/>
      <c r="AE29" s="10"/>
      <c r="AF29" s="10"/>
      <c r="AG29" s="10"/>
      <c r="AH29" s="11"/>
      <c r="AI29" s="11"/>
      <c r="AJ29" s="11"/>
      <c r="AL29" s="1128"/>
      <c r="AM29" s="1129"/>
      <c r="AN29" s="1130"/>
      <c r="AO29" s="1131"/>
      <c r="AP29" s="1118"/>
      <c r="AQ29" s="1119"/>
      <c r="AR29" s="1120"/>
      <c r="AS29" s="1121"/>
      <c r="AT29" s="1122"/>
      <c r="AU29" s="1123"/>
      <c r="AV29" s="1124"/>
      <c r="AW29" s="1133"/>
      <c r="AX29" s="1134"/>
    </row>
    <row r="30" spans="1:50">
      <c r="A30" s="1080" t="s">
        <v>732</v>
      </c>
      <c r="B30" s="880">
        <v>0</v>
      </c>
      <c r="C30" s="819" t="s">
        <v>732</v>
      </c>
      <c r="D30" s="880">
        <v>0</v>
      </c>
      <c r="E30" s="819" t="s">
        <v>732</v>
      </c>
      <c r="F30" s="880">
        <v>0</v>
      </c>
      <c r="G30" s="819" t="s">
        <v>732</v>
      </c>
      <c r="H30" s="880">
        <v>0</v>
      </c>
      <c r="I30" s="821">
        <v>12</v>
      </c>
      <c r="J30" s="746"/>
      <c r="K30" s="42">
        <v>23</v>
      </c>
      <c r="L30" s="12"/>
      <c r="M30" s="12" t="s">
        <v>332</v>
      </c>
      <c r="N30" s="45" t="s">
        <v>825</v>
      </c>
      <c r="O30" s="12"/>
      <c r="P30" s="252">
        <v>9620000</v>
      </c>
      <c r="Q30" s="252">
        <v>3153147</v>
      </c>
      <c r="R30" s="252">
        <v>6466853</v>
      </c>
      <c r="S30" s="218"/>
      <c r="T30" s="42"/>
      <c r="U30" s="12"/>
      <c r="V30" s="12"/>
      <c r="W30" s="45"/>
      <c r="X30" s="12"/>
      <c r="Y30" s="252"/>
      <c r="Z30" s="252"/>
      <c r="AA30" s="252"/>
      <c r="AB30" s="218"/>
      <c r="AC30" s="42"/>
      <c r="AD30" s="12"/>
      <c r="AE30" s="12"/>
      <c r="AF30" s="12"/>
      <c r="AG30" s="12"/>
      <c r="AH30" s="13"/>
      <c r="AI30" s="13"/>
      <c r="AJ30" s="13"/>
      <c r="AL30" s="1128"/>
      <c r="AM30" s="1129"/>
      <c r="AN30" s="1130"/>
      <c r="AO30" s="1131"/>
      <c r="AP30" s="1118"/>
      <c r="AQ30" s="1119"/>
      <c r="AR30" s="1120"/>
      <c r="AS30" s="1121"/>
      <c r="AT30" s="1122"/>
      <c r="AU30" s="1123"/>
      <c r="AV30" s="1124"/>
      <c r="AW30" s="1133"/>
      <c r="AX30" s="1134"/>
    </row>
    <row r="31" spans="1:50" ht="17.25" thickBot="1">
      <c r="A31" s="1070" t="s">
        <v>732</v>
      </c>
      <c r="B31" s="881">
        <v>0</v>
      </c>
      <c r="C31" s="1081" t="s">
        <v>732</v>
      </c>
      <c r="D31" s="881">
        <v>0</v>
      </c>
      <c r="E31" s="1081" t="s">
        <v>732</v>
      </c>
      <c r="F31" s="881">
        <v>0</v>
      </c>
      <c r="G31" s="1081" t="s">
        <v>732</v>
      </c>
      <c r="H31" s="881">
        <v>0</v>
      </c>
      <c r="I31" s="1082">
        <v>12</v>
      </c>
      <c r="J31" s="746"/>
      <c r="K31" s="41">
        <v>24</v>
      </c>
      <c r="L31" s="10" t="s">
        <v>332</v>
      </c>
      <c r="M31" s="44" t="s">
        <v>825</v>
      </c>
      <c r="N31" s="10"/>
      <c r="O31" s="10"/>
      <c r="P31" s="251">
        <v>9620000</v>
      </c>
      <c r="Q31" s="251">
        <v>3153147</v>
      </c>
      <c r="R31" s="251">
        <v>6466853</v>
      </c>
      <c r="S31" s="218"/>
      <c r="T31" s="41"/>
      <c r="U31" s="10"/>
      <c r="V31" s="44"/>
      <c r="W31" s="10"/>
      <c r="X31" s="10"/>
      <c r="Y31" s="251"/>
      <c r="Z31" s="251"/>
      <c r="AA31" s="251"/>
      <c r="AB31" s="218"/>
      <c r="AC31" s="41"/>
      <c r="AD31" s="10"/>
      <c r="AE31" s="10"/>
      <c r="AF31" s="10"/>
      <c r="AG31" s="44"/>
      <c r="AH31" s="251"/>
      <c r="AI31" s="251"/>
      <c r="AJ31" s="251"/>
      <c r="AL31" s="1128"/>
      <c r="AM31" s="1129"/>
      <c r="AN31" s="1130"/>
      <c r="AO31" s="1131"/>
      <c r="AP31" s="1118"/>
      <c r="AQ31" s="1119"/>
      <c r="AR31" s="1120"/>
      <c r="AS31" s="1121"/>
      <c r="AT31" s="1122"/>
      <c r="AU31" s="1123"/>
      <c r="AV31" s="1124"/>
      <c r="AW31" s="1133"/>
      <c r="AX31" s="1134"/>
    </row>
    <row r="32" spans="1:50" ht="17.25" thickBot="1">
      <c r="A32" s="824" t="s">
        <v>54</v>
      </c>
      <c r="B32" s="823"/>
      <c r="C32" s="827" t="s">
        <v>683</v>
      </c>
      <c r="D32" s="828"/>
      <c r="E32" s="829">
        <v>0.55000000000000004</v>
      </c>
      <c r="F32" s="830"/>
      <c r="G32" s="824" t="s">
        <v>55</v>
      </c>
      <c r="H32" s="823"/>
      <c r="I32" s="831" t="s">
        <v>684</v>
      </c>
      <c r="J32" s="745"/>
      <c r="K32" s="42">
        <v>25</v>
      </c>
      <c r="L32" s="45" t="s">
        <v>826</v>
      </c>
      <c r="M32" s="12"/>
      <c r="N32" s="12"/>
      <c r="O32" s="12"/>
      <c r="P32" s="252">
        <v>353968040</v>
      </c>
      <c r="Q32" s="252">
        <v>222331637</v>
      </c>
      <c r="R32" s="252">
        <v>131636403</v>
      </c>
      <c r="S32" s="218"/>
      <c r="T32" s="42"/>
      <c r="U32" s="12"/>
      <c r="V32" s="12"/>
      <c r="W32" s="12"/>
      <c r="X32" s="12"/>
      <c r="Y32" s="13"/>
      <c r="Z32" s="13"/>
      <c r="AA32" s="13"/>
      <c r="AB32" s="218"/>
      <c r="AC32" s="42"/>
      <c r="AD32" s="12"/>
      <c r="AE32" s="12"/>
      <c r="AF32" s="45"/>
      <c r="AG32" s="12"/>
      <c r="AH32" s="252"/>
      <c r="AI32" s="252"/>
      <c r="AJ32" s="252"/>
      <c r="AL32" s="1128"/>
      <c r="AM32" s="1129"/>
      <c r="AN32" s="1130"/>
      <c r="AO32" s="1131"/>
      <c r="AP32" s="1118"/>
      <c r="AQ32" s="1119"/>
      <c r="AR32" s="1120"/>
      <c r="AS32" s="1121"/>
      <c r="AT32" s="1122"/>
      <c r="AU32" s="1123"/>
      <c r="AV32" s="1124"/>
      <c r="AW32" s="1133"/>
      <c r="AX32" s="1134"/>
    </row>
    <row r="33" spans="1:50" ht="17.25" thickBot="1">
      <c r="A33" s="465" t="s">
        <v>685</v>
      </c>
      <c r="B33" s="832"/>
      <c r="C33" s="833" t="s">
        <v>686</v>
      </c>
      <c r="D33" s="823"/>
      <c r="E33" s="824" t="s">
        <v>687</v>
      </c>
      <c r="F33" s="823"/>
      <c r="G33" s="3" t="s">
        <v>688</v>
      </c>
      <c r="H33" s="820"/>
      <c r="I33" s="821">
        <v>12</v>
      </c>
      <c r="J33" s="747"/>
      <c r="K33" s="41">
        <v>26</v>
      </c>
      <c r="L33" s="10"/>
      <c r="M33" s="10"/>
      <c r="N33" s="10"/>
      <c r="O33" s="10" t="s">
        <v>40</v>
      </c>
      <c r="P33" s="11">
        <v>118363524</v>
      </c>
      <c r="Q33" s="11">
        <v>52012168</v>
      </c>
      <c r="R33" s="11">
        <v>66351356</v>
      </c>
      <c r="S33" s="218"/>
      <c r="T33" s="41"/>
      <c r="U33" s="10"/>
      <c r="V33" s="10"/>
      <c r="W33" s="10"/>
      <c r="X33" s="44"/>
      <c r="Y33" s="251"/>
      <c r="Z33" s="251"/>
      <c r="AA33" s="251"/>
      <c r="AB33" s="218"/>
      <c r="AC33" s="41"/>
      <c r="AD33" s="10"/>
      <c r="AE33" s="10"/>
      <c r="AF33" s="10"/>
      <c r="AG33" s="10"/>
      <c r="AH33" s="11"/>
      <c r="AI33" s="11"/>
      <c r="AJ33" s="11"/>
      <c r="AL33" s="1128"/>
      <c r="AM33" s="1129"/>
      <c r="AN33" s="1130"/>
      <c r="AO33" s="1131"/>
      <c r="AP33" s="1118"/>
      <c r="AQ33" s="1119"/>
      <c r="AR33" s="1120"/>
      <c r="AS33" s="1121"/>
      <c r="AT33" s="1122"/>
      <c r="AU33" s="1123"/>
      <c r="AV33" s="1124"/>
      <c r="AW33" s="1133"/>
      <c r="AX33" s="1134"/>
    </row>
    <row r="34" spans="1:50">
      <c r="A34" s="734" t="s">
        <v>689</v>
      </c>
      <c r="B34" s="820">
        <v>80000</v>
      </c>
      <c r="C34" s="3" t="s">
        <v>686</v>
      </c>
      <c r="D34" s="820"/>
      <c r="E34" s="3" t="s">
        <v>690</v>
      </c>
      <c r="F34" s="820"/>
      <c r="G34" s="735" t="s">
        <v>691</v>
      </c>
      <c r="H34" s="820">
        <v>170000</v>
      </c>
      <c r="I34" s="821">
        <v>12</v>
      </c>
      <c r="J34" s="746"/>
      <c r="K34" s="42">
        <v>27</v>
      </c>
      <c r="L34" s="12"/>
      <c r="M34" s="12"/>
      <c r="N34" s="12"/>
      <c r="O34" s="12" t="s">
        <v>41</v>
      </c>
      <c r="P34" s="13">
        <v>56070000</v>
      </c>
      <c r="Q34" s="13">
        <v>34233894</v>
      </c>
      <c r="R34" s="13">
        <v>21836106</v>
      </c>
      <c r="S34" s="218"/>
      <c r="T34" s="42"/>
      <c r="U34" s="12"/>
      <c r="V34" s="12"/>
      <c r="W34" s="12"/>
      <c r="X34" s="12"/>
      <c r="Y34" s="13"/>
      <c r="Z34" s="13"/>
      <c r="AA34" s="13"/>
      <c r="AB34" s="218"/>
      <c r="AC34" s="42"/>
      <c r="AD34" s="12"/>
      <c r="AE34" s="12"/>
      <c r="AF34" s="12"/>
      <c r="AG34" s="45"/>
      <c r="AH34" s="252"/>
      <c r="AI34" s="252"/>
      <c r="AJ34" s="252"/>
      <c r="AL34" s="1128"/>
      <c r="AM34" s="1129"/>
      <c r="AN34" s="1130"/>
      <c r="AO34" s="1131"/>
      <c r="AP34" s="1118"/>
      <c r="AQ34" s="1119"/>
      <c r="AR34" s="1120"/>
      <c r="AS34" s="1121"/>
      <c r="AT34" s="1122"/>
      <c r="AU34" s="1123"/>
      <c r="AV34" s="1124"/>
      <c r="AW34" s="1133"/>
      <c r="AX34" s="1134"/>
    </row>
    <row r="35" spans="1:50">
      <c r="A35" s="734" t="s">
        <v>692</v>
      </c>
      <c r="B35" s="820">
        <v>50000</v>
      </c>
      <c r="C35" s="735" t="s">
        <v>693</v>
      </c>
      <c r="D35" s="820">
        <v>80000</v>
      </c>
      <c r="E35" s="735" t="s">
        <v>694</v>
      </c>
      <c r="F35" s="820">
        <v>170000</v>
      </c>
      <c r="G35" s="819" t="s">
        <v>732</v>
      </c>
      <c r="H35" s="820">
        <v>0</v>
      </c>
      <c r="I35" s="821">
        <v>12</v>
      </c>
      <c r="J35" s="746"/>
      <c r="K35" s="41">
        <v>28</v>
      </c>
      <c r="L35" s="10"/>
      <c r="M35" s="10"/>
      <c r="N35" s="10" t="s">
        <v>251</v>
      </c>
      <c r="O35" s="44" t="s">
        <v>825</v>
      </c>
      <c r="P35" s="251">
        <v>174433524</v>
      </c>
      <c r="Q35" s="251">
        <v>86246062</v>
      </c>
      <c r="R35" s="251">
        <v>88187462</v>
      </c>
      <c r="S35" s="218"/>
      <c r="T35" s="41"/>
      <c r="U35" s="10"/>
      <c r="V35" s="10"/>
      <c r="W35" s="10"/>
      <c r="X35" s="44"/>
      <c r="Y35" s="251"/>
      <c r="Z35" s="251"/>
      <c r="AA35" s="251"/>
      <c r="AB35" s="218"/>
      <c r="AC35" s="41"/>
      <c r="AD35" s="10"/>
      <c r="AE35" s="10"/>
      <c r="AF35" s="10"/>
      <c r="AG35" s="10"/>
      <c r="AH35" s="11"/>
      <c r="AI35" s="11"/>
      <c r="AJ35" s="11"/>
      <c r="AL35" s="1128"/>
      <c r="AM35" s="1129"/>
      <c r="AN35" s="1130"/>
      <c r="AO35" s="1131"/>
      <c r="AP35" s="1118"/>
      <c r="AQ35" s="1119"/>
      <c r="AR35" s="1120"/>
      <c r="AS35" s="1121"/>
      <c r="AT35" s="1122"/>
      <c r="AU35" s="1123"/>
      <c r="AV35" s="1124"/>
      <c r="AW35" s="1133"/>
      <c r="AX35" s="1134"/>
    </row>
    <row r="36" spans="1:50">
      <c r="A36" s="734" t="s">
        <v>695</v>
      </c>
      <c r="B36" s="820">
        <v>100000</v>
      </c>
      <c r="C36" s="735" t="s">
        <v>696</v>
      </c>
      <c r="D36" s="820">
        <v>300000</v>
      </c>
      <c r="E36" s="734" t="s">
        <v>697</v>
      </c>
      <c r="F36" s="820">
        <v>80000</v>
      </c>
      <c r="G36" s="819" t="s">
        <v>732</v>
      </c>
      <c r="H36" s="820">
        <v>0</v>
      </c>
      <c r="I36" s="821">
        <v>12</v>
      </c>
      <c r="J36" s="746"/>
      <c r="K36" s="42">
        <v>29</v>
      </c>
      <c r="L36" s="12"/>
      <c r="M36" s="12"/>
      <c r="N36" s="12"/>
      <c r="O36" s="12" t="s">
        <v>46</v>
      </c>
      <c r="P36" s="13">
        <v>9863640</v>
      </c>
      <c r="Q36" s="13">
        <v>6355921</v>
      </c>
      <c r="R36" s="13">
        <v>3507719</v>
      </c>
      <c r="S36" s="218"/>
      <c r="T36" s="42"/>
      <c r="U36" s="12"/>
      <c r="V36" s="12"/>
      <c r="W36" s="12"/>
      <c r="X36" s="12"/>
      <c r="Y36" s="13"/>
      <c r="Z36" s="13"/>
      <c r="AA36" s="13"/>
      <c r="AB36" s="218"/>
      <c r="AC36" s="42"/>
      <c r="AD36" s="12"/>
      <c r="AE36" s="12"/>
      <c r="AF36" s="12"/>
      <c r="AG36" s="45"/>
      <c r="AH36" s="252"/>
      <c r="AI36" s="252"/>
      <c r="AJ36" s="252"/>
      <c r="AL36" s="1128"/>
      <c r="AM36" s="1129"/>
      <c r="AN36" s="1130"/>
      <c r="AO36" s="1131"/>
      <c r="AP36" s="1118"/>
      <c r="AQ36" s="1119"/>
      <c r="AR36" s="1120"/>
      <c r="AS36" s="1121"/>
      <c r="AT36" s="1122"/>
      <c r="AU36" s="1123"/>
      <c r="AV36" s="1124"/>
      <c r="AW36" s="1133"/>
      <c r="AX36" s="1134"/>
    </row>
    <row r="37" spans="1:50">
      <c r="A37" s="819" t="s">
        <v>732</v>
      </c>
      <c r="B37" s="820">
        <v>0</v>
      </c>
      <c r="C37" s="819" t="s">
        <v>732</v>
      </c>
      <c r="D37" s="820">
        <v>0</v>
      </c>
      <c r="E37" s="819" t="s">
        <v>732</v>
      </c>
      <c r="F37" s="820">
        <v>0</v>
      </c>
      <c r="G37" s="819" t="s">
        <v>732</v>
      </c>
      <c r="H37" s="820">
        <v>0</v>
      </c>
      <c r="I37" s="821">
        <v>12</v>
      </c>
      <c r="J37" s="746"/>
      <c r="K37" s="41">
        <v>30</v>
      </c>
      <c r="L37" s="10"/>
      <c r="M37" s="10"/>
      <c r="N37" s="10"/>
      <c r="O37" s="10" t="s">
        <v>47</v>
      </c>
      <c r="P37" s="11">
        <v>4672500</v>
      </c>
      <c r="Q37" s="11">
        <v>1391696</v>
      </c>
      <c r="R37" s="11">
        <v>3280804</v>
      </c>
      <c r="S37" s="218"/>
      <c r="T37" s="41"/>
      <c r="U37" s="10"/>
      <c r="V37" s="10"/>
      <c r="W37" s="10"/>
      <c r="X37" s="10"/>
      <c r="Y37" s="11"/>
      <c r="Z37" s="11"/>
      <c r="AA37" s="11"/>
      <c r="AB37" s="218"/>
      <c r="AC37" s="41"/>
      <c r="AD37" s="10"/>
      <c r="AE37" s="10"/>
      <c r="AF37" s="10"/>
      <c r="AG37" s="10"/>
      <c r="AH37" s="11"/>
      <c r="AI37" s="11"/>
      <c r="AJ37" s="11"/>
      <c r="AL37" s="1128"/>
      <c r="AM37" s="1129"/>
      <c r="AN37" s="1130"/>
      <c r="AO37" s="1131"/>
      <c r="AP37" s="1118"/>
      <c r="AQ37" s="1119"/>
      <c r="AR37" s="1120"/>
      <c r="AS37" s="1121"/>
      <c r="AT37" s="1122"/>
      <c r="AU37" s="1123"/>
      <c r="AV37" s="1124"/>
      <c r="AW37" s="1133"/>
      <c r="AX37" s="1134"/>
    </row>
    <row r="38" spans="1:50">
      <c r="A38" s="819" t="s">
        <v>732</v>
      </c>
      <c r="B38" s="820">
        <v>0</v>
      </c>
      <c r="C38" s="819" t="s">
        <v>732</v>
      </c>
      <c r="D38" s="820">
        <v>0</v>
      </c>
      <c r="E38" s="819" t="s">
        <v>732</v>
      </c>
      <c r="F38" s="820">
        <v>0</v>
      </c>
      <c r="G38" s="819" t="s">
        <v>732</v>
      </c>
      <c r="H38" s="820">
        <v>0</v>
      </c>
      <c r="I38" s="821">
        <v>12</v>
      </c>
      <c r="J38" s="746"/>
      <c r="K38" s="42">
        <v>31</v>
      </c>
      <c r="L38" s="12"/>
      <c r="M38" s="12"/>
      <c r="N38" s="12" t="s">
        <v>437</v>
      </c>
      <c r="O38" s="45" t="s">
        <v>825</v>
      </c>
      <c r="P38" s="252">
        <v>14536140</v>
      </c>
      <c r="Q38" s="252">
        <v>7747617</v>
      </c>
      <c r="R38" s="252">
        <v>6788523</v>
      </c>
      <c r="S38" s="218"/>
      <c r="T38" s="42"/>
      <c r="U38" s="12"/>
      <c r="V38" s="12"/>
      <c r="W38" s="12"/>
      <c r="X38" s="45"/>
      <c r="Y38" s="252"/>
      <c r="Z38" s="252"/>
      <c r="AA38" s="252"/>
      <c r="AB38" s="218"/>
      <c r="AC38" s="42"/>
      <c r="AD38" s="12"/>
      <c r="AE38" s="12"/>
      <c r="AF38" s="12"/>
      <c r="AG38" s="45"/>
      <c r="AH38" s="252"/>
      <c r="AI38" s="252"/>
      <c r="AJ38" s="252"/>
      <c r="AL38" s="1128"/>
      <c r="AM38" s="1129"/>
      <c r="AN38" s="1130"/>
      <c r="AO38" s="1131"/>
      <c r="AP38" s="1118"/>
      <c r="AQ38" s="1119"/>
      <c r="AR38" s="1120"/>
      <c r="AS38" s="1121"/>
      <c r="AT38" s="1122"/>
      <c r="AU38" s="1123"/>
      <c r="AV38" s="1124"/>
      <c r="AW38" s="1133"/>
      <c r="AX38" s="1134"/>
    </row>
    <row r="39" spans="1:50" ht="17.25" thickBot="1">
      <c r="A39" s="819" t="s">
        <v>732</v>
      </c>
      <c r="B39" s="820">
        <v>0</v>
      </c>
      <c r="C39" s="819" t="s">
        <v>732</v>
      </c>
      <c r="D39" s="820">
        <v>0</v>
      </c>
      <c r="E39" s="819" t="s">
        <v>732</v>
      </c>
      <c r="F39" s="820">
        <v>0</v>
      </c>
      <c r="G39" s="819" t="s">
        <v>732</v>
      </c>
      <c r="H39" s="820">
        <v>0</v>
      </c>
      <c r="I39" s="821">
        <v>12</v>
      </c>
      <c r="J39" s="746"/>
      <c r="K39" s="41">
        <v>32</v>
      </c>
      <c r="L39" s="10"/>
      <c r="M39" s="10"/>
      <c r="N39" s="10"/>
      <c r="O39" s="10" t="s">
        <v>48</v>
      </c>
      <c r="P39" s="11">
        <v>12379779</v>
      </c>
      <c r="Q39" s="11">
        <v>8500510</v>
      </c>
      <c r="R39" s="11">
        <v>3879269</v>
      </c>
      <c r="S39" s="218"/>
      <c r="T39" s="41"/>
      <c r="U39" s="10"/>
      <c r="V39" s="10"/>
      <c r="W39" s="44"/>
      <c r="X39" s="10"/>
      <c r="Y39" s="251"/>
      <c r="Z39" s="251"/>
      <c r="AA39" s="251"/>
      <c r="AB39" s="218"/>
      <c r="AC39" s="41"/>
      <c r="AD39" s="10"/>
      <c r="AE39" s="10"/>
      <c r="AF39" s="10"/>
      <c r="AG39" s="10"/>
      <c r="AH39" s="11"/>
      <c r="AI39" s="11"/>
      <c r="AJ39" s="11"/>
      <c r="AL39" s="1128"/>
      <c r="AM39" s="1129"/>
      <c r="AN39" s="1130"/>
      <c r="AO39" s="1131"/>
      <c r="AP39" s="1118"/>
      <c r="AQ39" s="1119"/>
      <c r="AR39" s="1120"/>
      <c r="AS39" s="1121"/>
      <c r="AT39" s="1122"/>
      <c r="AU39" s="1123"/>
      <c r="AV39" s="1124"/>
      <c r="AW39" s="1133"/>
      <c r="AX39" s="1134"/>
    </row>
    <row r="40" spans="1:50" ht="17.25" thickBot="1">
      <c r="A40" s="827" t="s">
        <v>57</v>
      </c>
      <c r="B40" s="836"/>
      <c r="C40" s="831" t="s">
        <v>698</v>
      </c>
      <c r="D40" s="831" t="s">
        <v>684</v>
      </c>
      <c r="E40" s="824" t="s">
        <v>59</v>
      </c>
      <c r="F40" s="836"/>
      <c r="G40" s="824" t="s">
        <v>62</v>
      </c>
      <c r="H40" s="836"/>
      <c r="I40" s="831" t="s">
        <v>684</v>
      </c>
      <c r="J40" s="746"/>
      <c r="K40" s="42">
        <v>33</v>
      </c>
      <c r="L40" s="12"/>
      <c r="M40" s="12"/>
      <c r="N40" s="12"/>
      <c r="O40" s="12" t="s">
        <v>49</v>
      </c>
      <c r="P40" s="13">
        <v>5864430</v>
      </c>
      <c r="Q40" s="13">
        <v>3298050</v>
      </c>
      <c r="R40" s="13">
        <v>2566380</v>
      </c>
      <c r="S40" s="218"/>
      <c r="T40" s="42"/>
      <c r="U40" s="12"/>
      <c r="V40" s="45"/>
      <c r="W40" s="12"/>
      <c r="X40" s="12"/>
      <c r="Y40" s="252"/>
      <c r="Z40" s="252"/>
      <c r="AA40" s="252"/>
      <c r="AB40" s="218"/>
      <c r="AC40" s="42"/>
      <c r="AD40" s="12"/>
      <c r="AE40" s="12"/>
      <c r="AF40" s="12"/>
      <c r="AG40" s="45"/>
      <c r="AH40" s="252"/>
      <c r="AI40" s="252"/>
      <c r="AJ40" s="252"/>
      <c r="AL40" s="1128"/>
      <c r="AM40" s="1129"/>
      <c r="AN40" s="1130"/>
      <c r="AO40" s="1131"/>
      <c r="AP40" s="1118"/>
      <c r="AQ40" s="1119"/>
      <c r="AR40" s="1120"/>
      <c r="AS40" s="1121"/>
      <c r="AT40" s="1122"/>
      <c r="AU40" s="1123"/>
      <c r="AV40" s="1124"/>
      <c r="AW40" s="1133"/>
      <c r="AX40" s="1134"/>
    </row>
    <row r="41" spans="1:50">
      <c r="A41" s="736" t="s">
        <v>57</v>
      </c>
      <c r="B41" s="837"/>
      <c r="C41" s="838" t="s">
        <v>732</v>
      </c>
      <c r="D41" s="821">
        <v>12</v>
      </c>
      <c r="E41" s="3" t="s">
        <v>187</v>
      </c>
      <c r="F41" s="834"/>
      <c r="G41" s="466" t="s">
        <v>699</v>
      </c>
      <c r="H41" s="834"/>
      <c r="I41" s="821">
        <v>12</v>
      </c>
      <c r="J41" s="746"/>
      <c r="K41" s="41">
        <v>34</v>
      </c>
      <c r="L41" s="10"/>
      <c r="M41" s="10"/>
      <c r="N41" s="10" t="s">
        <v>438</v>
      </c>
      <c r="O41" s="44" t="s">
        <v>825</v>
      </c>
      <c r="P41" s="251">
        <v>18244209</v>
      </c>
      <c r="Q41" s="251">
        <v>11798560</v>
      </c>
      <c r="R41" s="251">
        <v>6445649</v>
      </c>
      <c r="S41" s="218"/>
      <c r="T41" s="41"/>
      <c r="U41" s="44"/>
      <c r="V41" s="10"/>
      <c r="W41" s="10"/>
      <c r="X41" s="10"/>
      <c r="Y41" s="251"/>
      <c r="Z41" s="251"/>
      <c r="AA41" s="251"/>
      <c r="AB41" s="218"/>
      <c r="AC41" s="41"/>
      <c r="AD41" s="10"/>
      <c r="AE41" s="10"/>
      <c r="AF41" s="44"/>
      <c r="AG41" s="10"/>
      <c r="AH41" s="251"/>
      <c r="AI41" s="251"/>
      <c r="AJ41" s="251"/>
      <c r="AL41" s="1128"/>
      <c r="AM41" s="1129"/>
      <c r="AN41" s="1130"/>
      <c r="AO41" s="1131"/>
      <c r="AP41" s="1118"/>
      <c r="AQ41" s="1119"/>
      <c r="AR41" s="1120"/>
      <c r="AS41" s="1121"/>
      <c r="AT41" s="1122"/>
      <c r="AU41" s="1123"/>
      <c r="AV41" s="1124"/>
      <c r="AW41" s="1133"/>
      <c r="AX41" s="1134"/>
    </row>
    <row r="42" spans="1:50">
      <c r="A42" s="734" t="s">
        <v>724</v>
      </c>
      <c r="B42" s="820">
        <v>50000</v>
      </c>
      <c r="C42" s="840">
        <v>1</v>
      </c>
      <c r="D42" s="821">
        <v>4</v>
      </c>
      <c r="E42" s="1077" t="s">
        <v>732</v>
      </c>
      <c r="F42" s="820">
        <v>0</v>
      </c>
      <c r="G42" s="734" t="s">
        <v>700</v>
      </c>
      <c r="H42" s="820">
        <v>50000</v>
      </c>
      <c r="I42" s="821">
        <v>12</v>
      </c>
      <c r="J42" s="746"/>
      <c r="K42" s="42">
        <v>35</v>
      </c>
      <c r="L42" s="12"/>
      <c r="M42" s="12" t="s">
        <v>39</v>
      </c>
      <c r="N42" s="45" t="s">
        <v>825</v>
      </c>
      <c r="O42" s="12"/>
      <c r="P42" s="252">
        <v>207213873</v>
      </c>
      <c r="Q42" s="252">
        <v>105792239</v>
      </c>
      <c r="R42" s="252">
        <v>101421634</v>
      </c>
      <c r="S42" s="218"/>
      <c r="T42" s="42"/>
      <c r="U42" s="12"/>
      <c r="V42" s="12"/>
      <c r="W42" s="12"/>
      <c r="X42" s="12"/>
      <c r="Y42" s="13"/>
      <c r="Z42" s="13"/>
      <c r="AA42" s="13"/>
      <c r="AB42" s="218"/>
      <c r="AC42" s="42"/>
      <c r="AD42" s="12"/>
      <c r="AE42" s="45"/>
      <c r="AF42" s="12"/>
      <c r="AG42" s="12"/>
      <c r="AH42" s="252"/>
      <c r="AI42" s="252"/>
      <c r="AJ42" s="252"/>
      <c r="AL42" s="1128"/>
      <c r="AM42" s="1129"/>
      <c r="AN42" s="1130"/>
      <c r="AO42" s="1131"/>
      <c r="AP42" s="1118"/>
      <c r="AQ42" s="1119"/>
      <c r="AR42" s="1120"/>
      <c r="AS42" s="1121"/>
      <c r="AT42" s="1122"/>
      <c r="AU42" s="1123"/>
      <c r="AV42" s="1124"/>
      <c r="AW42" s="1133"/>
      <c r="AX42" s="1134"/>
    </row>
    <row r="43" spans="1:50">
      <c r="A43" s="734" t="s">
        <v>725</v>
      </c>
      <c r="B43" s="820">
        <v>30000</v>
      </c>
      <c r="C43" s="840">
        <v>7</v>
      </c>
      <c r="D43" s="821">
        <v>2</v>
      </c>
      <c r="E43" s="819" t="s">
        <v>732</v>
      </c>
      <c r="F43" s="820">
        <v>0</v>
      </c>
      <c r="G43" s="735" t="s">
        <v>701</v>
      </c>
      <c r="H43" s="820">
        <v>50000</v>
      </c>
      <c r="I43" s="821">
        <v>12</v>
      </c>
      <c r="J43" s="745"/>
      <c r="K43" s="41">
        <v>36</v>
      </c>
      <c r="L43" s="10"/>
      <c r="M43" s="10"/>
      <c r="N43" s="10"/>
      <c r="O43" s="10" t="s">
        <v>50</v>
      </c>
      <c r="P43" s="11">
        <v>3600000</v>
      </c>
      <c r="Q43" s="11">
        <v>539700</v>
      </c>
      <c r="R43" s="11">
        <v>3060300</v>
      </c>
      <c r="S43" s="218"/>
      <c r="T43" s="41"/>
      <c r="U43" s="10"/>
      <c r="V43" s="10"/>
      <c r="W43" s="10"/>
      <c r="X43" s="10"/>
      <c r="Y43" s="11"/>
      <c r="Z43" s="11"/>
      <c r="AA43" s="11"/>
      <c r="AB43" s="218"/>
      <c r="AC43" s="41"/>
      <c r="AD43" s="10"/>
      <c r="AE43" s="10"/>
      <c r="AF43" s="10"/>
      <c r="AG43" s="10"/>
      <c r="AH43" s="11"/>
      <c r="AI43" s="11"/>
      <c r="AJ43" s="11"/>
      <c r="AL43" s="1128"/>
      <c r="AM43" s="1129"/>
      <c r="AN43" s="1130"/>
      <c r="AO43" s="1131"/>
      <c r="AP43" s="1118"/>
      <c r="AQ43" s="1119"/>
      <c r="AR43" s="1120"/>
      <c r="AS43" s="1121"/>
      <c r="AT43" s="1122"/>
      <c r="AU43" s="1123"/>
      <c r="AV43" s="1124"/>
      <c r="AW43" s="1133"/>
      <c r="AX43" s="1134"/>
    </row>
    <row r="44" spans="1:50">
      <c r="A44" s="734" t="s">
        <v>726</v>
      </c>
      <c r="B44" s="820">
        <v>50000</v>
      </c>
      <c r="C44" s="840" t="s">
        <v>732</v>
      </c>
      <c r="D44" s="821">
        <v>12</v>
      </c>
      <c r="E44" s="819" t="s">
        <v>732</v>
      </c>
      <c r="F44" s="820">
        <v>0</v>
      </c>
      <c r="G44" s="819" t="s">
        <v>732</v>
      </c>
      <c r="H44" s="820">
        <v>0</v>
      </c>
      <c r="I44" s="821">
        <v>12</v>
      </c>
      <c r="J44" s="747"/>
      <c r="K44" s="42">
        <v>37</v>
      </c>
      <c r="L44" s="12"/>
      <c r="M44" s="12"/>
      <c r="N44" s="12" t="s">
        <v>50</v>
      </c>
      <c r="O44" s="45" t="s">
        <v>825</v>
      </c>
      <c r="P44" s="252">
        <v>3600000</v>
      </c>
      <c r="Q44" s="252">
        <v>539700</v>
      </c>
      <c r="R44" s="252">
        <v>3060300</v>
      </c>
      <c r="S44" s="218"/>
      <c r="T44" s="42"/>
      <c r="U44" s="12"/>
      <c r="V44" s="12"/>
      <c r="W44" s="12"/>
      <c r="X44" s="45"/>
      <c r="Y44" s="252"/>
      <c r="Z44" s="252"/>
      <c r="AA44" s="252"/>
      <c r="AB44" s="218"/>
      <c r="AC44" s="42"/>
      <c r="AD44" s="12"/>
      <c r="AE44" s="12"/>
      <c r="AF44" s="12"/>
      <c r="AG44" s="45"/>
      <c r="AH44" s="252"/>
      <c r="AI44" s="252"/>
      <c r="AJ44" s="252"/>
      <c r="AL44" s="1128"/>
      <c r="AM44" s="1129"/>
      <c r="AN44" s="1130"/>
      <c r="AO44" s="1131"/>
      <c r="AP44" s="1118"/>
      <c r="AQ44" s="1119"/>
      <c r="AR44" s="1120"/>
      <c r="AS44" s="1121"/>
      <c r="AT44" s="1122"/>
      <c r="AU44" s="1123"/>
      <c r="AV44" s="1124"/>
      <c r="AW44" s="1133"/>
      <c r="AX44" s="1134"/>
    </row>
    <row r="45" spans="1:50">
      <c r="A45" s="734" t="s">
        <v>817</v>
      </c>
      <c r="B45" s="820">
        <v>100000</v>
      </c>
      <c r="C45" s="840" t="s">
        <v>732</v>
      </c>
      <c r="D45" s="821">
        <v>3</v>
      </c>
      <c r="E45" s="819" t="s">
        <v>732</v>
      </c>
      <c r="F45" s="820">
        <v>0</v>
      </c>
      <c r="G45" s="819" t="s">
        <v>732</v>
      </c>
      <c r="H45" s="820">
        <v>0</v>
      </c>
      <c r="I45" s="821">
        <v>12</v>
      </c>
      <c r="J45" s="746"/>
      <c r="K45" s="41">
        <v>38</v>
      </c>
      <c r="L45" s="10"/>
      <c r="M45" s="10"/>
      <c r="N45" s="10"/>
      <c r="O45" s="10" t="s">
        <v>51</v>
      </c>
      <c r="P45" s="11">
        <v>8400000</v>
      </c>
      <c r="Q45" s="11">
        <v>6300000</v>
      </c>
      <c r="R45" s="11">
        <v>2100000</v>
      </c>
      <c r="S45" s="218"/>
      <c r="T45" s="41"/>
      <c r="U45" s="10"/>
      <c r="V45" s="10"/>
      <c r="W45" s="10"/>
      <c r="X45" s="10"/>
      <c r="Y45" s="11"/>
      <c r="Z45" s="11"/>
      <c r="AA45" s="11"/>
      <c r="AB45" s="218"/>
      <c r="AC45" s="41"/>
      <c r="AD45" s="10"/>
      <c r="AE45" s="10"/>
      <c r="AF45" s="44"/>
      <c r="AG45" s="10"/>
      <c r="AH45" s="251"/>
      <c r="AI45" s="251"/>
      <c r="AJ45" s="251"/>
      <c r="AL45" s="1128"/>
      <c r="AM45" s="1129"/>
      <c r="AN45" s="1130"/>
      <c r="AO45" s="1131"/>
      <c r="AP45" s="1118"/>
      <c r="AQ45" s="1119"/>
      <c r="AR45" s="1120"/>
      <c r="AS45" s="1121"/>
      <c r="AT45" s="1122"/>
      <c r="AU45" s="1123"/>
      <c r="AV45" s="1124"/>
      <c r="AW45" s="1133"/>
      <c r="AX45" s="1134"/>
    </row>
    <row r="46" spans="1:50">
      <c r="A46" s="734" t="s">
        <v>818</v>
      </c>
      <c r="B46" s="820">
        <v>125000</v>
      </c>
      <c r="C46" s="840" t="s">
        <v>732</v>
      </c>
      <c r="D46" s="821">
        <v>12</v>
      </c>
      <c r="E46" s="819" t="s">
        <v>732</v>
      </c>
      <c r="F46" s="820">
        <v>0</v>
      </c>
      <c r="G46" s="819" t="s">
        <v>732</v>
      </c>
      <c r="H46" s="820">
        <v>0</v>
      </c>
      <c r="I46" s="821">
        <v>12</v>
      </c>
      <c r="J46" s="746"/>
      <c r="K46" s="42">
        <v>39</v>
      </c>
      <c r="L46" s="12"/>
      <c r="M46" s="12"/>
      <c r="N46" s="12" t="s">
        <v>51</v>
      </c>
      <c r="O46" s="45" t="s">
        <v>825</v>
      </c>
      <c r="P46" s="252">
        <v>8400000</v>
      </c>
      <c r="Q46" s="252">
        <v>6300000</v>
      </c>
      <c r="R46" s="252">
        <v>2100000</v>
      </c>
      <c r="S46" s="218"/>
      <c r="T46" s="42"/>
      <c r="U46" s="12"/>
      <c r="V46" s="12"/>
      <c r="W46" s="12"/>
      <c r="X46" s="12"/>
      <c r="Y46" s="13"/>
      <c r="Z46" s="13"/>
      <c r="AA46" s="13"/>
      <c r="AB46" s="218"/>
      <c r="AC46" s="42"/>
      <c r="AD46" s="12"/>
      <c r="AE46" s="45"/>
      <c r="AF46" s="12"/>
      <c r="AG46" s="12"/>
      <c r="AH46" s="252"/>
      <c r="AI46" s="252"/>
      <c r="AJ46" s="252"/>
      <c r="AL46" s="1128"/>
      <c r="AM46" s="1129"/>
      <c r="AN46" s="1130"/>
      <c r="AO46" s="1131"/>
      <c r="AP46" s="1118"/>
      <c r="AQ46" s="1119"/>
      <c r="AR46" s="1120"/>
      <c r="AS46" s="1121"/>
      <c r="AT46" s="1122"/>
      <c r="AU46" s="1123"/>
      <c r="AV46" s="1124"/>
      <c r="AW46" s="1133"/>
      <c r="AX46" s="1134"/>
    </row>
    <row r="47" spans="1:50">
      <c r="A47" s="734" t="s">
        <v>732</v>
      </c>
      <c r="B47" s="820">
        <v>0</v>
      </c>
      <c r="C47" s="840" t="s">
        <v>732</v>
      </c>
      <c r="D47" s="821">
        <v>12</v>
      </c>
      <c r="E47" s="819" t="s">
        <v>732</v>
      </c>
      <c r="F47" s="820">
        <v>0</v>
      </c>
      <c r="G47" s="819" t="s">
        <v>732</v>
      </c>
      <c r="H47" s="820">
        <v>0</v>
      </c>
      <c r="I47" s="821">
        <v>12</v>
      </c>
      <c r="J47" s="746"/>
      <c r="K47" s="41">
        <v>40</v>
      </c>
      <c r="L47" s="10"/>
      <c r="M47" s="10" t="s">
        <v>304</v>
      </c>
      <c r="N47" s="44" t="s">
        <v>825</v>
      </c>
      <c r="O47" s="10"/>
      <c r="P47" s="251">
        <v>12000000</v>
      </c>
      <c r="Q47" s="251">
        <v>6839700</v>
      </c>
      <c r="R47" s="251">
        <v>5160300</v>
      </c>
      <c r="S47" s="218"/>
      <c r="T47" s="41"/>
      <c r="U47" s="10"/>
      <c r="V47" s="10"/>
      <c r="W47" s="10"/>
      <c r="X47" s="44"/>
      <c r="Y47" s="251"/>
      <c r="Z47" s="251"/>
      <c r="AA47" s="251"/>
      <c r="AB47" s="218"/>
      <c r="AC47" s="41"/>
      <c r="AD47" s="10"/>
      <c r="AE47" s="10"/>
      <c r="AF47" s="10"/>
      <c r="AG47" s="10"/>
      <c r="AH47" s="11"/>
      <c r="AI47" s="11"/>
      <c r="AJ47" s="11"/>
      <c r="AL47" s="1128"/>
      <c r="AM47" s="1129"/>
      <c r="AN47" s="1130"/>
      <c r="AO47" s="1131"/>
      <c r="AP47" s="1118"/>
      <c r="AQ47" s="1119"/>
      <c r="AR47" s="1120"/>
      <c r="AS47" s="1121"/>
      <c r="AT47" s="1122"/>
      <c r="AU47" s="1123"/>
      <c r="AV47" s="1124"/>
      <c r="AW47" s="1133"/>
      <c r="AX47" s="1134"/>
    </row>
    <row r="48" spans="1:50">
      <c r="A48" s="819" t="s">
        <v>732</v>
      </c>
      <c r="B48" s="839">
        <v>0</v>
      </c>
      <c r="C48" s="840" t="s">
        <v>732</v>
      </c>
      <c r="D48" s="821">
        <v>12</v>
      </c>
      <c r="E48" s="819" t="s">
        <v>732</v>
      </c>
      <c r="F48" s="820">
        <v>0</v>
      </c>
      <c r="G48" s="819" t="s">
        <v>732</v>
      </c>
      <c r="H48" s="820">
        <v>0</v>
      </c>
      <c r="I48" s="821">
        <v>12</v>
      </c>
      <c r="J48" s="746"/>
      <c r="K48" s="42">
        <v>41</v>
      </c>
      <c r="L48" s="12"/>
      <c r="M48" s="12"/>
      <c r="N48" s="12"/>
      <c r="O48" s="12" t="s">
        <v>54</v>
      </c>
      <c r="P48" s="13">
        <v>4800000</v>
      </c>
      <c r="Q48" s="13">
        <v>4020980</v>
      </c>
      <c r="R48" s="13">
        <v>779020</v>
      </c>
      <c r="S48" s="218"/>
      <c r="T48" s="42"/>
      <c r="U48" s="12"/>
      <c r="V48" s="12"/>
      <c r="W48" s="12"/>
      <c r="X48" s="12"/>
      <c r="Y48" s="13"/>
      <c r="Z48" s="13"/>
      <c r="AA48" s="13"/>
      <c r="AB48" s="218"/>
      <c r="AC48" s="42"/>
      <c r="AD48" s="12"/>
      <c r="AE48" s="12"/>
      <c r="AF48" s="12"/>
      <c r="AG48" s="45"/>
      <c r="AH48" s="252"/>
      <c r="AI48" s="252"/>
      <c r="AJ48" s="252"/>
      <c r="AL48" s="1128"/>
      <c r="AM48" s="1129"/>
      <c r="AN48" s="1130"/>
      <c r="AO48" s="1131"/>
      <c r="AP48" s="1118"/>
      <c r="AQ48" s="1119"/>
      <c r="AR48" s="1120"/>
      <c r="AS48" s="1121"/>
      <c r="AT48" s="1122"/>
      <c r="AU48" s="1123"/>
      <c r="AV48" s="1124"/>
      <c r="AW48" s="1133"/>
      <c r="AX48" s="1134"/>
    </row>
    <row r="49" spans="1:50">
      <c r="A49" s="819" t="s">
        <v>732</v>
      </c>
      <c r="B49" s="839">
        <v>0</v>
      </c>
      <c r="C49" s="840" t="s">
        <v>732</v>
      </c>
      <c r="D49" s="821">
        <v>12</v>
      </c>
      <c r="E49" s="819" t="s">
        <v>732</v>
      </c>
      <c r="F49" s="820">
        <v>0</v>
      </c>
      <c r="G49" s="819" t="s">
        <v>732</v>
      </c>
      <c r="H49" s="820">
        <v>0</v>
      </c>
      <c r="I49" s="821">
        <v>12</v>
      </c>
      <c r="J49" s="746"/>
      <c r="K49" s="41">
        <v>42</v>
      </c>
      <c r="L49" s="10"/>
      <c r="M49" s="10"/>
      <c r="N49" s="10" t="s">
        <v>54</v>
      </c>
      <c r="O49" s="44" t="s">
        <v>825</v>
      </c>
      <c r="P49" s="251">
        <v>4800000</v>
      </c>
      <c r="Q49" s="251">
        <v>4020980</v>
      </c>
      <c r="R49" s="251">
        <v>779020</v>
      </c>
      <c r="S49" s="218"/>
      <c r="T49" s="41"/>
      <c r="U49" s="10"/>
      <c r="V49" s="10"/>
      <c r="W49" s="10"/>
      <c r="X49" s="10"/>
      <c r="Y49" s="11"/>
      <c r="Z49" s="11"/>
      <c r="AA49" s="11"/>
      <c r="AB49" s="218"/>
      <c r="AC49" s="41"/>
      <c r="AD49" s="10"/>
      <c r="AE49" s="10"/>
      <c r="AF49" s="10"/>
      <c r="AG49" s="10"/>
      <c r="AH49" s="11"/>
      <c r="AI49" s="11"/>
      <c r="AJ49" s="11"/>
      <c r="AL49" s="1128"/>
      <c r="AM49" s="1129"/>
      <c r="AN49" s="1130"/>
      <c r="AO49" s="1131"/>
      <c r="AP49" s="1118"/>
      <c r="AQ49" s="1119"/>
      <c r="AR49" s="1120"/>
      <c r="AS49" s="1121"/>
      <c r="AT49" s="1122"/>
      <c r="AU49" s="1123"/>
      <c r="AV49" s="1124"/>
      <c r="AW49" s="1133"/>
      <c r="AX49" s="1134"/>
    </row>
    <row r="50" spans="1:50" ht="17.25" thickBot="1">
      <c r="A50" s="819" t="s">
        <v>732</v>
      </c>
      <c r="B50" s="839">
        <v>0</v>
      </c>
      <c r="C50" s="840" t="s">
        <v>732</v>
      </c>
      <c r="D50" s="821">
        <v>12</v>
      </c>
      <c r="E50" s="819" t="s">
        <v>732</v>
      </c>
      <c r="F50" s="820">
        <v>0</v>
      </c>
      <c r="G50" s="819" t="s">
        <v>732</v>
      </c>
      <c r="H50" s="820">
        <v>0</v>
      </c>
      <c r="I50" s="821">
        <v>12</v>
      </c>
      <c r="J50" s="746"/>
      <c r="K50" s="42">
        <v>43</v>
      </c>
      <c r="L50" s="12"/>
      <c r="M50" s="12"/>
      <c r="N50" s="12"/>
      <c r="O50" s="12" t="s">
        <v>827</v>
      </c>
      <c r="P50" s="13">
        <v>9000000</v>
      </c>
      <c r="Q50" s="13">
        <v>4004367</v>
      </c>
      <c r="R50" s="13">
        <v>4995633</v>
      </c>
      <c r="S50" s="218"/>
      <c r="T50" s="42"/>
      <c r="U50" s="12"/>
      <c r="V50" s="12"/>
      <c r="W50" s="12"/>
      <c r="X50" s="45"/>
      <c r="Y50" s="252"/>
      <c r="Z50" s="252"/>
      <c r="AA50" s="252"/>
      <c r="AB50" s="218"/>
      <c r="AC50" s="42"/>
      <c r="AD50" s="12"/>
      <c r="AE50" s="12"/>
      <c r="AF50" s="12"/>
      <c r="AG50" s="45"/>
      <c r="AH50" s="252"/>
      <c r="AI50" s="252"/>
      <c r="AJ50" s="252"/>
      <c r="AL50" s="1128"/>
      <c r="AM50" s="1129"/>
      <c r="AN50" s="1130"/>
      <c r="AO50" s="1131"/>
      <c r="AP50" s="1118"/>
      <c r="AQ50" s="1119"/>
      <c r="AR50" s="1120"/>
      <c r="AS50" s="1121"/>
      <c r="AT50" s="1122"/>
      <c r="AU50" s="1123"/>
      <c r="AV50" s="1124"/>
      <c r="AW50" s="1133"/>
      <c r="AX50" s="1134"/>
    </row>
    <row r="51" spans="1:50" ht="17.25" thickBot="1">
      <c r="A51" s="827" t="s">
        <v>702</v>
      </c>
      <c r="B51" s="836"/>
      <c r="C51" s="831" t="s">
        <v>698</v>
      </c>
      <c r="D51" s="831" t="s">
        <v>684</v>
      </c>
      <c r="E51" s="824" t="s">
        <v>63</v>
      </c>
      <c r="F51" s="823"/>
      <c r="G51" s="824" t="s">
        <v>71</v>
      </c>
      <c r="H51" s="823"/>
      <c r="I51" s="831" t="s">
        <v>684</v>
      </c>
      <c r="J51" s="746"/>
      <c r="K51" s="41">
        <v>44</v>
      </c>
      <c r="L51" s="10"/>
      <c r="M51" s="10"/>
      <c r="N51" s="10" t="s">
        <v>827</v>
      </c>
      <c r="O51" s="44" t="s">
        <v>825</v>
      </c>
      <c r="P51" s="251">
        <v>9000000</v>
      </c>
      <c r="Q51" s="251">
        <v>4004367</v>
      </c>
      <c r="R51" s="251">
        <v>4995633</v>
      </c>
      <c r="S51" s="218"/>
      <c r="T51" s="41"/>
      <c r="U51" s="10"/>
      <c r="V51" s="10"/>
      <c r="W51" s="44"/>
      <c r="X51" s="10"/>
      <c r="Y51" s="251"/>
      <c r="Z51" s="251"/>
      <c r="AA51" s="251"/>
      <c r="AB51" s="218"/>
      <c r="AC51" s="41"/>
      <c r="AD51" s="10"/>
      <c r="AE51" s="10"/>
      <c r="AF51" s="10"/>
      <c r="AG51" s="10"/>
      <c r="AH51" s="11"/>
      <c r="AI51" s="11"/>
      <c r="AJ51" s="11"/>
      <c r="AL51" s="1128"/>
      <c r="AM51" s="1129"/>
      <c r="AN51" s="1130"/>
      <c r="AO51" s="1131"/>
      <c r="AP51" s="1118"/>
      <c r="AQ51" s="1119"/>
      <c r="AR51" s="1120"/>
      <c r="AS51" s="1121"/>
      <c r="AT51" s="1122"/>
      <c r="AU51" s="1123"/>
      <c r="AV51" s="1124"/>
      <c r="AW51" s="1133"/>
      <c r="AX51" s="1134"/>
    </row>
    <row r="52" spans="1:50">
      <c r="A52" s="1062" t="s">
        <v>735</v>
      </c>
      <c r="B52" s="1083"/>
      <c r="C52" s="840" t="s">
        <v>732</v>
      </c>
      <c r="D52" s="821">
        <v>12</v>
      </c>
      <c r="E52" s="734" t="s">
        <v>750</v>
      </c>
      <c r="F52" s="834"/>
      <c r="G52" s="466" t="s">
        <v>71</v>
      </c>
      <c r="H52" s="834"/>
      <c r="I52" s="841"/>
      <c r="J52" s="746"/>
      <c r="K52" s="42">
        <v>45</v>
      </c>
      <c r="L52" s="12"/>
      <c r="M52" s="12"/>
      <c r="N52" s="12"/>
      <c r="O52" s="12" t="s">
        <v>55</v>
      </c>
      <c r="P52" s="13">
        <v>6600000</v>
      </c>
      <c r="Q52" s="13">
        <v>3365200</v>
      </c>
      <c r="R52" s="13">
        <v>3234800</v>
      </c>
      <c r="S52" s="218"/>
      <c r="T52" s="42"/>
      <c r="U52" s="12"/>
      <c r="V52" s="12"/>
      <c r="W52" s="12"/>
      <c r="X52" s="12"/>
      <c r="Y52" s="13"/>
      <c r="Z52" s="13"/>
      <c r="AA52" s="13"/>
      <c r="AB52" s="218"/>
      <c r="AC52" s="42"/>
      <c r="AD52" s="12"/>
      <c r="AE52" s="12"/>
      <c r="AF52" s="12"/>
      <c r="AG52" s="45"/>
      <c r="AH52" s="252"/>
      <c r="AI52" s="252"/>
      <c r="AJ52" s="252"/>
      <c r="AL52" s="1128"/>
      <c r="AM52" s="1129"/>
      <c r="AN52" s="1130"/>
      <c r="AO52" s="1131"/>
      <c r="AP52" s="1118"/>
      <c r="AQ52" s="1119"/>
      <c r="AR52" s="1120"/>
      <c r="AS52" s="1121"/>
      <c r="AT52" s="1122"/>
      <c r="AU52" s="1123"/>
      <c r="AV52" s="1124"/>
      <c r="AW52" s="1133"/>
      <c r="AX52" s="1134"/>
    </row>
    <row r="53" spans="1:50">
      <c r="A53" s="1062" t="s">
        <v>819</v>
      </c>
      <c r="B53" s="839">
        <v>250000</v>
      </c>
      <c r="C53" s="840" t="s">
        <v>732</v>
      </c>
      <c r="D53" s="821">
        <v>12</v>
      </c>
      <c r="E53" s="465" t="s">
        <v>751</v>
      </c>
      <c r="F53" s="820">
        <v>45000</v>
      </c>
      <c r="G53" s="817" t="s">
        <v>749</v>
      </c>
      <c r="H53" s="820">
        <v>250000</v>
      </c>
      <c r="I53" s="821">
        <v>12</v>
      </c>
      <c r="J53" s="746"/>
      <c r="K53" s="41">
        <v>46</v>
      </c>
      <c r="L53" s="10"/>
      <c r="M53" s="10"/>
      <c r="N53" s="10" t="s">
        <v>55</v>
      </c>
      <c r="O53" s="44" t="s">
        <v>825</v>
      </c>
      <c r="P53" s="251">
        <v>6600000</v>
      </c>
      <c r="Q53" s="251">
        <v>3365200</v>
      </c>
      <c r="R53" s="251">
        <v>3234800</v>
      </c>
      <c r="S53" s="218"/>
      <c r="T53" s="41"/>
      <c r="U53" s="10"/>
      <c r="V53" s="10"/>
      <c r="W53" s="10"/>
      <c r="X53" s="44"/>
      <c r="Y53" s="251"/>
      <c r="Z53" s="251"/>
      <c r="AA53" s="251"/>
      <c r="AB53" s="218"/>
      <c r="AC53" s="41"/>
      <c r="AD53" s="10"/>
      <c r="AE53" s="10"/>
      <c r="AF53" s="44"/>
      <c r="AG53" s="10"/>
      <c r="AH53" s="251"/>
      <c r="AI53" s="251"/>
      <c r="AJ53" s="251"/>
      <c r="AL53" s="1128"/>
      <c r="AM53" s="1129"/>
      <c r="AN53" s="1130"/>
      <c r="AO53" s="1144"/>
      <c r="AP53" s="1118"/>
      <c r="AQ53" s="1119"/>
      <c r="AR53" s="1120"/>
      <c r="AS53" s="1121"/>
      <c r="AT53" s="1122"/>
      <c r="AU53" s="1123"/>
      <c r="AV53" s="1124"/>
      <c r="AW53" s="1133"/>
      <c r="AX53" s="1134"/>
    </row>
    <row r="54" spans="1:50">
      <c r="A54" s="1062" t="s">
        <v>820</v>
      </c>
      <c r="B54" s="839">
        <v>250000</v>
      </c>
      <c r="C54" s="840" t="s">
        <v>732</v>
      </c>
      <c r="D54" s="821">
        <v>12</v>
      </c>
      <c r="E54" s="734" t="s">
        <v>703</v>
      </c>
      <c r="F54" s="820">
        <v>23000</v>
      </c>
      <c r="G54" s="817" t="s">
        <v>748</v>
      </c>
      <c r="H54" s="820">
        <v>200000</v>
      </c>
      <c r="I54" s="821">
        <v>12</v>
      </c>
      <c r="J54" s="739"/>
      <c r="K54" s="42">
        <v>47</v>
      </c>
      <c r="L54" s="12"/>
      <c r="M54" s="12"/>
      <c r="N54" s="12"/>
      <c r="O54" s="12" t="s">
        <v>56</v>
      </c>
      <c r="P54" s="13">
        <v>13200000</v>
      </c>
      <c r="Q54" s="13">
        <v>18191250</v>
      </c>
      <c r="R54" s="13">
        <v>-4991250</v>
      </c>
      <c r="S54" s="218"/>
      <c r="T54" s="42"/>
      <c r="U54" s="12"/>
      <c r="V54" s="12"/>
      <c r="W54" s="45"/>
      <c r="X54" s="12"/>
      <c r="Y54" s="252"/>
      <c r="Z54" s="252"/>
      <c r="AA54" s="252"/>
      <c r="AB54" s="218"/>
      <c r="AC54" s="42"/>
      <c r="AD54" s="12"/>
      <c r="AE54" s="12"/>
      <c r="AF54" s="12"/>
      <c r="AG54" s="12"/>
      <c r="AH54" s="13"/>
      <c r="AI54" s="13"/>
      <c r="AJ54" s="13"/>
      <c r="AL54" s="1128"/>
      <c r="AM54" s="1129"/>
      <c r="AN54" s="1130"/>
      <c r="AO54" s="1131"/>
      <c r="AP54" s="1118"/>
      <c r="AQ54" s="1119"/>
      <c r="AR54" s="1120"/>
      <c r="AS54" s="1121"/>
      <c r="AT54" s="1122"/>
      <c r="AU54" s="1123"/>
      <c r="AV54" s="1124"/>
      <c r="AW54" s="1133"/>
      <c r="AX54" s="1134"/>
    </row>
    <row r="55" spans="1:50">
      <c r="A55" s="1077" t="s">
        <v>821</v>
      </c>
      <c r="B55" s="839">
        <v>30000</v>
      </c>
      <c r="C55" s="840" t="s">
        <v>732</v>
      </c>
      <c r="D55" s="821">
        <v>12</v>
      </c>
      <c r="E55" s="819" t="s">
        <v>732</v>
      </c>
      <c r="F55" s="820">
        <v>0</v>
      </c>
      <c r="G55" s="819" t="s">
        <v>822</v>
      </c>
      <c r="H55" s="820">
        <v>50000</v>
      </c>
      <c r="I55" s="821">
        <v>6</v>
      </c>
      <c r="J55" s="745"/>
      <c r="K55" s="41">
        <v>48</v>
      </c>
      <c r="L55" s="10"/>
      <c r="M55" s="10"/>
      <c r="N55" s="10" t="s">
        <v>56</v>
      </c>
      <c r="O55" s="44" t="s">
        <v>825</v>
      </c>
      <c r="P55" s="251">
        <v>13200000</v>
      </c>
      <c r="Q55" s="251">
        <v>18191250</v>
      </c>
      <c r="R55" s="251">
        <v>-4991250</v>
      </c>
      <c r="S55" s="218"/>
      <c r="T55" s="41"/>
      <c r="U55" s="10"/>
      <c r="V55" s="10"/>
      <c r="W55" s="10"/>
      <c r="X55" s="10"/>
      <c r="Y55" s="11"/>
      <c r="Z55" s="11"/>
      <c r="AA55" s="11"/>
      <c r="AB55" s="218"/>
      <c r="AC55" s="41"/>
      <c r="AD55" s="10"/>
      <c r="AE55" s="10"/>
      <c r="AF55" s="10"/>
      <c r="AG55" s="44"/>
      <c r="AH55" s="251"/>
      <c r="AI55" s="251"/>
      <c r="AJ55" s="251"/>
      <c r="AL55" s="1128"/>
      <c r="AM55" s="1129"/>
      <c r="AN55" s="1130"/>
      <c r="AO55" s="1131"/>
      <c r="AP55" s="1118"/>
      <c r="AQ55" s="1119"/>
      <c r="AR55" s="1120"/>
      <c r="AS55" s="1121"/>
      <c r="AT55" s="1122"/>
      <c r="AU55" s="1123"/>
      <c r="AV55" s="1124"/>
      <c r="AW55" s="1133"/>
      <c r="AX55" s="1134"/>
    </row>
    <row r="56" spans="1:50">
      <c r="A56" s="1077" t="s">
        <v>733</v>
      </c>
      <c r="B56" s="839">
        <v>50000</v>
      </c>
      <c r="C56" s="840" t="s">
        <v>732</v>
      </c>
      <c r="D56" s="821">
        <v>2</v>
      </c>
      <c r="E56" s="819" t="s">
        <v>732</v>
      </c>
      <c r="F56" s="820">
        <v>0</v>
      </c>
      <c r="G56" s="819" t="s">
        <v>732</v>
      </c>
      <c r="H56" s="820">
        <v>0</v>
      </c>
      <c r="I56" s="821">
        <v>12</v>
      </c>
      <c r="J56" s="746"/>
      <c r="K56" s="42">
        <v>49</v>
      </c>
      <c r="L56" s="12"/>
      <c r="M56" s="12"/>
      <c r="N56" s="12"/>
      <c r="O56" s="12" t="s">
        <v>57</v>
      </c>
      <c r="P56" s="13">
        <v>5096000</v>
      </c>
      <c r="Q56" s="13">
        <v>2037100</v>
      </c>
      <c r="R56" s="13">
        <v>3058900</v>
      </c>
      <c r="S56" s="218"/>
      <c r="T56" s="42"/>
      <c r="U56" s="12"/>
      <c r="V56" s="12"/>
      <c r="W56" s="12"/>
      <c r="X56" s="45"/>
      <c r="Y56" s="252"/>
      <c r="Z56" s="252"/>
      <c r="AA56" s="252"/>
      <c r="AB56" s="218"/>
      <c r="AC56" s="42"/>
      <c r="AD56" s="12"/>
      <c r="AE56" s="12"/>
      <c r="AF56" s="45"/>
      <c r="AG56" s="12"/>
      <c r="AH56" s="252"/>
      <c r="AI56" s="252"/>
      <c r="AJ56" s="252"/>
      <c r="AL56" s="1128"/>
      <c r="AM56" s="1129"/>
      <c r="AN56" s="1130"/>
      <c r="AO56" s="1131"/>
      <c r="AP56" s="1118"/>
      <c r="AQ56" s="1119"/>
      <c r="AR56" s="1120"/>
      <c r="AS56" s="1121"/>
      <c r="AT56" s="1122"/>
      <c r="AU56" s="1123"/>
      <c r="AV56" s="1124"/>
      <c r="AW56" s="1133"/>
      <c r="AX56" s="1134"/>
    </row>
    <row r="57" spans="1:50">
      <c r="A57" s="819" t="s">
        <v>734</v>
      </c>
      <c r="B57" s="839">
        <v>70000</v>
      </c>
      <c r="C57" s="840" t="s">
        <v>732</v>
      </c>
      <c r="D57" s="821">
        <v>12</v>
      </c>
      <c r="E57" s="819" t="s">
        <v>732</v>
      </c>
      <c r="F57" s="820">
        <v>0</v>
      </c>
      <c r="G57" s="819" t="s">
        <v>732</v>
      </c>
      <c r="H57" s="820">
        <v>0</v>
      </c>
      <c r="I57" s="821">
        <v>12</v>
      </c>
      <c r="J57" s="746"/>
      <c r="K57" s="41">
        <v>50</v>
      </c>
      <c r="L57" s="10"/>
      <c r="M57" s="10"/>
      <c r="N57" s="10" t="s">
        <v>57</v>
      </c>
      <c r="O57" s="44" t="s">
        <v>825</v>
      </c>
      <c r="P57" s="251">
        <v>5096000</v>
      </c>
      <c r="Q57" s="251">
        <v>2037100</v>
      </c>
      <c r="R57" s="251">
        <v>3058900</v>
      </c>
      <c r="S57" s="218"/>
      <c r="T57" s="41"/>
      <c r="U57" s="10"/>
      <c r="V57" s="10"/>
      <c r="W57" s="10"/>
      <c r="X57" s="10"/>
      <c r="Y57" s="11"/>
      <c r="Z57" s="11"/>
      <c r="AA57" s="11"/>
      <c r="AB57" s="218"/>
      <c r="AC57" s="41"/>
      <c r="AD57" s="10"/>
      <c r="AE57" s="44"/>
      <c r="AF57" s="10"/>
      <c r="AG57" s="10"/>
      <c r="AH57" s="251"/>
      <c r="AI57" s="251"/>
      <c r="AJ57" s="251"/>
      <c r="AL57" s="1128"/>
      <c r="AM57" s="1129"/>
      <c r="AN57" s="1130"/>
      <c r="AO57" s="1131"/>
      <c r="AP57" s="1118"/>
      <c r="AQ57" s="1119"/>
      <c r="AR57" s="1120"/>
      <c r="AS57" s="1121"/>
      <c r="AT57" s="1122"/>
      <c r="AU57" s="1123"/>
      <c r="AV57" s="1124"/>
      <c r="AW57" s="1133"/>
      <c r="AX57" s="1134"/>
    </row>
    <row r="58" spans="1:50">
      <c r="A58" s="819" t="s">
        <v>823</v>
      </c>
      <c r="B58" s="839">
        <v>100000</v>
      </c>
      <c r="C58" s="840" t="s">
        <v>732</v>
      </c>
      <c r="D58" s="821">
        <v>2</v>
      </c>
      <c r="E58" s="819" t="s">
        <v>732</v>
      </c>
      <c r="F58" s="820">
        <v>0</v>
      </c>
      <c r="G58" s="819" t="s">
        <v>732</v>
      </c>
      <c r="H58" s="820">
        <v>0</v>
      </c>
      <c r="I58" s="821">
        <v>12</v>
      </c>
      <c r="J58" s="745"/>
      <c r="K58" s="42">
        <v>51</v>
      </c>
      <c r="L58" s="12"/>
      <c r="M58" s="12" t="s">
        <v>307</v>
      </c>
      <c r="N58" s="45" t="s">
        <v>825</v>
      </c>
      <c r="O58" s="12"/>
      <c r="P58" s="252">
        <v>38696000</v>
      </c>
      <c r="Q58" s="252">
        <v>31618897</v>
      </c>
      <c r="R58" s="252">
        <v>7077103</v>
      </c>
      <c r="S58" s="218"/>
      <c r="T58" s="42"/>
      <c r="U58" s="12"/>
      <c r="V58" s="12"/>
      <c r="W58" s="12"/>
      <c r="X58" s="45"/>
      <c r="Y58" s="252"/>
      <c r="Z58" s="252"/>
      <c r="AA58" s="252"/>
      <c r="AB58" s="218"/>
      <c r="AC58" s="42"/>
      <c r="AD58" s="45"/>
      <c r="AE58" s="12"/>
      <c r="AF58" s="12"/>
      <c r="AG58" s="12"/>
      <c r="AH58" s="252"/>
      <c r="AI58" s="252"/>
      <c r="AJ58" s="252"/>
      <c r="AL58" s="1128"/>
      <c r="AM58" s="1129"/>
      <c r="AN58" s="1130"/>
      <c r="AO58" s="1131"/>
      <c r="AP58" s="1118"/>
      <c r="AQ58" s="1119"/>
      <c r="AR58" s="1120"/>
      <c r="AS58" s="1121"/>
      <c r="AT58" s="1122"/>
      <c r="AU58" s="1123"/>
      <c r="AV58" s="1124"/>
      <c r="AW58" s="1133"/>
      <c r="AX58" s="1134"/>
    </row>
    <row r="59" spans="1:50">
      <c r="A59" s="819" t="s">
        <v>824</v>
      </c>
      <c r="B59" s="839">
        <v>100000</v>
      </c>
      <c r="C59" s="840" t="s">
        <v>732</v>
      </c>
      <c r="D59" s="821">
        <v>2</v>
      </c>
      <c r="E59" s="819" t="s">
        <v>732</v>
      </c>
      <c r="F59" s="820">
        <v>0</v>
      </c>
      <c r="G59" s="819" t="s">
        <v>732</v>
      </c>
      <c r="H59" s="820">
        <v>0</v>
      </c>
      <c r="I59" s="821">
        <v>12</v>
      </c>
      <c r="J59" s="746"/>
      <c r="K59" s="41">
        <v>52</v>
      </c>
      <c r="L59" s="10" t="s">
        <v>301</v>
      </c>
      <c r="M59" s="44" t="s">
        <v>825</v>
      </c>
      <c r="N59" s="10"/>
      <c r="O59" s="10"/>
      <c r="P59" s="251">
        <v>257909873</v>
      </c>
      <c r="Q59" s="251">
        <v>144250836</v>
      </c>
      <c r="R59" s="251">
        <v>113659037</v>
      </c>
      <c r="S59" s="218"/>
      <c r="T59" s="41"/>
      <c r="U59" s="10"/>
      <c r="V59" s="10"/>
      <c r="W59" s="10"/>
      <c r="X59" s="10"/>
      <c r="Y59" s="11"/>
      <c r="Z59" s="11"/>
      <c r="AA59" s="11"/>
      <c r="AB59" s="218"/>
      <c r="AC59" s="41"/>
      <c r="AD59" s="10"/>
      <c r="AE59" s="10"/>
      <c r="AF59" s="10"/>
      <c r="AG59" s="10"/>
      <c r="AH59" s="11"/>
      <c r="AI59" s="11"/>
      <c r="AJ59" s="11"/>
      <c r="AL59" s="1128"/>
      <c r="AM59" s="1129"/>
      <c r="AN59" s="1130"/>
      <c r="AO59" s="1131"/>
      <c r="AP59" s="1118"/>
      <c r="AQ59" s="1119"/>
      <c r="AR59" s="1120"/>
      <c r="AS59" s="1121"/>
      <c r="AT59" s="1122"/>
      <c r="AU59" s="1123"/>
      <c r="AV59" s="1124"/>
      <c r="AW59" s="1133"/>
      <c r="AX59" s="1134"/>
    </row>
    <row r="60" spans="1:50" ht="17.25" thickBot="1">
      <c r="A60" s="819" t="s">
        <v>732</v>
      </c>
      <c r="B60" s="839">
        <v>0</v>
      </c>
      <c r="C60" s="840" t="s">
        <v>732</v>
      </c>
      <c r="D60" s="821">
        <v>12</v>
      </c>
      <c r="E60" s="819" t="s">
        <v>732</v>
      </c>
      <c r="F60" s="820">
        <v>0</v>
      </c>
      <c r="G60" s="819" t="s">
        <v>732</v>
      </c>
      <c r="H60" s="820">
        <v>0</v>
      </c>
      <c r="I60" s="821">
        <v>12</v>
      </c>
      <c r="J60" s="746"/>
      <c r="K60" s="42">
        <v>53</v>
      </c>
      <c r="L60" s="12"/>
      <c r="M60" s="12"/>
      <c r="N60" s="12"/>
      <c r="O60" s="12" t="s">
        <v>59</v>
      </c>
      <c r="P60" s="13">
        <v>3600000</v>
      </c>
      <c r="Q60" s="13">
        <v>326680</v>
      </c>
      <c r="R60" s="13">
        <v>3273320</v>
      </c>
      <c r="S60" s="218"/>
      <c r="T60" s="42"/>
      <c r="U60" s="12"/>
      <c r="V60" s="12"/>
      <c r="W60" s="12"/>
      <c r="X60" s="45"/>
      <c r="Y60" s="252"/>
      <c r="Z60" s="252"/>
      <c r="AA60" s="252"/>
      <c r="AB60" s="218"/>
      <c r="AC60" s="42"/>
      <c r="AD60" s="12"/>
      <c r="AE60" s="12"/>
      <c r="AF60" s="12"/>
      <c r="AG60" s="45"/>
      <c r="AH60" s="252"/>
      <c r="AI60" s="252"/>
      <c r="AJ60" s="252"/>
      <c r="AL60" s="1145"/>
      <c r="AM60" s="1146"/>
      <c r="AN60" s="1147"/>
      <c r="AO60" s="1144"/>
      <c r="AP60" s="1118"/>
      <c r="AQ60" s="1148"/>
      <c r="AR60" s="1149"/>
      <c r="AS60" s="1150"/>
      <c r="AT60" s="1151"/>
      <c r="AU60" s="1152"/>
      <c r="AV60" s="1153"/>
      <c r="AW60" s="1154"/>
      <c r="AX60" s="1155"/>
    </row>
    <row r="61" spans="1:50" ht="18" thickTop="1" thickBot="1">
      <c r="A61" s="819" t="s">
        <v>732</v>
      </c>
      <c r="B61" s="839">
        <v>0</v>
      </c>
      <c r="C61" s="840" t="s">
        <v>732</v>
      </c>
      <c r="D61" s="821">
        <v>12</v>
      </c>
      <c r="E61" s="819" t="s">
        <v>732</v>
      </c>
      <c r="F61" s="820">
        <v>0</v>
      </c>
      <c r="G61" s="819" t="s">
        <v>732</v>
      </c>
      <c r="H61" s="820">
        <v>0</v>
      </c>
      <c r="I61" s="821">
        <v>12</v>
      </c>
      <c r="K61" s="41">
        <v>54</v>
      </c>
      <c r="L61" s="10"/>
      <c r="M61" s="10"/>
      <c r="N61" s="10" t="s">
        <v>59</v>
      </c>
      <c r="O61" s="44" t="s">
        <v>825</v>
      </c>
      <c r="P61" s="251">
        <v>3600000</v>
      </c>
      <c r="Q61" s="251">
        <v>326680</v>
      </c>
      <c r="R61" s="251">
        <v>3273320</v>
      </c>
      <c r="S61" s="218"/>
      <c r="T61" s="41"/>
      <c r="U61" s="10"/>
      <c r="V61" s="10"/>
      <c r="W61" s="10"/>
      <c r="X61" s="10"/>
      <c r="Y61" s="11"/>
      <c r="Z61" s="11"/>
      <c r="AA61" s="11"/>
      <c r="AB61" s="218"/>
      <c r="AC61" s="41"/>
      <c r="AD61" s="10"/>
      <c r="AE61" s="10"/>
      <c r="AF61" s="10"/>
      <c r="AG61" s="10"/>
      <c r="AH61" s="11"/>
      <c r="AI61" s="11"/>
      <c r="AJ61" s="11"/>
      <c r="AL61" s="1256"/>
      <c r="AM61" s="1257"/>
      <c r="AN61" s="1156"/>
      <c r="AO61" s="1156"/>
      <c r="AP61" s="1157"/>
      <c r="AQ61" s="1158"/>
      <c r="AR61" s="1159"/>
      <c r="AS61" s="1159"/>
      <c r="AT61" s="1157"/>
      <c r="AU61" s="1160"/>
      <c r="AV61" s="1160"/>
      <c r="AW61" s="1161"/>
      <c r="AX61" s="1161"/>
    </row>
    <row r="62" spans="1:50" ht="18" thickTop="1" thickBot="1">
      <c r="A62" s="842"/>
      <c r="B62" s="825"/>
      <c r="C62" s="825"/>
      <c r="D62" s="825"/>
      <c r="E62" s="825"/>
      <c r="F62" s="826"/>
      <c r="G62" s="407" t="s">
        <v>213</v>
      </c>
      <c r="H62" s="878"/>
      <c r="I62" s="437" t="s">
        <v>215</v>
      </c>
      <c r="K62" s="42">
        <v>55</v>
      </c>
      <c r="L62" s="12"/>
      <c r="M62" s="12"/>
      <c r="N62" s="12"/>
      <c r="O62" s="12" t="s">
        <v>60</v>
      </c>
      <c r="P62" s="13">
        <v>2400000</v>
      </c>
      <c r="Q62" s="13">
        <v>867850</v>
      </c>
      <c r="R62" s="13">
        <v>1532150</v>
      </c>
      <c r="S62" s="218"/>
      <c r="T62" s="42"/>
      <c r="U62" s="12"/>
      <c r="V62" s="12"/>
      <c r="W62" s="12"/>
      <c r="X62" s="45"/>
      <c r="Y62" s="252"/>
      <c r="Z62" s="252"/>
      <c r="AA62" s="252"/>
      <c r="AB62" s="218"/>
      <c r="AC62" s="42"/>
      <c r="AD62" s="12"/>
      <c r="AE62" s="12"/>
      <c r="AF62" s="12"/>
      <c r="AG62" s="45"/>
      <c r="AH62" s="252"/>
      <c r="AI62" s="252"/>
      <c r="AJ62" s="252"/>
      <c r="AL62" s="1162"/>
      <c r="AM62" s="1163"/>
      <c r="AN62" s="1163"/>
      <c r="AO62" s="1164"/>
      <c r="AP62" s="1165"/>
      <c r="AQ62" s="1166"/>
      <c r="AR62" s="1163"/>
      <c r="AS62" s="1164"/>
      <c r="AT62" s="1165"/>
      <c r="AU62" s="1165"/>
      <c r="AV62" s="1165"/>
      <c r="AW62" s="1167"/>
      <c r="AX62" s="1168"/>
    </row>
    <row r="63" spans="1:50" ht="18" thickTop="1" thickBot="1">
      <c r="A63" s="846" t="s">
        <v>705</v>
      </c>
      <c r="B63" s="847"/>
      <c r="C63" s="847"/>
      <c r="D63" s="847"/>
      <c r="E63" s="847"/>
      <c r="F63" s="848"/>
      <c r="G63" s="1059" t="s">
        <v>16</v>
      </c>
      <c r="H63" s="1305"/>
      <c r="I63" s="645"/>
      <c r="K63" s="41">
        <v>56</v>
      </c>
      <c r="L63" s="10"/>
      <c r="M63" s="10"/>
      <c r="N63" s="10" t="s">
        <v>60</v>
      </c>
      <c r="O63" s="44" t="s">
        <v>825</v>
      </c>
      <c r="P63" s="251">
        <v>2400000</v>
      </c>
      <c r="Q63" s="251">
        <v>867850</v>
      </c>
      <c r="R63" s="251">
        <v>1532150</v>
      </c>
      <c r="S63" s="218"/>
      <c r="T63" s="41"/>
      <c r="U63" s="10"/>
      <c r="V63" s="10"/>
      <c r="W63" s="44"/>
      <c r="X63" s="10"/>
      <c r="Y63" s="251"/>
      <c r="Z63" s="251"/>
      <c r="AA63" s="251"/>
      <c r="AB63" s="218"/>
      <c r="AC63" s="41"/>
      <c r="AD63" s="10"/>
      <c r="AE63" s="10"/>
      <c r="AF63" s="44"/>
      <c r="AG63" s="10"/>
      <c r="AH63" s="251"/>
      <c r="AI63" s="251"/>
      <c r="AJ63" s="251"/>
      <c r="AL63" s="1170"/>
      <c r="AM63" s="1171"/>
      <c r="AN63" s="1172"/>
      <c r="AO63" s="1173"/>
      <c r="AP63" s="1174"/>
      <c r="AQ63" s="1175"/>
      <c r="AR63" s="1176"/>
      <c r="AS63" s="1177"/>
      <c r="AT63" s="1178"/>
      <c r="AU63" s="1179"/>
      <c r="AV63" s="1179"/>
      <c r="AW63" s="1180"/>
      <c r="AX63" s="1181"/>
    </row>
    <row r="64" spans="1:50" ht="17.25" thickBot="1">
      <c r="A64" s="824" t="s">
        <v>13</v>
      </c>
      <c r="B64" s="823"/>
      <c r="C64" s="824" t="s">
        <v>15</v>
      </c>
      <c r="D64" s="823"/>
      <c r="E64" s="824" t="s">
        <v>17</v>
      </c>
      <c r="F64" s="823"/>
      <c r="G64" s="1304" t="s">
        <v>790</v>
      </c>
      <c r="H64" s="1306"/>
      <c r="I64" s="1307"/>
      <c r="K64" s="42">
        <v>57</v>
      </c>
      <c r="L64" s="12"/>
      <c r="M64" s="12" t="s">
        <v>58</v>
      </c>
      <c r="N64" s="45" t="s">
        <v>825</v>
      </c>
      <c r="O64" s="12"/>
      <c r="P64" s="252">
        <v>6000000</v>
      </c>
      <c r="Q64" s="252">
        <v>1194530</v>
      </c>
      <c r="R64" s="252">
        <v>4805470</v>
      </c>
      <c r="S64" s="218"/>
      <c r="T64" s="42"/>
      <c r="U64" s="12"/>
      <c r="V64" s="45"/>
      <c r="W64" s="12"/>
      <c r="X64" s="12"/>
      <c r="Y64" s="252"/>
      <c r="Z64" s="252"/>
      <c r="AA64" s="252"/>
      <c r="AB64" s="218"/>
      <c r="AC64" s="42"/>
      <c r="AD64" s="12"/>
      <c r="AE64" s="45"/>
      <c r="AF64" s="12"/>
      <c r="AG64" s="12"/>
      <c r="AH64" s="252"/>
      <c r="AI64" s="252"/>
      <c r="AJ64" s="252"/>
      <c r="AL64" s="1182"/>
      <c r="AM64" s="1183"/>
      <c r="AN64" s="1184"/>
      <c r="AO64" s="1185"/>
      <c r="AP64" s="1118"/>
      <c r="AQ64" s="1186"/>
      <c r="AR64" s="1120"/>
      <c r="AS64" s="1121"/>
      <c r="AT64" s="1122"/>
      <c r="AU64" s="1123"/>
      <c r="AV64" s="1124"/>
      <c r="AW64" s="1187"/>
      <c r="AX64" s="1134"/>
    </row>
    <row r="65" spans="1:50">
      <c r="A65" s="816" t="s">
        <v>13</v>
      </c>
      <c r="B65" s="849"/>
      <c r="C65" s="816" t="s">
        <v>15</v>
      </c>
      <c r="D65" s="849"/>
      <c r="E65" s="816" t="s">
        <v>17</v>
      </c>
      <c r="F65" s="849"/>
      <c r="G65" s="1304" t="s">
        <v>791</v>
      </c>
      <c r="H65" s="1306"/>
      <c r="I65" s="1307"/>
      <c r="K65" s="41">
        <v>58</v>
      </c>
      <c r="L65" s="10" t="s">
        <v>311</v>
      </c>
      <c r="M65" s="44" t="s">
        <v>825</v>
      </c>
      <c r="N65" s="10"/>
      <c r="O65" s="10"/>
      <c r="P65" s="251">
        <v>6000000</v>
      </c>
      <c r="Q65" s="251">
        <v>1194530</v>
      </c>
      <c r="R65" s="251">
        <v>4805470</v>
      </c>
      <c r="S65" s="218"/>
      <c r="T65" s="41"/>
      <c r="U65" s="10"/>
      <c r="V65" s="10"/>
      <c r="W65" s="10"/>
      <c r="X65" s="10"/>
      <c r="Y65" s="11"/>
      <c r="Z65" s="11"/>
      <c r="AA65" s="11"/>
      <c r="AB65" s="218"/>
      <c r="AC65" s="41"/>
      <c r="AD65" s="10"/>
      <c r="AE65" s="10"/>
      <c r="AF65" s="10"/>
      <c r="AG65" s="10"/>
      <c r="AH65" s="11"/>
      <c r="AI65" s="11"/>
      <c r="AJ65" s="11"/>
      <c r="AL65" s="1182"/>
      <c r="AM65" s="1183"/>
      <c r="AN65" s="1184"/>
      <c r="AO65" s="1188"/>
      <c r="AP65" s="1118"/>
      <c r="AQ65" s="1132"/>
      <c r="AR65" s="1120"/>
      <c r="AS65" s="1121"/>
      <c r="AT65" s="1122"/>
      <c r="AU65" s="1123"/>
      <c r="AV65" s="1124"/>
      <c r="AW65" s="1187"/>
      <c r="AX65" s="1134"/>
    </row>
    <row r="66" spans="1:50">
      <c r="A66" s="853" t="s">
        <v>732</v>
      </c>
      <c r="B66" s="854">
        <v>0</v>
      </c>
      <c r="C66" s="853" t="s">
        <v>732</v>
      </c>
      <c r="D66" s="854">
        <v>0</v>
      </c>
      <c r="E66" s="853" t="s">
        <v>732</v>
      </c>
      <c r="F66" s="854">
        <v>0</v>
      </c>
      <c r="G66" s="853" t="s">
        <v>732</v>
      </c>
      <c r="H66" s="854">
        <v>0</v>
      </c>
      <c r="I66" s="1308">
        <v>1</v>
      </c>
      <c r="K66" s="42">
        <v>59</v>
      </c>
      <c r="L66" s="12"/>
      <c r="M66" s="12"/>
      <c r="N66" s="12"/>
      <c r="O66" s="12" t="s">
        <v>61</v>
      </c>
      <c r="P66" s="13">
        <v>36720000</v>
      </c>
      <c r="Q66" s="13">
        <v>17322790</v>
      </c>
      <c r="R66" s="13">
        <v>19397210</v>
      </c>
      <c r="S66" s="218"/>
      <c r="T66" s="42"/>
      <c r="U66" s="12"/>
      <c r="V66" s="12"/>
      <c r="W66" s="12"/>
      <c r="X66" s="45"/>
      <c r="Y66" s="252"/>
      <c r="Z66" s="252"/>
      <c r="AA66" s="252"/>
      <c r="AB66" s="218"/>
      <c r="AC66" s="42"/>
      <c r="AD66" s="12"/>
      <c r="AE66" s="12"/>
      <c r="AF66" s="12"/>
      <c r="AG66" s="45"/>
      <c r="AH66" s="252"/>
      <c r="AI66" s="252"/>
      <c r="AJ66" s="252"/>
      <c r="AL66" s="1182"/>
      <c r="AM66" s="1183"/>
      <c r="AN66" s="1184"/>
      <c r="AO66" s="1188"/>
      <c r="AP66" s="1118"/>
      <c r="AQ66" s="1132"/>
      <c r="AR66" s="1120"/>
      <c r="AS66" s="1121"/>
      <c r="AT66" s="1122"/>
      <c r="AU66" s="1123"/>
      <c r="AV66" s="1124"/>
      <c r="AW66" s="1187"/>
      <c r="AX66" s="1134"/>
    </row>
    <row r="67" spans="1:50" ht="17.25" thickBot="1">
      <c r="A67" s="855" t="s">
        <v>732</v>
      </c>
      <c r="B67" s="856">
        <v>0</v>
      </c>
      <c r="C67" s="855" t="s">
        <v>732</v>
      </c>
      <c r="D67" s="856">
        <v>0</v>
      </c>
      <c r="E67" s="855" t="s">
        <v>732</v>
      </c>
      <c r="F67" s="857">
        <v>0</v>
      </c>
      <c r="G67" s="853" t="s">
        <v>732</v>
      </c>
      <c r="H67" s="854">
        <v>0</v>
      </c>
      <c r="I67" s="1308">
        <v>1</v>
      </c>
      <c r="K67" s="41">
        <v>60</v>
      </c>
      <c r="L67" s="10"/>
      <c r="M67" s="10"/>
      <c r="N67" s="10" t="s">
        <v>61</v>
      </c>
      <c r="O67" s="44" t="s">
        <v>825</v>
      </c>
      <c r="P67" s="251">
        <v>36720000</v>
      </c>
      <c r="Q67" s="251">
        <v>17322790</v>
      </c>
      <c r="R67" s="251">
        <v>19397210</v>
      </c>
      <c r="S67" s="218"/>
      <c r="T67" s="41"/>
      <c r="U67" s="10"/>
      <c r="V67" s="10"/>
      <c r="W67" s="10"/>
      <c r="X67" s="10"/>
      <c r="Y67" s="11"/>
      <c r="Z67" s="11"/>
      <c r="AA67" s="11"/>
      <c r="AB67" s="218"/>
      <c r="AC67" s="41"/>
      <c r="AD67" s="10"/>
      <c r="AE67" s="10"/>
      <c r="AF67" s="10"/>
      <c r="AG67" s="10"/>
      <c r="AH67" s="11"/>
      <c r="AI67" s="11"/>
      <c r="AJ67" s="11"/>
      <c r="AL67" s="1182"/>
      <c r="AM67" s="1183"/>
      <c r="AN67" s="1184"/>
      <c r="AO67" s="1188"/>
      <c r="AP67" s="1118"/>
      <c r="AQ67" s="1132"/>
      <c r="AR67" s="1120"/>
      <c r="AS67" s="1121"/>
      <c r="AT67" s="1122"/>
      <c r="AU67" s="1123"/>
      <c r="AV67" s="1124"/>
      <c r="AW67" s="1187"/>
      <c r="AX67" s="1134"/>
    </row>
    <row r="68" spans="1:50" ht="17.25" thickBot="1">
      <c r="A68" s="859"/>
      <c r="B68" s="860"/>
      <c r="C68" s="860"/>
      <c r="D68" s="860"/>
      <c r="E68" s="860"/>
      <c r="F68" s="860"/>
      <c r="G68" s="853" t="s">
        <v>732</v>
      </c>
      <c r="H68" s="854">
        <v>0</v>
      </c>
      <c r="I68" s="1308">
        <v>1</v>
      </c>
      <c r="K68" s="42">
        <v>61</v>
      </c>
      <c r="L68" s="12"/>
      <c r="M68" s="12"/>
      <c r="N68" s="12"/>
      <c r="O68" s="12" t="s">
        <v>62</v>
      </c>
      <c r="P68" s="13">
        <v>3000000</v>
      </c>
      <c r="Q68" s="13">
        <v>126240</v>
      </c>
      <c r="R68" s="13">
        <v>2873760</v>
      </c>
      <c r="S68" s="218"/>
      <c r="T68" s="42"/>
      <c r="U68" s="12"/>
      <c r="V68" s="12"/>
      <c r="W68" s="12"/>
      <c r="X68" s="45"/>
      <c r="Y68" s="252"/>
      <c r="Z68" s="252"/>
      <c r="AA68" s="252"/>
      <c r="AB68" s="218"/>
      <c r="AC68" s="42"/>
      <c r="AD68" s="12"/>
      <c r="AE68" s="12"/>
      <c r="AF68" s="12"/>
      <c r="AG68" s="45"/>
      <c r="AH68" s="252"/>
      <c r="AI68" s="252"/>
      <c r="AJ68" s="252"/>
      <c r="AL68" s="1182"/>
      <c r="AM68" s="1183"/>
      <c r="AN68" s="1184"/>
      <c r="AO68" s="1188"/>
      <c r="AP68" s="1118"/>
      <c r="AQ68" s="1132"/>
      <c r="AR68" s="1120"/>
      <c r="AS68" s="1121"/>
      <c r="AT68" s="1122"/>
      <c r="AU68" s="1123"/>
      <c r="AV68" s="1124"/>
      <c r="AW68" s="1187"/>
      <c r="AX68" s="1134"/>
    </row>
    <row r="69" spans="1:50" ht="17.25" thickBot="1">
      <c r="A69" s="864" t="s">
        <v>706</v>
      </c>
      <c r="B69" s="865"/>
      <c r="C69" s="866"/>
      <c r="D69" s="843" t="s">
        <v>704</v>
      </c>
      <c r="E69" s="844"/>
      <c r="F69" s="845"/>
      <c r="K69" s="41">
        <v>62</v>
      </c>
      <c r="L69" s="10"/>
      <c r="M69" s="10"/>
      <c r="N69" s="10" t="s">
        <v>62</v>
      </c>
      <c r="O69" s="44" t="s">
        <v>825</v>
      </c>
      <c r="P69" s="251">
        <v>3000000</v>
      </c>
      <c r="Q69" s="251">
        <v>126240</v>
      </c>
      <c r="R69" s="251">
        <v>2873760</v>
      </c>
      <c r="S69" s="218"/>
      <c r="T69" s="41"/>
      <c r="U69" s="10"/>
      <c r="V69" s="10"/>
      <c r="W69" s="10"/>
      <c r="X69" s="10"/>
      <c r="Y69" s="11"/>
      <c r="Z69" s="11"/>
      <c r="AA69" s="11"/>
      <c r="AB69" s="218"/>
      <c r="AC69" s="41"/>
      <c r="AD69" s="10"/>
      <c r="AE69" s="10"/>
      <c r="AF69" s="10"/>
      <c r="AG69" s="10"/>
      <c r="AH69" s="11"/>
      <c r="AI69" s="11"/>
      <c r="AJ69" s="11"/>
      <c r="AL69" s="1182"/>
      <c r="AM69" s="1183"/>
      <c r="AN69" s="1184"/>
      <c r="AO69" s="1188"/>
      <c r="AP69" s="1118"/>
      <c r="AQ69" s="1132"/>
      <c r="AR69" s="1120"/>
      <c r="AS69" s="1121"/>
      <c r="AT69" s="1122"/>
      <c r="AU69" s="1123"/>
      <c r="AV69" s="1124"/>
      <c r="AW69" s="1187"/>
      <c r="AX69" s="1134"/>
    </row>
    <row r="70" spans="1:50" ht="17.25" thickBot="1">
      <c r="A70" s="827" t="s">
        <v>448</v>
      </c>
      <c r="B70" s="867">
        <v>0.3</v>
      </c>
      <c r="C70" s="868"/>
      <c r="D70" s="824" t="s">
        <v>18</v>
      </c>
      <c r="E70" s="823"/>
      <c r="F70" s="823" t="s">
        <v>684</v>
      </c>
      <c r="K70" s="42">
        <v>63</v>
      </c>
      <c r="L70" s="12"/>
      <c r="M70" s="12"/>
      <c r="N70" s="12"/>
      <c r="O70" s="12" t="s">
        <v>63</v>
      </c>
      <c r="P70" s="13">
        <v>1800000</v>
      </c>
      <c r="Q70" s="13">
        <v>108200</v>
      </c>
      <c r="R70" s="13">
        <v>1691800</v>
      </c>
      <c r="S70" s="218"/>
      <c r="T70" s="42"/>
      <c r="U70" s="12"/>
      <c r="V70" s="12"/>
      <c r="W70" s="12"/>
      <c r="X70" s="45"/>
      <c r="Y70" s="252"/>
      <c r="Z70" s="252"/>
      <c r="AA70" s="252"/>
      <c r="AB70" s="218"/>
      <c r="AC70" s="42"/>
      <c r="AD70" s="12"/>
      <c r="AE70" s="12"/>
      <c r="AF70" s="12"/>
      <c r="AG70" s="45"/>
      <c r="AH70" s="252"/>
      <c r="AI70" s="252"/>
      <c r="AJ70" s="252"/>
      <c r="AL70" s="1182"/>
      <c r="AM70" s="1183"/>
      <c r="AN70" s="1184"/>
      <c r="AO70" s="1188"/>
      <c r="AP70" s="1118"/>
      <c r="AQ70" s="1132"/>
      <c r="AR70" s="1120"/>
      <c r="AS70" s="1121"/>
      <c r="AT70" s="1122"/>
      <c r="AU70" s="1123"/>
      <c r="AV70" s="1124"/>
      <c r="AW70" s="1187"/>
      <c r="AX70" s="1134"/>
    </row>
    <row r="71" spans="1:50">
      <c r="A71" s="581" t="s">
        <v>448</v>
      </c>
      <c r="B71" s="869"/>
      <c r="C71" s="870"/>
      <c r="D71" s="816" t="s">
        <v>18</v>
      </c>
      <c r="E71" s="849"/>
      <c r="F71" s="850">
        <v>12</v>
      </c>
      <c r="K71" s="41">
        <v>64</v>
      </c>
      <c r="L71" s="10"/>
      <c r="M71" s="10"/>
      <c r="N71" s="10" t="s">
        <v>63</v>
      </c>
      <c r="O71" s="44" t="s">
        <v>825</v>
      </c>
      <c r="P71" s="251">
        <v>1800000</v>
      </c>
      <c r="Q71" s="251">
        <v>108200</v>
      </c>
      <c r="R71" s="251">
        <v>1691800</v>
      </c>
      <c r="S71" s="218"/>
      <c r="T71" s="41"/>
      <c r="U71" s="10"/>
      <c r="V71" s="10"/>
      <c r="W71" s="44"/>
      <c r="X71" s="10"/>
      <c r="Y71" s="251"/>
      <c r="Z71" s="251"/>
      <c r="AA71" s="251"/>
      <c r="AB71" s="218"/>
      <c r="AC71" s="41"/>
      <c r="AD71" s="10"/>
      <c r="AE71" s="10"/>
      <c r="AF71" s="44"/>
      <c r="AG71" s="10"/>
      <c r="AH71" s="251"/>
      <c r="AI71" s="251"/>
      <c r="AJ71" s="251"/>
      <c r="AL71" s="1182"/>
      <c r="AM71" s="1183"/>
      <c r="AN71" s="1184"/>
      <c r="AO71" s="1185"/>
      <c r="AP71" s="1118"/>
      <c r="AQ71" s="1186"/>
      <c r="AR71" s="1120"/>
      <c r="AS71" s="1121"/>
      <c r="AT71" s="1122"/>
      <c r="AU71" s="1123"/>
      <c r="AV71" s="1124"/>
      <c r="AW71" s="1187"/>
      <c r="AX71" s="1134"/>
    </row>
    <row r="72" spans="1:50" ht="17.25" thickBot="1">
      <c r="A72" s="819" t="s">
        <v>732</v>
      </c>
      <c r="B72" s="871">
        <v>0</v>
      </c>
      <c r="C72" s="872"/>
      <c r="D72" s="851" t="s">
        <v>732</v>
      </c>
      <c r="E72" s="852">
        <v>0</v>
      </c>
      <c r="F72" s="850">
        <v>12</v>
      </c>
      <c r="K72" s="42">
        <v>65</v>
      </c>
      <c r="L72" s="12"/>
      <c r="M72" s="12" t="s">
        <v>307</v>
      </c>
      <c r="N72" s="45" t="s">
        <v>825</v>
      </c>
      <c r="O72" s="12"/>
      <c r="P72" s="252">
        <v>41520000</v>
      </c>
      <c r="Q72" s="252">
        <v>17557230</v>
      </c>
      <c r="R72" s="252">
        <v>23962770</v>
      </c>
      <c r="S72" s="218"/>
      <c r="T72" s="42"/>
      <c r="U72" s="12"/>
      <c r="V72" s="45"/>
      <c r="W72" s="12"/>
      <c r="X72" s="12"/>
      <c r="Y72" s="252"/>
      <c r="Z72" s="252"/>
      <c r="AA72" s="252"/>
      <c r="AB72" s="218"/>
      <c r="AC72" s="42"/>
      <c r="AD72" s="12"/>
      <c r="AE72" s="45"/>
      <c r="AF72" s="12"/>
      <c r="AG72" s="12"/>
      <c r="AH72" s="252"/>
      <c r="AI72" s="252"/>
      <c r="AJ72" s="252"/>
      <c r="AL72" s="1182"/>
      <c r="AM72" s="1183"/>
      <c r="AN72" s="1184"/>
      <c r="AO72" s="1185"/>
      <c r="AP72" s="1118"/>
      <c r="AQ72" s="1186"/>
      <c r="AR72" s="1120"/>
      <c r="AS72" s="1121"/>
      <c r="AT72" s="1122"/>
      <c r="AU72" s="1123"/>
      <c r="AV72" s="1124"/>
      <c r="AW72" s="1187"/>
      <c r="AX72" s="1134"/>
    </row>
    <row r="73" spans="1:50" ht="17.25" thickBot="1">
      <c r="A73" s="827" t="s">
        <v>447</v>
      </c>
      <c r="B73" s="867">
        <v>0.4</v>
      </c>
      <c r="C73" s="868"/>
      <c r="D73" s="824" t="s">
        <v>20</v>
      </c>
      <c r="E73" s="823"/>
      <c r="F73" s="823" t="s">
        <v>684</v>
      </c>
      <c r="K73" s="41">
        <v>66</v>
      </c>
      <c r="L73" s="10"/>
      <c r="M73" s="10"/>
      <c r="N73" s="10"/>
      <c r="O73" s="10" t="s">
        <v>65</v>
      </c>
      <c r="P73" s="11">
        <v>8396000</v>
      </c>
      <c r="Q73" s="11">
        <v>3242630</v>
      </c>
      <c r="R73" s="11">
        <v>5153370</v>
      </c>
      <c r="S73" s="218"/>
      <c r="T73" s="41"/>
      <c r="U73" s="10"/>
      <c r="V73" s="10"/>
      <c r="W73" s="10"/>
      <c r="X73" s="10"/>
      <c r="Y73" s="11"/>
      <c r="Z73" s="11"/>
      <c r="AA73" s="11"/>
      <c r="AB73" s="218"/>
      <c r="AC73" s="41"/>
      <c r="AD73" s="10"/>
      <c r="AE73" s="10"/>
      <c r="AF73" s="10"/>
      <c r="AG73" s="10"/>
      <c r="AH73" s="11"/>
      <c r="AI73" s="11"/>
      <c r="AJ73" s="11"/>
      <c r="AL73" s="1182"/>
      <c r="AM73" s="1183"/>
      <c r="AN73" s="1184"/>
      <c r="AO73" s="1185"/>
      <c r="AP73" s="1118"/>
      <c r="AQ73" s="1186"/>
      <c r="AR73" s="1120"/>
      <c r="AS73" s="1121"/>
      <c r="AT73" s="1122"/>
      <c r="AU73" s="1123"/>
      <c r="AV73" s="1124"/>
      <c r="AW73" s="1187"/>
      <c r="AX73" s="1134"/>
    </row>
    <row r="74" spans="1:50">
      <c r="A74" s="581" t="s">
        <v>447</v>
      </c>
      <c r="B74" s="869"/>
      <c r="C74" s="870"/>
      <c r="D74" s="816" t="s">
        <v>20</v>
      </c>
      <c r="E74" s="849"/>
      <c r="F74" s="858">
        <v>12</v>
      </c>
      <c r="K74" s="42">
        <v>67</v>
      </c>
      <c r="L74" s="12"/>
      <c r="M74" s="12"/>
      <c r="N74" s="12" t="s">
        <v>65</v>
      </c>
      <c r="O74" s="45" t="s">
        <v>825</v>
      </c>
      <c r="P74" s="252">
        <v>8396000</v>
      </c>
      <c r="Q74" s="252">
        <v>3242630</v>
      </c>
      <c r="R74" s="252">
        <v>5153370</v>
      </c>
      <c r="S74" s="218"/>
      <c r="T74" s="42"/>
      <c r="U74" s="12"/>
      <c r="V74" s="12"/>
      <c r="W74" s="12"/>
      <c r="X74" s="45"/>
      <c r="Y74" s="252"/>
      <c r="Z74" s="252"/>
      <c r="AA74" s="252"/>
      <c r="AB74" s="218"/>
      <c r="AC74" s="42"/>
      <c r="AD74" s="12"/>
      <c r="AE74" s="12"/>
      <c r="AF74" s="12"/>
      <c r="AG74" s="45"/>
      <c r="AH74" s="252"/>
      <c r="AI74" s="252"/>
      <c r="AJ74" s="252"/>
      <c r="AL74" s="1182"/>
      <c r="AM74" s="1183"/>
      <c r="AN74" s="1184"/>
      <c r="AO74" s="1185"/>
      <c r="AP74" s="1118"/>
      <c r="AQ74" s="1186"/>
      <c r="AR74" s="1120"/>
      <c r="AS74" s="1121"/>
      <c r="AT74" s="1122"/>
      <c r="AU74" s="1123"/>
      <c r="AV74" s="1124"/>
      <c r="AW74" s="1187"/>
      <c r="AX74" s="1134"/>
    </row>
    <row r="75" spans="1:50" ht="17.25" thickBot="1">
      <c r="A75" s="819" t="s">
        <v>732</v>
      </c>
      <c r="B75" s="871">
        <v>0</v>
      </c>
      <c r="C75" s="872"/>
      <c r="D75" s="861" t="s">
        <v>732</v>
      </c>
      <c r="E75" s="862">
        <v>0</v>
      </c>
      <c r="F75" s="863">
        <v>12</v>
      </c>
      <c r="K75" s="41">
        <v>68</v>
      </c>
      <c r="L75" s="10"/>
      <c r="M75" s="10" t="s">
        <v>315</v>
      </c>
      <c r="N75" s="44" t="s">
        <v>825</v>
      </c>
      <c r="O75" s="10"/>
      <c r="P75" s="251">
        <v>8396000</v>
      </c>
      <c r="Q75" s="251">
        <v>3242630</v>
      </c>
      <c r="R75" s="251">
        <v>5153370</v>
      </c>
      <c r="S75" s="218"/>
      <c r="T75" s="41"/>
      <c r="U75" s="10"/>
      <c r="V75" s="10"/>
      <c r="W75" s="10"/>
      <c r="X75" s="10"/>
      <c r="Y75" s="11"/>
      <c r="Z75" s="11"/>
      <c r="AA75" s="11"/>
      <c r="AB75" s="218"/>
      <c r="AC75" s="41"/>
      <c r="AD75" s="10"/>
      <c r="AE75" s="10"/>
      <c r="AF75" s="10"/>
      <c r="AG75" s="10"/>
      <c r="AH75" s="11"/>
      <c r="AI75" s="11"/>
      <c r="AJ75" s="11"/>
      <c r="AL75" s="1182"/>
      <c r="AM75" s="1183"/>
      <c r="AN75" s="1184"/>
      <c r="AO75" s="1185"/>
      <c r="AP75" s="1118"/>
      <c r="AQ75" s="1186"/>
      <c r="AR75" s="1120"/>
      <c r="AS75" s="1121"/>
      <c r="AT75" s="1122"/>
      <c r="AU75" s="1123"/>
      <c r="AV75" s="1124"/>
      <c r="AW75" s="1187"/>
      <c r="AX75" s="1134"/>
    </row>
    <row r="76" spans="1:50">
      <c r="K76" s="42">
        <v>69</v>
      </c>
      <c r="L76" s="12" t="s">
        <v>315</v>
      </c>
      <c r="M76" s="45" t="s">
        <v>825</v>
      </c>
      <c r="N76" s="12"/>
      <c r="O76" s="12"/>
      <c r="P76" s="252">
        <v>49916000</v>
      </c>
      <c r="Q76" s="252">
        <v>20799860</v>
      </c>
      <c r="R76" s="252">
        <v>29116140</v>
      </c>
      <c r="S76" s="218"/>
      <c r="T76" s="42"/>
      <c r="U76" s="12"/>
      <c r="V76" s="12"/>
      <c r="W76" s="12"/>
      <c r="X76" s="45"/>
      <c r="Y76" s="252"/>
      <c r="Z76" s="252"/>
      <c r="AA76" s="252"/>
      <c r="AB76" s="218"/>
      <c r="AC76" s="42"/>
      <c r="AD76" s="12"/>
      <c r="AE76" s="12"/>
      <c r="AF76" s="12"/>
      <c r="AG76" s="45"/>
      <c r="AH76" s="252"/>
      <c r="AI76" s="252"/>
      <c r="AJ76" s="252"/>
      <c r="AL76" s="1182"/>
      <c r="AM76" s="1183"/>
      <c r="AN76" s="1184"/>
      <c r="AO76" s="1185"/>
      <c r="AP76" s="1118"/>
      <c r="AQ76" s="1186"/>
      <c r="AR76" s="1120"/>
      <c r="AS76" s="1121"/>
      <c r="AT76" s="1122"/>
      <c r="AU76" s="1123"/>
      <c r="AV76" s="1124"/>
      <c r="AW76" s="1187"/>
      <c r="AX76" s="1134"/>
    </row>
    <row r="77" spans="1:50">
      <c r="K77" s="41">
        <v>70</v>
      </c>
      <c r="L77" s="10"/>
      <c r="M77" s="10"/>
      <c r="N77" s="10"/>
      <c r="O77" s="10" t="s">
        <v>67</v>
      </c>
      <c r="P77" s="11">
        <v>33000000</v>
      </c>
      <c r="Q77" s="11">
        <v>20000000</v>
      </c>
      <c r="R77" s="11">
        <v>13000000</v>
      </c>
      <c r="S77" s="218"/>
      <c r="T77" s="41"/>
      <c r="U77" s="10"/>
      <c r="V77" s="10"/>
      <c r="W77" s="10"/>
      <c r="X77" s="10"/>
      <c r="Y77" s="11"/>
      <c r="Z77" s="11"/>
      <c r="AA77" s="11"/>
      <c r="AB77" s="218"/>
      <c r="AC77" s="41"/>
      <c r="AD77" s="10"/>
      <c r="AE77" s="10"/>
      <c r="AF77" s="10"/>
      <c r="AG77" s="10"/>
      <c r="AH77" s="11"/>
      <c r="AI77" s="11"/>
      <c r="AJ77" s="11"/>
      <c r="AL77" s="1182"/>
      <c r="AM77" s="1183"/>
      <c r="AN77" s="1184"/>
      <c r="AO77" s="1185"/>
      <c r="AP77" s="1118"/>
      <c r="AQ77" s="1186"/>
      <c r="AR77" s="1120"/>
      <c r="AS77" s="1121"/>
      <c r="AT77" s="1122"/>
      <c r="AU77" s="1123"/>
      <c r="AV77" s="1124"/>
      <c r="AW77" s="1187"/>
      <c r="AX77" s="1134"/>
    </row>
    <row r="78" spans="1:50">
      <c r="K78" s="42">
        <v>71</v>
      </c>
      <c r="L78" s="12"/>
      <c r="M78" s="12"/>
      <c r="N78" s="12" t="s">
        <v>67</v>
      </c>
      <c r="O78" s="45" t="s">
        <v>825</v>
      </c>
      <c r="P78" s="252">
        <v>33000000</v>
      </c>
      <c r="Q78" s="252">
        <v>20000000</v>
      </c>
      <c r="R78" s="252">
        <v>13000000</v>
      </c>
      <c r="S78" s="218"/>
      <c r="T78" s="42"/>
      <c r="U78" s="12"/>
      <c r="V78" s="12"/>
      <c r="W78" s="12"/>
      <c r="X78" s="45"/>
      <c r="Y78" s="252"/>
      <c r="Z78" s="252"/>
      <c r="AA78" s="252"/>
      <c r="AB78" s="218"/>
      <c r="AC78" s="42"/>
      <c r="AD78" s="12"/>
      <c r="AE78" s="12"/>
      <c r="AF78" s="12"/>
      <c r="AG78" s="45"/>
      <c r="AH78" s="252"/>
      <c r="AI78" s="252"/>
      <c r="AJ78" s="252"/>
      <c r="AL78" s="1182"/>
      <c r="AM78" s="1183"/>
      <c r="AN78" s="1184"/>
      <c r="AO78" s="1185"/>
      <c r="AP78" s="1118"/>
      <c r="AQ78" s="1186"/>
      <c r="AR78" s="1120"/>
      <c r="AS78" s="1121"/>
      <c r="AT78" s="1122"/>
      <c r="AU78" s="1123"/>
      <c r="AV78" s="1124"/>
      <c r="AW78" s="1187"/>
      <c r="AX78" s="1134"/>
    </row>
    <row r="79" spans="1:50">
      <c r="K79" s="41">
        <v>72</v>
      </c>
      <c r="L79" s="10"/>
      <c r="M79" s="10" t="s">
        <v>322</v>
      </c>
      <c r="N79" s="44" t="s">
        <v>825</v>
      </c>
      <c r="O79" s="10"/>
      <c r="P79" s="251">
        <v>33000000</v>
      </c>
      <c r="Q79" s="251">
        <v>20000000</v>
      </c>
      <c r="R79" s="251">
        <v>13000000</v>
      </c>
      <c r="S79" s="218"/>
      <c r="T79" s="41"/>
      <c r="U79" s="10"/>
      <c r="V79" s="10"/>
      <c r="W79" s="44"/>
      <c r="X79" s="10"/>
      <c r="Y79" s="251"/>
      <c r="Z79" s="251"/>
      <c r="AA79" s="251"/>
      <c r="AB79" s="218"/>
      <c r="AC79" s="41"/>
      <c r="AD79" s="10"/>
      <c r="AE79" s="10"/>
      <c r="AF79" s="44"/>
      <c r="AG79" s="10"/>
      <c r="AH79" s="251"/>
      <c r="AI79" s="251"/>
      <c r="AJ79" s="251"/>
      <c r="AL79" s="1182"/>
      <c r="AM79" s="1183"/>
      <c r="AN79" s="1184"/>
      <c r="AO79" s="1185"/>
      <c r="AP79" s="1118"/>
      <c r="AQ79" s="1186"/>
      <c r="AR79" s="1120"/>
      <c r="AS79" s="1121"/>
      <c r="AT79" s="1122"/>
      <c r="AU79" s="1123"/>
      <c r="AV79" s="1124"/>
      <c r="AW79" s="1187"/>
      <c r="AX79" s="1134"/>
    </row>
    <row r="80" spans="1:50">
      <c r="K80" s="42">
        <v>73</v>
      </c>
      <c r="L80" s="12" t="s">
        <v>322</v>
      </c>
      <c r="M80" s="45" t="s">
        <v>825</v>
      </c>
      <c r="N80" s="12"/>
      <c r="O80" s="12"/>
      <c r="P80" s="252">
        <v>33000000</v>
      </c>
      <c r="Q80" s="252">
        <v>20000000</v>
      </c>
      <c r="R80" s="252">
        <v>13000000</v>
      </c>
      <c r="S80" s="218"/>
      <c r="T80" s="42"/>
      <c r="U80" s="12"/>
      <c r="V80" s="12"/>
      <c r="W80" s="12"/>
      <c r="X80" s="12"/>
      <c r="Y80" s="13"/>
      <c r="Z80" s="13"/>
      <c r="AA80" s="13"/>
      <c r="AB80" s="218"/>
      <c r="AC80" s="42"/>
      <c r="AD80" s="12"/>
      <c r="AE80" s="12"/>
      <c r="AF80" s="12"/>
      <c r="AG80" s="12"/>
      <c r="AH80" s="13"/>
      <c r="AI80" s="13"/>
      <c r="AJ80" s="13"/>
      <c r="AL80" s="1182"/>
      <c r="AM80" s="1183"/>
      <c r="AN80" s="1184"/>
      <c r="AO80" s="1188"/>
      <c r="AP80" s="1118"/>
      <c r="AQ80" s="1186"/>
      <c r="AR80" s="1120"/>
      <c r="AS80" s="1121"/>
      <c r="AT80" s="1122"/>
      <c r="AU80" s="1123"/>
      <c r="AV80" s="1124"/>
      <c r="AW80" s="1187"/>
      <c r="AX80" s="1134"/>
    </row>
    <row r="81" spans="11:50">
      <c r="K81" s="41">
        <v>74</v>
      </c>
      <c r="L81" s="10"/>
      <c r="M81" s="10"/>
      <c r="N81" s="10"/>
      <c r="O81" s="10" t="s">
        <v>71</v>
      </c>
      <c r="P81" s="11">
        <v>6142167</v>
      </c>
      <c r="Q81" s="11">
        <v>663410</v>
      </c>
      <c r="R81" s="11">
        <v>5478757</v>
      </c>
      <c r="S81" s="218"/>
      <c r="T81" s="41"/>
      <c r="U81" s="10"/>
      <c r="V81" s="10"/>
      <c r="W81" s="10"/>
      <c r="X81" s="44"/>
      <c r="Y81" s="251"/>
      <c r="Z81" s="251"/>
      <c r="AA81" s="251"/>
      <c r="AB81" s="218"/>
      <c r="AC81" s="41"/>
      <c r="AD81" s="10"/>
      <c r="AE81" s="10"/>
      <c r="AF81" s="10"/>
      <c r="AG81" s="44"/>
      <c r="AH81" s="251"/>
      <c r="AI81" s="251"/>
      <c r="AJ81" s="251"/>
      <c r="AL81" s="1182"/>
      <c r="AM81" s="1183"/>
      <c r="AN81" s="1184"/>
      <c r="AO81" s="1188"/>
      <c r="AP81" s="1118"/>
      <c r="AQ81" s="1186"/>
      <c r="AR81" s="1120"/>
      <c r="AS81" s="1121"/>
      <c r="AT81" s="1122"/>
      <c r="AU81" s="1123"/>
      <c r="AV81" s="1124"/>
      <c r="AW81" s="1187"/>
      <c r="AX81" s="1134"/>
    </row>
    <row r="82" spans="11:50">
      <c r="K82" s="42">
        <v>75</v>
      </c>
      <c r="L82" s="12"/>
      <c r="M82" s="12"/>
      <c r="N82" s="12" t="s">
        <v>71</v>
      </c>
      <c r="O82" s="45" t="s">
        <v>825</v>
      </c>
      <c r="P82" s="252">
        <v>6142167</v>
      </c>
      <c r="Q82" s="252">
        <v>663410</v>
      </c>
      <c r="R82" s="252">
        <v>5478757</v>
      </c>
      <c r="S82" s="218"/>
      <c r="T82" s="42"/>
      <c r="U82" s="12"/>
      <c r="V82" s="12"/>
      <c r="W82" s="45"/>
      <c r="X82" s="12"/>
      <c r="Y82" s="252"/>
      <c r="Z82" s="252"/>
      <c r="AA82" s="252"/>
      <c r="AB82" s="218"/>
      <c r="AC82" s="42"/>
      <c r="AD82" s="12"/>
      <c r="AE82" s="12"/>
      <c r="AF82" s="45"/>
      <c r="AG82" s="12"/>
      <c r="AH82" s="252"/>
      <c r="AI82" s="252"/>
      <c r="AJ82" s="252"/>
      <c r="AL82" s="1182"/>
      <c r="AM82" s="1183"/>
      <c r="AN82" s="1184"/>
      <c r="AO82" s="1188"/>
      <c r="AP82" s="1118"/>
      <c r="AQ82" s="1186"/>
      <c r="AR82" s="1120"/>
      <c r="AS82" s="1121"/>
      <c r="AT82" s="1122"/>
      <c r="AU82" s="1123"/>
      <c r="AV82" s="1124"/>
      <c r="AW82" s="1187"/>
      <c r="AX82" s="1134"/>
    </row>
    <row r="83" spans="11:50">
      <c r="K83" s="41">
        <v>76</v>
      </c>
      <c r="L83" s="10"/>
      <c r="M83" s="10" t="s">
        <v>71</v>
      </c>
      <c r="N83" s="44" t="s">
        <v>825</v>
      </c>
      <c r="O83" s="10"/>
      <c r="P83" s="251">
        <v>6142167</v>
      </c>
      <c r="Q83" s="251">
        <v>663410</v>
      </c>
      <c r="R83" s="251">
        <v>5478757</v>
      </c>
      <c r="S83" s="218"/>
      <c r="T83" s="41"/>
      <c r="U83" s="10"/>
      <c r="V83" s="44"/>
      <c r="W83" s="10"/>
      <c r="X83" s="10"/>
      <c r="Y83" s="251"/>
      <c r="Z83" s="251"/>
      <c r="AA83" s="251"/>
      <c r="AB83" s="218"/>
      <c r="AC83" s="41"/>
      <c r="AD83" s="10"/>
      <c r="AE83" s="44"/>
      <c r="AF83" s="10"/>
      <c r="AG83" s="10"/>
      <c r="AH83" s="251"/>
      <c r="AI83" s="251"/>
      <c r="AJ83" s="251"/>
      <c r="AL83" s="1182"/>
      <c r="AM83" s="1183"/>
      <c r="AN83" s="1184"/>
      <c r="AO83" s="1188"/>
      <c r="AP83" s="1118"/>
      <c r="AQ83" s="1186"/>
      <c r="AR83" s="1120"/>
      <c r="AS83" s="1121"/>
      <c r="AT83" s="1122"/>
      <c r="AU83" s="1123"/>
      <c r="AV83" s="1124"/>
      <c r="AW83" s="1187"/>
      <c r="AX83" s="1134"/>
    </row>
    <row r="84" spans="11:50">
      <c r="K84" s="42">
        <v>77</v>
      </c>
      <c r="L84" s="12" t="s">
        <v>71</v>
      </c>
      <c r="M84" s="45" t="s">
        <v>825</v>
      </c>
      <c r="N84" s="12"/>
      <c r="O84" s="12"/>
      <c r="P84" s="252">
        <v>6142167</v>
      </c>
      <c r="Q84" s="252">
        <v>663410</v>
      </c>
      <c r="R84" s="252">
        <v>5478757</v>
      </c>
      <c r="S84" s="218"/>
      <c r="T84" s="42"/>
      <c r="U84" s="12"/>
      <c r="V84" s="12"/>
      <c r="W84" s="12"/>
      <c r="X84" s="12"/>
      <c r="Y84" s="13"/>
      <c r="Z84" s="13"/>
      <c r="AA84" s="13"/>
      <c r="AB84" s="218"/>
      <c r="AC84" s="42"/>
      <c r="AD84" s="12"/>
      <c r="AE84" s="12"/>
      <c r="AF84" s="12"/>
      <c r="AG84" s="12"/>
      <c r="AH84" s="13"/>
      <c r="AI84" s="13"/>
      <c r="AJ84" s="13"/>
      <c r="AL84" s="1182"/>
      <c r="AM84" s="1183"/>
      <c r="AN84" s="1184"/>
      <c r="AO84" s="1188"/>
      <c r="AP84" s="1118"/>
      <c r="AQ84" s="1186"/>
      <c r="AR84" s="1120"/>
      <c r="AS84" s="1121"/>
      <c r="AT84" s="1122"/>
      <c r="AU84" s="1123"/>
      <c r="AV84" s="1124"/>
      <c r="AW84" s="1187"/>
      <c r="AX84" s="1134"/>
    </row>
    <row r="85" spans="11:50">
      <c r="K85" s="41">
        <v>78</v>
      </c>
      <c r="L85" s="10"/>
      <c r="M85" s="10"/>
      <c r="N85" s="10"/>
      <c r="O85" s="10" t="s">
        <v>72</v>
      </c>
      <c r="P85" s="11">
        <v>1000000</v>
      </c>
      <c r="Q85" s="11">
        <v>0</v>
      </c>
      <c r="R85" s="11">
        <v>1000000</v>
      </c>
      <c r="S85" s="218"/>
      <c r="T85" s="41"/>
      <c r="U85" s="10"/>
      <c r="V85" s="10"/>
      <c r="W85" s="10"/>
      <c r="X85" s="44"/>
      <c r="Y85" s="251"/>
      <c r="Z85" s="251"/>
      <c r="AA85" s="251"/>
      <c r="AB85" s="218"/>
      <c r="AC85" s="41"/>
      <c r="AD85" s="10"/>
      <c r="AE85" s="10"/>
      <c r="AF85" s="10"/>
      <c r="AG85" s="44"/>
      <c r="AH85" s="251"/>
      <c r="AI85" s="251"/>
      <c r="AJ85" s="251"/>
      <c r="AL85" s="1182"/>
      <c r="AM85" s="1183"/>
      <c r="AN85" s="1184"/>
      <c r="AO85" s="1188"/>
      <c r="AP85" s="1118"/>
      <c r="AQ85" s="1186"/>
      <c r="AR85" s="1120"/>
      <c r="AS85" s="1121"/>
      <c r="AT85" s="1122"/>
      <c r="AU85" s="1123"/>
      <c r="AV85" s="1124"/>
      <c r="AW85" s="1187"/>
      <c r="AX85" s="1134"/>
    </row>
    <row r="86" spans="11:50">
      <c r="K86" s="42">
        <v>79</v>
      </c>
      <c r="L86" s="12"/>
      <c r="M86" s="12"/>
      <c r="N86" s="12" t="s">
        <v>72</v>
      </c>
      <c r="O86" s="45" t="s">
        <v>825</v>
      </c>
      <c r="P86" s="252">
        <v>1000000</v>
      </c>
      <c r="Q86" s="252">
        <v>0</v>
      </c>
      <c r="R86" s="252">
        <v>1000000</v>
      </c>
      <c r="S86" s="218"/>
      <c r="T86" s="42"/>
      <c r="U86" s="12"/>
      <c r="V86" s="12"/>
      <c r="W86" s="45"/>
      <c r="X86" s="12"/>
      <c r="Y86" s="252"/>
      <c r="Z86" s="252"/>
      <c r="AA86" s="252"/>
      <c r="AB86" s="218"/>
      <c r="AC86" s="42"/>
      <c r="AD86" s="12"/>
      <c r="AE86" s="12"/>
      <c r="AF86" s="45"/>
      <c r="AG86" s="12"/>
      <c r="AH86" s="252"/>
      <c r="AI86" s="252"/>
      <c r="AJ86" s="252"/>
      <c r="AL86" s="1182"/>
      <c r="AM86" s="1183"/>
      <c r="AN86" s="1184"/>
      <c r="AO86" s="1188"/>
      <c r="AP86" s="1118"/>
      <c r="AQ86" s="1186"/>
      <c r="AR86" s="1120"/>
      <c r="AS86" s="1121"/>
      <c r="AT86" s="1122"/>
      <c r="AU86" s="1123"/>
      <c r="AV86" s="1124"/>
      <c r="AW86" s="1187"/>
      <c r="AX86" s="1134"/>
    </row>
    <row r="87" spans="11:50">
      <c r="K87" s="41">
        <v>80</v>
      </c>
      <c r="L87" s="10"/>
      <c r="M87" s="10" t="s">
        <v>335</v>
      </c>
      <c r="N87" s="44" t="s">
        <v>825</v>
      </c>
      <c r="O87" s="10"/>
      <c r="P87" s="251">
        <v>1000000</v>
      </c>
      <c r="Q87" s="251">
        <v>0</v>
      </c>
      <c r="R87" s="251">
        <v>1000000</v>
      </c>
      <c r="S87" s="218"/>
      <c r="T87" s="41"/>
      <c r="U87" s="10"/>
      <c r="V87" s="44"/>
      <c r="W87" s="10"/>
      <c r="X87" s="10"/>
      <c r="Y87" s="251"/>
      <c r="Z87" s="251"/>
      <c r="AA87" s="251"/>
      <c r="AB87" s="218"/>
      <c r="AC87" s="41"/>
      <c r="AD87" s="10"/>
      <c r="AE87" s="44"/>
      <c r="AF87" s="10"/>
      <c r="AG87" s="10"/>
      <c r="AH87" s="251"/>
      <c r="AI87" s="251"/>
      <c r="AJ87" s="251"/>
      <c r="AL87" s="1182"/>
      <c r="AM87" s="1183"/>
      <c r="AN87" s="1184"/>
      <c r="AO87" s="1188"/>
      <c r="AP87" s="1118"/>
      <c r="AQ87" s="1186"/>
      <c r="AR87" s="1120"/>
      <c r="AS87" s="1121"/>
      <c r="AT87" s="1122"/>
      <c r="AU87" s="1123"/>
      <c r="AV87" s="1124"/>
      <c r="AW87" s="1187"/>
      <c r="AX87" s="1134"/>
    </row>
    <row r="88" spans="11:50">
      <c r="K88" s="42">
        <v>81</v>
      </c>
      <c r="L88" s="12" t="s">
        <v>335</v>
      </c>
      <c r="M88" s="45" t="s">
        <v>825</v>
      </c>
      <c r="N88" s="12"/>
      <c r="O88" s="12"/>
      <c r="P88" s="252">
        <v>1000000</v>
      </c>
      <c r="Q88" s="252">
        <v>0</v>
      </c>
      <c r="R88" s="252">
        <v>1000000</v>
      </c>
      <c r="S88" s="218"/>
      <c r="T88" s="42"/>
      <c r="U88" s="12"/>
      <c r="V88" s="12"/>
      <c r="W88" s="12"/>
      <c r="X88" s="12"/>
      <c r="Y88" s="13"/>
      <c r="Z88" s="13"/>
      <c r="AA88" s="13"/>
      <c r="AB88" s="218"/>
      <c r="AC88" s="42"/>
      <c r="AD88" s="12"/>
      <c r="AE88" s="12"/>
      <c r="AF88" s="12"/>
      <c r="AG88" s="12"/>
      <c r="AH88" s="13"/>
      <c r="AI88" s="13"/>
      <c r="AJ88" s="13"/>
      <c r="AL88" s="1182"/>
      <c r="AM88" s="1183"/>
      <c r="AN88" s="1184"/>
      <c r="AO88" s="1188"/>
      <c r="AP88" s="1118"/>
      <c r="AQ88" s="1186"/>
      <c r="AR88" s="1120"/>
      <c r="AS88" s="1121"/>
      <c r="AT88" s="1122"/>
      <c r="AU88" s="1123"/>
      <c r="AV88" s="1124"/>
      <c r="AW88" s="1187"/>
      <c r="AX88" s="1134"/>
    </row>
    <row r="89" spans="11:50">
      <c r="K89" s="41">
        <v>82</v>
      </c>
      <c r="L89" s="44" t="s">
        <v>828</v>
      </c>
      <c r="M89" s="10"/>
      <c r="N89" s="10"/>
      <c r="O89" s="10"/>
      <c r="P89" s="251">
        <v>353968040</v>
      </c>
      <c r="Q89" s="251">
        <v>186908636</v>
      </c>
      <c r="R89" s="251">
        <v>167059404</v>
      </c>
      <c r="S89" s="218"/>
      <c r="T89" s="41"/>
      <c r="U89" s="10"/>
      <c r="V89" s="10"/>
      <c r="W89" s="10"/>
      <c r="X89" s="44"/>
      <c r="Y89" s="251"/>
      <c r="Z89" s="251"/>
      <c r="AA89" s="251"/>
      <c r="AB89" s="218"/>
      <c r="AC89" s="41"/>
      <c r="AD89" s="10"/>
      <c r="AE89" s="10"/>
      <c r="AF89" s="10"/>
      <c r="AG89" s="44"/>
      <c r="AH89" s="251"/>
      <c r="AI89" s="251"/>
      <c r="AJ89" s="251"/>
      <c r="AL89" s="1182"/>
      <c r="AM89" s="1183"/>
      <c r="AN89" s="1184"/>
      <c r="AO89" s="1188"/>
      <c r="AP89" s="1118"/>
      <c r="AQ89" s="1186"/>
      <c r="AR89" s="1120"/>
      <c r="AS89" s="1121"/>
      <c r="AT89" s="1122"/>
      <c r="AU89" s="1123"/>
      <c r="AV89" s="1124"/>
      <c r="AW89" s="1187"/>
      <c r="AX89" s="1134"/>
    </row>
    <row r="90" spans="11:50">
      <c r="K90" s="42"/>
      <c r="L90" s="12"/>
      <c r="M90" s="12"/>
      <c r="N90" s="12"/>
      <c r="O90" s="45"/>
      <c r="P90" s="252"/>
      <c r="Q90" s="252"/>
      <c r="R90" s="252"/>
      <c r="S90" s="218"/>
      <c r="T90" s="42"/>
      <c r="U90" s="12"/>
      <c r="V90" s="12"/>
      <c r="W90" s="45"/>
      <c r="X90" s="12"/>
      <c r="Y90" s="252"/>
      <c r="Z90" s="252"/>
      <c r="AA90" s="252"/>
      <c r="AB90" s="218"/>
      <c r="AC90" s="42"/>
      <c r="AD90" s="12"/>
      <c r="AE90" s="12"/>
      <c r="AF90" s="45"/>
      <c r="AG90" s="12"/>
      <c r="AH90" s="252"/>
      <c r="AI90" s="252"/>
      <c r="AJ90" s="252"/>
      <c r="AL90" s="1182"/>
      <c r="AM90" s="1183"/>
      <c r="AN90" s="1184"/>
      <c r="AO90" s="1188"/>
      <c r="AP90" s="1118"/>
      <c r="AQ90" s="1186"/>
      <c r="AR90" s="1120"/>
      <c r="AS90" s="1121"/>
      <c r="AT90" s="1122"/>
      <c r="AU90" s="1123"/>
      <c r="AV90" s="1124"/>
      <c r="AW90" s="1187"/>
      <c r="AX90" s="1134"/>
    </row>
    <row r="91" spans="11:50">
      <c r="K91" s="41"/>
      <c r="L91" s="10"/>
      <c r="M91" s="10"/>
      <c r="N91" s="44"/>
      <c r="O91" s="10"/>
      <c r="P91" s="251"/>
      <c r="Q91" s="251"/>
      <c r="R91" s="251"/>
      <c r="S91" s="218"/>
      <c r="T91" s="41"/>
      <c r="U91" s="10"/>
      <c r="V91" s="44"/>
      <c r="W91" s="10"/>
      <c r="X91" s="10"/>
      <c r="Y91" s="251"/>
      <c r="Z91" s="251"/>
      <c r="AA91" s="251"/>
      <c r="AB91" s="218"/>
      <c r="AC91" s="41"/>
      <c r="AD91" s="10"/>
      <c r="AE91" s="44"/>
      <c r="AF91" s="10"/>
      <c r="AG91" s="10"/>
      <c r="AH91" s="251"/>
      <c r="AI91" s="251"/>
      <c r="AJ91" s="251"/>
      <c r="AL91" s="1182"/>
      <c r="AM91" s="1183"/>
      <c r="AN91" s="1184"/>
      <c r="AO91" s="1188"/>
      <c r="AP91" s="1118"/>
      <c r="AQ91" s="1186"/>
      <c r="AR91" s="1120"/>
      <c r="AS91" s="1121"/>
      <c r="AT91" s="1122"/>
      <c r="AU91" s="1123"/>
      <c r="AV91" s="1124"/>
      <c r="AW91" s="1187"/>
      <c r="AX91" s="1134"/>
    </row>
    <row r="92" spans="11:50">
      <c r="K92" s="42"/>
      <c r="L92" s="12"/>
      <c r="M92" s="45"/>
      <c r="N92" s="12"/>
      <c r="O92" s="12"/>
      <c r="P92" s="252"/>
      <c r="Q92" s="252"/>
      <c r="R92" s="252"/>
      <c r="S92" s="218"/>
      <c r="T92" s="42"/>
      <c r="U92" s="12"/>
      <c r="V92" s="12"/>
      <c r="W92" s="12"/>
      <c r="X92" s="12"/>
      <c r="Y92" s="13"/>
      <c r="Z92" s="13"/>
      <c r="AA92" s="13"/>
      <c r="AB92" s="218"/>
      <c r="AC92" s="42"/>
      <c r="AD92" s="12"/>
      <c r="AE92" s="12"/>
      <c r="AF92" s="12"/>
      <c r="AG92" s="12"/>
      <c r="AH92" s="13"/>
      <c r="AI92" s="13"/>
      <c r="AJ92" s="13"/>
      <c r="AL92" s="1182"/>
      <c r="AM92" s="1183"/>
      <c r="AN92" s="1184"/>
      <c r="AO92" s="1188"/>
      <c r="AP92" s="1118"/>
      <c r="AQ92" s="1186"/>
      <c r="AR92" s="1120"/>
      <c r="AS92" s="1121"/>
      <c r="AT92" s="1122"/>
      <c r="AU92" s="1123"/>
      <c r="AV92" s="1124"/>
      <c r="AW92" s="1187"/>
      <c r="AX92" s="1134"/>
    </row>
    <row r="93" spans="11:50">
      <c r="K93" s="41"/>
      <c r="L93" s="10"/>
      <c r="M93" s="10"/>
      <c r="N93" s="10"/>
      <c r="O93" s="10"/>
      <c r="P93" s="11"/>
      <c r="Q93" s="11"/>
      <c r="R93" s="11"/>
      <c r="S93" s="218"/>
      <c r="T93" s="41"/>
      <c r="U93" s="10"/>
      <c r="V93" s="10"/>
      <c r="W93" s="10"/>
      <c r="X93" s="10"/>
      <c r="Y93" s="11"/>
      <c r="Z93" s="11"/>
      <c r="AA93" s="11"/>
      <c r="AB93" s="218"/>
      <c r="AC93" s="41"/>
      <c r="AD93" s="10"/>
      <c r="AE93" s="10"/>
      <c r="AF93" s="10"/>
      <c r="AG93" s="10"/>
      <c r="AH93" s="11"/>
      <c r="AI93" s="11"/>
      <c r="AJ93" s="11"/>
      <c r="AL93" s="1182"/>
      <c r="AM93" s="1183"/>
      <c r="AN93" s="1184"/>
      <c r="AO93" s="1188"/>
      <c r="AP93" s="1118"/>
      <c r="AQ93" s="1186"/>
      <c r="AR93" s="1120"/>
      <c r="AS93" s="1121"/>
      <c r="AT93" s="1122"/>
      <c r="AU93" s="1123"/>
      <c r="AV93" s="1124"/>
      <c r="AW93" s="1187"/>
      <c r="AX93" s="1134"/>
    </row>
    <row r="94" spans="11:50">
      <c r="K94" s="42"/>
      <c r="L94" s="12"/>
      <c r="M94" s="12"/>
      <c r="N94" s="12"/>
      <c r="O94" s="45"/>
      <c r="P94" s="252"/>
      <c r="Q94" s="252"/>
      <c r="R94" s="252"/>
      <c r="S94" s="218"/>
      <c r="T94" s="42"/>
      <c r="U94" s="12"/>
      <c r="V94" s="12"/>
      <c r="W94" s="12"/>
      <c r="X94" s="45"/>
      <c r="Y94" s="252"/>
      <c r="Z94" s="252"/>
      <c r="AA94" s="252"/>
      <c r="AB94" s="218"/>
      <c r="AC94" s="42"/>
      <c r="AD94" s="12"/>
      <c r="AE94" s="12"/>
      <c r="AF94" s="12"/>
      <c r="AG94" s="45"/>
      <c r="AH94" s="252"/>
      <c r="AI94" s="252"/>
      <c r="AJ94" s="252"/>
      <c r="AL94" s="1182"/>
      <c r="AM94" s="1183"/>
      <c r="AN94" s="1184"/>
      <c r="AO94" s="1188"/>
      <c r="AP94" s="1118"/>
      <c r="AQ94" s="1186"/>
      <c r="AR94" s="1120"/>
      <c r="AS94" s="1121"/>
      <c r="AT94" s="1122"/>
      <c r="AU94" s="1123"/>
      <c r="AV94" s="1124"/>
      <c r="AW94" s="1187"/>
      <c r="AX94" s="1134"/>
    </row>
    <row r="95" spans="11:50">
      <c r="K95" s="41"/>
      <c r="L95" s="10"/>
      <c r="M95" s="10"/>
      <c r="N95" s="44"/>
      <c r="O95" s="10"/>
      <c r="P95" s="251"/>
      <c r="Q95" s="251"/>
      <c r="R95" s="251"/>
      <c r="S95" s="218"/>
      <c r="T95" s="41"/>
      <c r="U95" s="10"/>
      <c r="V95" s="10"/>
      <c r="W95" s="44"/>
      <c r="X95" s="10"/>
      <c r="Y95" s="251"/>
      <c r="Z95" s="251"/>
      <c r="AA95" s="251"/>
      <c r="AB95" s="218"/>
      <c r="AC95" s="41"/>
      <c r="AD95" s="10"/>
      <c r="AE95" s="10"/>
      <c r="AF95" s="44"/>
      <c r="AG95" s="10"/>
      <c r="AH95" s="251"/>
      <c r="AI95" s="251"/>
      <c r="AJ95" s="251"/>
      <c r="AL95" s="1182"/>
      <c r="AM95" s="1183"/>
      <c r="AN95" s="1184"/>
      <c r="AO95" s="1188"/>
      <c r="AP95" s="1118"/>
      <c r="AQ95" s="1186"/>
      <c r="AR95" s="1120"/>
      <c r="AS95" s="1121"/>
      <c r="AT95" s="1122"/>
      <c r="AU95" s="1123"/>
      <c r="AV95" s="1124"/>
      <c r="AW95" s="1187"/>
      <c r="AX95" s="1134"/>
    </row>
    <row r="96" spans="11:50">
      <c r="K96" s="42"/>
      <c r="L96" s="12"/>
      <c r="M96" s="45"/>
      <c r="N96" s="12"/>
      <c r="O96" s="12"/>
      <c r="P96" s="252"/>
      <c r="Q96" s="252"/>
      <c r="R96" s="252"/>
      <c r="S96" s="218"/>
      <c r="T96" s="42"/>
      <c r="U96" s="12"/>
      <c r="V96" s="45"/>
      <c r="W96" s="12"/>
      <c r="X96" s="12"/>
      <c r="Y96" s="252"/>
      <c r="Z96" s="252"/>
      <c r="AA96" s="252"/>
      <c r="AB96" s="218"/>
      <c r="AC96" s="42"/>
      <c r="AD96" s="12"/>
      <c r="AE96" s="45"/>
      <c r="AF96" s="12"/>
      <c r="AG96" s="12"/>
      <c r="AH96" s="252"/>
      <c r="AI96" s="252"/>
      <c r="AJ96" s="252"/>
      <c r="AL96" s="1182"/>
      <c r="AM96" s="1183"/>
      <c r="AN96" s="1184"/>
      <c r="AO96" s="1188"/>
      <c r="AP96" s="1118"/>
      <c r="AQ96" s="1186"/>
      <c r="AR96" s="1120"/>
      <c r="AS96" s="1121"/>
      <c r="AT96" s="1122"/>
      <c r="AU96" s="1123"/>
      <c r="AV96" s="1124"/>
      <c r="AW96" s="1187"/>
      <c r="AX96" s="1134"/>
    </row>
    <row r="97" spans="11:50">
      <c r="K97" s="41"/>
      <c r="L97" s="44"/>
      <c r="M97" s="10"/>
      <c r="N97" s="10"/>
      <c r="O97" s="10"/>
      <c r="P97" s="251"/>
      <c r="Q97" s="251"/>
      <c r="R97" s="251"/>
      <c r="S97" s="218"/>
      <c r="T97" s="41"/>
      <c r="U97" s="10"/>
      <c r="V97" s="10"/>
      <c r="W97" s="10"/>
      <c r="X97" s="10"/>
      <c r="Y97" s="11"/>
      <c r="Z97" s="11"/>
      <c r="AA97" s="11"/>
      <c r="AB97" s="218"/>
      <c r="AC97" s="41"/>
      <c r="AD97" s="10"/>
      <c r="AE97" s="10"/>
      <c r="AF97" s="10"/>
      <c r="AG97" s="10"/>
      <c r="AH97" s="11"/>
      <c r="AI97" s="11"/>
      <c r="AJ97" s="11"/>
      <c r="AL97" s="1182"/>
      <c r="AM97" s="1183"/>
      <c r="AN97" s="1184"/>
      <c r="AO97" s="1188"/>
      <c r="AP97" s="1118"/>
      <c r="AQ97" s="1186"/>
      <c r="AR97" s="1120"/>
      <c r="AS97" s="1121"/>
      <c r="AT97" s="1122"/>
      <c r="AU97" s="1123"/>
      <c r="AV97" s="1124"/>
      <c r="AW97" s="1187"/>
      <c r="AX97" s="1134"/>
    </row>
    <row r="98" spans="11:50">
      <c r="K98" s="42"/>
      <c r="L98" s="12"/>
      <c r="M98" s="12"/>
      <c r="N98" s="12"/>
      <c r="O98" s="45"/>
      <c r="P98" s="252"/>
      <c r="Q98" s="252"/>
      <c r="R98" s="252"/>
      <c r="S98" s="218"/>
      <c r="T98" s="42"/>
      <c r="U98" s="12"/>
      <c r="V98" s="12"/>
      <c r="W98" s="12"/>
      <c r="X98" s="45"/>
      <c r="Y98" s="252"/>
      <c r="Z98" s="252"/>
      <c r="AA98" s="252"/>
      <c r="AB98" s="218"/>
      <c r="AC98" s="42"/>
      <c r="AD98" s="12"/>
      <c r="AE98" s="12"/>
      <c r="AF98" s="12"/>
      <c r="AG98" s="45"/>
      <c r="AH98" s="252"/>
      <c r="AI98" s="252"/>
      <c r="AJ98" s="252"/>
      <c r="AL98" s="1182"/>
      <c r="AM98" s="1183"/>
      <c r="AN98" s="1184"/>
      <c r="AO98" s="1188"/>
      <c r="AP98" s="1118"/>
      <c r="AQ98" s="1186"/>
      <c r="AR98" s="1120"/>
      <c r="AS98" s="1121"/>
      <c r="AT98" s="1122"/>
      <c r="AU98" s="1123"/>
      <c r="AV98" s="1124"/>
      <c r="AW98" s="1187"/>
      <c r="AX98" s="1134"/>
    </row>
    <row r="99" spans="11:50">
      <c r="K99" s="41"/>
      <c r="L99" s="10"/>
      <c r="M99" s="10"/>
      <c r="N99" s="44"/>
      <c r="O99" s="10"/>
      <c r="P99" s="251"/>
      <c r="Q99" s="251"/>
      <c r="R99" s="251"/>
      <c r="S99" s="218"/>
      <c r="T99" s="41"/>
      <c r="U99" s="10"/>
      <c r="V99" s="10"/>
      <c r="W99" s="44"/>
      <c r="X99" s="10"/>
      <c r="Y99" s="251"/>
      <c r="Z99" s="251"/>
      <c r="AA99" s="251"/>
      <c r="AB99" s="218"/>
      <c r="AC99" s="41"/>
      <c r="AD99" s="10"/>
      <c r="AE99" s="10"/>
      <c r="AF99" s="44"/>
      <c r="AG99" s="10"/>
      <c r="AH99" s="251"/>
      <c r="AI99" s="251"/>
      <c r="AJ99" s="251"/>
      <c r="AL99" s="1182"/>
      <c r="AM99" s="1183"/>
      <c r="AN99" s="1184"/>
      <c r="AO99" s="1188"/>
      <c r="AP99" s="1118"/>
      <c r="AQ99" s="1186"/>
      <c r="AR99" s="1120"/>
      <c r="AS99" s="1121"/>
      <c r="AT99" s="1122"/>
      <c r="AU99" s="1123"/>
      <c r="AV99" s="1124"/>
      <c r="AW99" s="1187"/>
      <c r="AX99" s="1134"/>
    </row>
    <row r="100" spans="11:50">
      <c r="K100" s="42"/>
      <c r="L100" s="12"/>
      <c r="M100" s="45"/>
      <c r="N100" s="12"/>
      <c r="O100" s="12"/>
      <c r="P100" s="252"/>
      <c r="Q100" s="252"/>
      <c r="R100" s="252"/>
      <c r="S100" s="218"/>
      <c r="T100" s="42"/>
      <c r="U100" s="12"/>
      <c r="V100" s="45"/>
      <c r="W100" s="12"/>
      <c r="X100" s="12"/>
      <c r="Y100" s="252"/>
      <c r="Z100" s="252"/>
      <c r="AA100" s="252"/>
      <c r="AB100" s="218"/>
      <c r="AC100" s="42"/>
      <c r="AD100" s="12"/>
      <c r="AE100" s="45"/>
      <c r="AF100" s="12"/>
      <c r="AG100" s="12"/>
      <c r="AH100" s="252"/>
      <c r="AI100" s="252"/>
      <c r="AJ100" s="252"/>
      <c r="AL100" s="1182"/>
      <c r="AM100" s="1183"/>
      <c r="AN100" s="1184"/>
      <c r="AO100" s="1188"/>
      <c r="AP100" s="1118"/>
      <c r="AQ100" s="1186"/>
      <c r="AR100" s="1120"/>
      <c r="AS100" s="1121"/>
      <c r="AT100" s="1122"/>
      <c r="AU100" s="1123"/>
      <c r="AV100" s="1124"/>
      <c r="AW100" s="1187"/>
      <c r="AX100" s="1134"/>
    </row>
    <row r="101" spans="11:50">
      <c r="K101" s="41"/>
      <c r="L101" s="10"/>
      <c r="M101" s="10"/>
      <c r="N101" s="10"/>
      <c r="O101" s="10"/>
      <c r="P101" s="11"/>
      <c r="Q101" s="11"/>
      <c r="R101" s="11"/>
      <c r="S101" s="218"/>
      <c r="T101" s="41"/>
      <c r="U101" s="44"/>
      <c r="V101" s="10"/>
      <c r="W101" s="10"/>
      <c r="X101" s="10"/>
      <c r="Y101" s="251"/>
      <c r="Z101" s="251"/>
      <c r="AA101" s="251"/>
      <c r="AB101" s="218"/>
      <c r="AC101" s="41"/>
      <c r="AD101" s="44"/>
      <c r="AE101" s="10"/>
      <c r="AF101" s="10"/>
      <c r="AG101" s="10"/>
      <c r="AH101" s="251"/>
      <c r="AI101" s="251"/>
      <c r="AJ101" s="251"/>
      <c r="AL101" s="1182"/>
      <c r="AM101" s="1183"/>
      <c r="AN101" s="1184"/>
      <c r="AO101" s="1188"/>
      <c r="AP101" s="1118"/>
      <c r="AQ101" s="1186"/>
      <c r="AR101" s="1120"/>
      <c r="AS101" s="1121"/>
      <c r="AT101" s="1122"/>
      <c r="AU101" s="1123"/>
      <c r="AV101" s="1124"/>
      <c r="AW101" s="1187"/>
      <c r="AX101" s="1134"/>
    </row>
    <row r="102" spans="11:50">
      <c r="K102" s="42"/>
      <c r="L102" s="12"/>
      <c r="M102" s="12"/>
      <c r="N102" s="12"/>
      <c r="O102" s="45"/>
      <c r="P102" s="252"/>
      <c r="Q102" s="252"/>
      <c r="R102" s="252"/>
      <c r="S102" s="218"/>
      <c r="T102" s="42"/>
      <c r="U102" s="12"/>
      <c r="V102" s="12"/>
      <c r="W102" s="12"/>
      <c r="X102" s="12"/>
      <c r="Y102" s="13"/>
      <c r="Z102" s="13"/>
      <c r="AA102" s="13"/>
      <c r="AB102" s="218"/>
      <c r="AC102" s="42"/>
      <c r="AD102" s="12"/>
      <c r="AE102" s="12"/>
      <c r="AF102" s="12"/>
      <c r="AG102" s="12"/>
      <c r="AH102" s="13"/>
      <c r="AI102" s="13"/>
      <c r="AJ102" s="13"/>
      <c r="AL102" s="1182"/>
      <c r="AM102" s="1183"/>
      <c r="AN102" s="1184"/>
      <c r="AO102" s="1188"/>
      <c r="AP102" s="1118"/>
      <c r="AQ102" s="1186"/>
      <c r="AR102" s="1120"/>
      <c r="AS102" s="1121"/>
      <c r="AT102" s="1122"/>
      <c r="AU102" s="1123"/>
      <c r="AV102" s="1124"/>
      <c r="AW102" s="1187"/>
      <c r="AX102" s="1134"/>
    </row>
    <row r="103" spans="11:50">
      <c r="K103" s="41"/>
      <c r="L103" s="10"/>
      <c r="M103" s="10"/>
      <c r="N103" s="44"/>
      <c r="O103" s="10"/>
      <c r="P103" s="251"/>
      <c r="Q103" s="251"/>
      <c r="R103" s="251"/>
      <c r="S103" s="218"/>
      <c r="T103" s="41"/>
      <c r="U103" s="10"/>
      <c r="V103" s="10"/>
      <c r="W103" s="10"/>
      <c r="X103" s="10"/>
      <c r="Y103" s="11"/>
      <c r="Z103" s="11"/>
      <c r="AA103" s="11"/>
      <c r="AB103" s="218"/>
      <c r="AC103" s="41"/>
      <c r="AD103" s="10"/>
      <c r="AE103" s="10"/>
      <c r="AF103" s="10"/>
      <c r="AG103" s="10"/>
      <c r="AH103" s="11"/>
      <c r="AI103" s="11"/>
      <c r="AJ103" s="11"/>
      <c r="AL103" s="1182"/>
      <c r="AM103" s="1183"/>
      <c r="AN103" s="1184"/>
      <c r="AO103" s="1188"/>
      <c r="AP103" s="1118"/>
      <c r="AQ103" s="1186"/>
      <c r="AR103" s="1120"/>
      <c r="AS103" s="1121"/>
      <c r="AT103" s="1122"/>
      <c r="AU103" s="1123"/>
      <c r="AV103" s="1124"/>
      <c r="AW103" s="1187"/>
      <c r="AX103" s="1134"/>
    </row>
    <row r="104" spans="11:50">
      <c r="K104" s="42"/>
      <c r="L104" s="12"/>
      <c r="M104" s="45"/>
      <c r="N104" s="12"/>
      <c r="O104" s="12"/>
      <c r="P104" s="252"/>
      <c r="Q104" s="252"/>
      <c r="R104" s="252"/>
      <c r="S104" s="218"/>
      <c r="T104" s="42"/>
      <c r="U104" s="12"/>
      <c r="V104" s="12"/>
      <c r="W104" s="12"/>
      <c r="X104" s="12"/>
      <c r="Y104" s="13"/>
      <c r="Z104" s="13"/>
      <c r="AA104" s="13"/>
      <c r="AB104" s="218"/>
      <c r="AC104" s="42"/>
      <c r="AD104" s="12"/>
      <c r="AE104" s="12"/>
      <c r="AF104" s="12"/>
      <c r="AG104" s="12"/>
      <c r="AH104" s="13"/>
      <c r="AI104" s="13"/>
      <c r="AJ104" s="13"/>
      <c r="AL104" s="1182"/>
      <c r="AM104" s="1183"/>
      <c r="AN104" s="1184"/>
      <c r="AO104" s="1188"/>
      <c r="AP104" s="1118"/>
      <c r="AQ104" s="1186"/>
      <c r="AR104" s="1120"/>
      <c r="AS104" s="1121"/>
      <c r="AT104" s="1122"/>
      <c r="AU104" s="1123"/>
      <c r="AV104" s="1124"/>
      <c r="AW104" s="1187"/>
      <c r="AX104" s="1134"/>
    </row>
    <row r="105" spans="11:50">
      <c r="K105" s="41"/>
      <c r="L105" s="44"/>
      <c r="M105" s="10"/>
      <c r="N105" s="10"/>
      <c r="O105" s="10"/>
      <c r="P105" s="251"/>
      <c r="Q105" s="251"/>
      <c r="R105" s="251"/>
      <c r="S105" s="218"/>
      <c r="T105" s="41"/>
      <c r="U105" s="10"/>
      <c r="V105" s="10"/>
      <c r="W105" s="10"/>
      <c r="X105" s="10"/>
      <c r="Y105" s="11"/>
      <c r="Z105" s="11"/>
      <c r="AA105" s="11"/>
      <c r="AB105" s="218"/>
      <c r="AC105" s="41"/>
      <c r="AD105" s="10"/>
      <c r="AE105" s="10"/>
      <c r="AF105" s="10"/>
      <c r="AG105" s="10"/>
      <c r="AH105" s="11"/>
      <c r="AI105" s="11"/>
      <c r="AJ105" s="11"/>
      <c r="AL105" s="1182"/>
      <c r="AM105" s="1183"/>
      <c r="AN105" s="1184"/>
      <c r="AO105" s="1188"/>
      <c r="AP105" s="1118"/>
      <c r="AQ105" s="1186"/>
      <c r="AR105" s="1120"/>
      <c r="AS105" s="1121"/>
      <c r="AT105" s="1122"/>
      <c r="AU105" s="1123"/>
      <c r="AV105" s="1124"/>
      <c r="AW105" s="1187"/>
      <c r="AX105" s="1134"/>
    </row>
    <row r="106" spans="11:50">
      <c r="K106" s="42"/>
      <c r="L106" s="12"/>
      <c r="M106" s="12"/>
      <c r="N106" s="12"/>
      <c r="O106" s="12"/>
      <c r="P106" s="13"/>
      <c r="Q106" s="13"/>
      <c r="R106" s="13"/>
      <c r="S106" s="218"/>
      <c r="T106" s="42"/>
      <c r="U106" s="12"/>
      <c r="V106" s="12"/>
      <c r="W106" s="12"/>
      <c r="X106" s="12"/>
      <c r="Y106" s="13"/>
      <c r="Z106" s="13"/>
      <c r="AA106" s="13"/>
      <c r="AB106" s="218"/>
      <c r="AC106" s="42"/>
      <c r="AD106" s="12"/>
      <c r="AE106" s="12"/>
      <c r="AF106" s="12"/>
      <c r="AG106" s="12"/>
      <c r="AH106" s="13"/>
      <c r="AI106" s="13"/>
      <c r="AJ106" s="13"/>
      <c r="AL106" s="1182"/>
      <c r="AM106" s="1183"/>
      <c r="AN106" s="1184"/>
      <c r="AO106" s="1188"/>
      <c r="AP106" s="1118"/>
      <c r="AQ106" s="1186"/>
      <c r="AR106" s="1120"/>
      <c r="AS106" s="1121"/>
      <c r="AT106" s="1122"/>
      <c r="AU106" s="1123"/>
      <c r="AV106" s="1124"/>
      <c r="AW106" s="1187"/>
      <c r="AX106" s="1134"/>
    </row>
    <row r="107" spans="11:50">
      <c r="K107" s="41"/>
      <c r="L107" s="10"/>
      <c r="M107" s="10"/>
      <c r="N107" s="10"/>
      <c r="O107" s="44"/>
      <c r="P107" s="251"/>
      <c r="Q107" s="251"/>
      <c r="R107" s="251"/>
      <c r="S107" s="218"/>
      <c r="T107" s="41"/>
      <c r="U107" s="10"/>
      <c r="V107" s="10"/>
      <c r="W107" s="10"/>
      <c r="X107" s="10"/>
      <c r="Y107" s="11"/>
      <c r="Z107" s="11"/>
      <c r="AA107" s="11"/>
      <c r="AB107" s="218"/>
      <c r="AC107" s="41"/>
      <c r="AD107" s="10"/>
      <c r="AE107" s="10"/>
      <c r="AF107" s="10"/>
      <c r="AG107" s="10"/>
      <c r="AH107" s="11"/>
      <c r="AI107" s="11"/>
      <c r="AJ107" s="11"/>
      <c r="AL107" s="1182"/>
      <c r="AM107" s="1183"/>
      <c r="AN107" s="1184"/>
      <c r="AO107" s="1188"/>
      <c r="AP107" s="1118"/>
      <c r="AQ107" s="1186"/>
      <c r="AR107" s="1120"/>
      <c r="AS107" s="1121"/>
      <c r="AT107" s="1122"/>
      <c r="AU107" s="1123"/>
      <c r="AV107" s="1124"/>
      <c r="AW107" s="1187"/>
      <c r="AX107" s="1134"/>
    </row>
    <row r="108" spans="11:50">
      <c r="K108" s="42"/>
      <c r="L108" s="12"/>
      <c r="M108" s="12"/>
      <c r="N108" s="45"/>
      <c r="O108" s="12"/>
      <c r="P108" s="252"/>
      <c r="Q108" s="252"/>
      <c r="R108" s="252"/>
      <c r="S108" s="218"/>
      <c r="T108" s="42"/>
      <c r="U108" s="12"/>
      <c r="V108" s="12"/>
      <c r="W108" s="12"/>
      <c r="X108" s="12"/>
      <c r="Y108" s="13"/>
      <c r="Z108" s="13"/>
      <c r="AA108" s="13"/>
      <c r="AB108" s="218"/>
      <c r="AC108" s="42"/>
      <c r="AD108" s="12"/>
      <c r="AE108" s="12"/>
      <c r="AF108" s="12"/>
      <c r="AG108" s="12"/>
      <c r="AH108" s="13"/>
      <c r="AI108" s="13"/>
      <c r="AJ108" s="13"/>
      <c r="AL108" s="1182"/>
      <c r="AM108" s="1183"/>
      <c r="AN108" s="1184"/>
      <c r="AO108" s="1188"/>
      <c r="AP108" s="1118"/>
      <c r="AQ108" s="1186"/>
      <c r="AR108" s="1120"/>
      <c r="AS108" s="1121"/>
      <c r="AT108" s="1122"/>
      <c r="AU108" s="1123"/>
      <c r="AV108" s="1124"/>
      <c r="AW108" s="1187"/>
      <c r="AX108" s="1134"/>
    </row>
    <row r="109" spans="11:50">
      <c r="K109" s="41"/>
      <c r="L109" s="10"/>
      <c r="M109" s="44"/>
      <c r="N109" s="10"/>
      <c r="O109" s="10"/>
      <c r="P109" s="251"/>
      <c r="Q109" s="251"/>
      <c r="R109" s="251"/>
      <c r="S109" s="218"/>
      <c r="T109" s="41"/>
      <c r="U109" s="10"/>
      <c r="V109" s="10"/>
      <c r="W109" s="10"/>
      <c r="X109" s="10"/>
      <c r="Y109" s="11"/>
      <c r="Z109" s="11"/>
      <c r="AA109" s="11"/>
      <c r="AB109" s="218"/>
      <c r="AC109" s="41"/>
      <c r="AD109" s="10"/>
      <c r="AE109" s="10"/>
      <c r="AF109" s="10"/>
      <c r="AG109" s="10"/>
      <c r="AH109" s="11"/>
      <c r="AI109" s="11"/>
      <c r="AJ109" s="11"/>
      <c r="AL109" s="1182"/>
      <c r="AM109" s="1183"/>
      <c r="AN109" s="1184"/>
      <c r="AO109" s="1188"/>
      <c r="AP109" s="1118"/>
      <c r="AQ109" s="1186"/>
      <c r="AR109" s="1120"/>
      <c r="AS109" s="1121"/>
      <c r="AT109" s="1122"/>
      <c r="AU109" s="1123"/>
      <c r="AV109" s="1124"/>
      <c r="AW109" s="1187"/>
      <c r="AX109" s="1134"/>
    </row>
    <row r="110" spans="11:50">
      <c r="K110" s="42"/>
      <c r="L110" s="45"/>
      <c r="M110" s="12"/>
      <c r="N110" s="12"/>
      <c r="O110" s="12"/>
      <c r="P110" s="252"/>
      <c r="Q110" s="252"/>
      <c r="R110" s="252"/>
      <c r="S110" s="218"/>
      <c r="T110" s="42"/>
      <c r="U110" s="12"/>
      <c r="V110" s="12"/>
      <c r="W110" s="12"/>
      <c r="X110" s="12"/>
      <c r="Y110" s="13"/>
      <c r="Z110" s="13"/>
      <c r="AA110" s="13"/>
      <c r="AB110" s="218"/>
      <c r="AC110" s="42"/>
      <c r="AD110" s="12"/>
      <c r="AE110" s="12"/>
      <c r="AF110" s="12"/>
      <c r="AG110" s="12"/>
      <c r="AH110" s="13"/>
      <c r="AI110" s="13"/>
      <c r="AJ110" s="13"/>
      <c r="AL110" s="1182"/>
      <c r="AM110" s="1183"/>
      <c r="AN110" s="1184"/>
      <c r="AO110" s="1188"/>
      <c r="AP110" s="1118"/>
      <c r="AQ110" s="1186"/>
      <c r="AR110" s="1120"/>
      <c r="AS110" s="1121"/>
      <c r="AT110" s="1122"/>
      <c r="AU110" s="1123"/>
      <c r="AV110" s="1124"/>
      <c r="AW110" s="1187"/>
      <c r="AX110" s="1134"/>
    </row>
    <row r="111" spans="11:50">
      <c r="K111" s="41"/>
      <c r="L111" s="10"/>
      <c r="M111" s="10"/>
      <c r="N111" s="10"/>
      <c r="O111" s="10"/>
      <c r="P111" s="11"/>
      <c r="Q111" s="11"/>
      <c r="R111" s="11"/>
      <c r="S111" s="218"/>
      <c r="T111" s="41"/>
      <c r="U111" s="10"/>
      <c r="V111" s="10"/>
      <c r="W111" s="10"/>
      <c r="X111" s="10"/>
      <c r="Y111" s="11"/>
      <c r="Z111" s="11"/>
      <c r="AA111" s="11"/>
      <c r="AB111" s="218"/>
      <c r="AC111" s="41"/>
      <c r="AD111" s="10"/>
      <c r="AE111" s="10"/>
      <c r="AF111" s="10"/>
      <c r="AG111" s="10"/>
      <c r="AH111" s="11"/>
      <c r="AI111" s="11"/>
      <c r="AJ111" s="11"/>
      <c r="AL111" s="1182"/>
      <c r="AM111" s="1183"/>
      <c r="AN111" s="1184"/>
      <c r="AO111" s="1188"/>
      <c r="AP111" s="1118"/>
      <c r="AQ111" s="1186"/>
      <c r="AR111" s="1120"/>
      <c r="AS111" s="1121"/>
      <c r="AT111" s="1122"/>
      <c r="AU111" s="1123"/>
      <c r="AV111" s="1124"/>
      <c r="AW111" s="1187"/>
      <c r="AX111" s="1134"/>
    </row>
    <row r="112" spans="11:50">
      <c r="K112" s="42"/>
      <c r="L112" s="12"/>
      <c r="M112" s="12"/>
      <c r="N112" s="12"/>
      <c r="O112" s="12"/>
      <c r="P112" s="13"/>
      <c r="Q112" s="13"/>
      <c r="R112" s="13"/>
      <c r="S112" s="218"/>
      <c r="T112" s="42"/>
      <c r="U112" s="12"/>
      <c r="V112" s="12"/>
      <c r="W112" s="12"/>
      <c r="X112" s="12"/>
      <c r="Y112" s="13"/>
      <c r="Z112" s="13"/>
      <c r="AA112" s="13"/>
      <c r="AB112" s="218"/>
      <c r="AC112" s="42"/>
      <c r="AD112" s="12"/>
      <c r="AE112" s="12"/>
      <c r="AF112" s="12"/>
      <c r="AG112" s="12"/>
      <c r="AH112" s="13"/>
      <c r="AI112" s="13"/>
      <c r="AJ112" s="13"/>
      <c r="AL112" s="1182"/>
      <c r="AM112" s="1183"/>
      <c r="AN112" s="1184"/>
      <c r="AO112" s="1188"/>
      <c r="AP112" s="1118"/>
      <c r="AQ112" s="1186"/>
      <c r="AR112" s="1120"/>
      <c r="AS112" s="1121"/>
      <c r="AT112" s="1122"/>
      <c r="AU112" s="1123"/>
      <c r="AV112" s="1124"/>
      <c r="AW112" s="1187"/>
      <c r="AX112" s="1134"/>
    </row>
    <row r="113" spans="11:50">
      <c r="K113" s="221"/>
      <c r="L113" s="222"/>
      <c r="M113" s="222"/>
      <c r="N113" s="222"/>
      <c r="O113" s="222"/>
      <c r="P113" s="223"/>
      <c r="Q113" s="223"/>
      <c r="R113" s="223"/>
      <c r="S113" s="218"/>
      <c r="T113" s="221"/>
      <c r="U113" s="222"/>
      <c r="V113" s="222"/>
      <c r="W113" s="222"/>
      <c r="X113" s="222"/>
      <c r="Y113" s="223"/>
      <c r="Z113" s="223"/>
      <c r="AA113" s="223"/>
      <c r="AB113" s="218"/>
      <c r="AC113" s="221"/>
      <c r="AD113" s="222"/>
      <c r="AE113" s="222"/>
      <c r="AF113" s="222"/>
      <c r="AG113" s="222"/>
      <c r="AH113" s="223"/>
      <c r="AI113" s="223"/>
      <c r="AJ113" s="223"/>
      <c r="AL113" s="1182"/>
      <c r="AM113" s="1183"/>
      <c r="AN113" s="1184"/>
      <c r="AO113" s="1188"/>
      <c r="AP113" s="1118"/>
      <c r="AQ113" s="1186"/>
      <c r="AR113" s="1120"/>
      <c r="AS113" s="1121"/>
      <c r="AT113" s="1122"/>
      <c r="AU113" s="1123"/>
      <c r="AV113" s="1124"/>
      <c r="AW113" s="1187"/>
      <c r="AX113" s="1134"/>
    </row>
    <row r="114" spans="11:50">
      <c r="AL114" s="1182"/>
      <c r="AM114" s="1183"/>
      <c r="AN114" s="1184"/>
      <c r="AO114" s="1188"/>
      <c r="AP114" s="1118"/>
      <c r="AQ114" s="1186"/>
      <c r="AR114" s="1120"/>
      <c r="AS114" s="1121"/>
      <c r="AT114" s="1122"/>
      <c r="AU114" s="1123"/>
      <c r="AV114" s="1124"/>
      <c r="AW114" s="1187"/>
      <c r="AX114" s="1134"/>
    </row>
    <row r="115" spans="11:50">
      <c r="AL115" s="1182"/>
      <c r="AM115" s="1183"/>
      <c r="AN115" s="1184"/>
      <c r="AO115" s="1188"/>
      <c r="AP115" s="1118"/>
      <c r="AQ115" s="1186"/>
      <c r="AR115" s="1120"/>
      <c r="AS115" s="1121"/>
      <c r="AT115" s="1122"/>
      <c r="AU115" s="1123"/>
      <c r="AV115" s="1124"/>
      <c r="AW115" s="1187"/>
      <c r="AX115" s="1134"/>
    </row>
    <row r="116" spans="11:50">
      <c r="AL116" s="1182"/>
      <c r="AM116" s="1183"/>
      <c r="AN116" s="1184"/>
      <c r="AO116" s="1188"/>
      <c r="AP116" s="1118"/>
      <c r="AQ116" s="1186"/>
      <c r="AR116" s="1120"/>
      <c r="AS116" s="1121"/>
      <c r="AT116" s="1122"/>
      <c r="AU116" s="1123"/>
      <c r="AV116" s="1124"/>
      <c r="AW116" s="1187"/>
      <c r="AX116" s="1134"/>
    </row>
    <row r="117" spans="11:50">
      <c r="AL117" s="1182"/>
      <c r="AM117" s="1183"/>
      <c r="AN117" s="1184"/>
      <c r="AO117" s="1188"/>
      <c r="AP117" s="1118"/>
      <c r="AQ117" s="1186"/>
      <c r="AR117" s="1120"/>
      <c r="AS117" s="1121"/>
      <c r="AT117" s="1122"/>
      <c r="AU117" s="1123"/>
      <c r="AV117" s="1124"/>
      <c r="AW117" s="1187"/>
      <c r="AX117" s="1134"/>
    </row>
    <row r="118" spans="11:50">
      <c r="AL118" s="1182"/>
      <c r="AM118" s="1183"/>
      <c r="AN118" s="1184"/>
      <c r="AO118" s="1188"/>
      <c r="AP118" s="1118"/>
      <c r="AQ118" s="1186"/>
      <c r="AR118" s="1120"/>
      <c r="AS118" s="1121"/>
      <c r="AT118" s="1122"/>
      <c r="AU118" s="1123"/>
      <c r="AV118" s="1124"/>
      <c r="AW118" s="1187"/>
      <c r="AX118" s="1134"/>
    </row>
    <row r="119" spans="11:50">
      <c r="AL119" s="1182"/>
      <c r="AM119" s="1183"/>
      <c r="AN119" s="1184"/>
      <c r="AO119" s="1188"/>
      <c r="AP119" s="1118"/>
      <c r="AQ119" s="1186"/>
      <c r="AR119" s="1120"/>
      <c r="AS119" s="1121"/>
      <c r="AT119" s="1122"/>
      <c r="AU119" s="1123"/>
      <c r="AV119" s="1124"/>
      <c r="AW119" s="1187"/>
      <c r="AX119" s="1134"/>
    </row>
    <row r="120" spans="11:50">
      <c r="AL120" s="1182"/>
      <c r="AM120" s="1183"/>
      <c r="AN120" s="1184"/>
      <c r="AO120" s="1188"/>
      <c r="AP120" s="1118"/>
      <c r="AQ120" s="1186"/>
      <c r="AR120" s="1120"/>
      <c r="AS120" s="1121"/>
      <c r="AT120" s="1122"/>
      <c r="AU120" s="1123"/>
      <c r="AV120" s="1124"/>
      <c r="AW120" s="1187"/>
      <c r="AX120" s="1134"/>
    </row>
    <row r="121" spans="11:50">
      <c r="AL121" s="1182"/>
      <c r="AM121" s="1183"/>
      <c r="AN121" s="1184"/>
      <c r="AO121" s="1188"/>
      <c r="AP121" s="1118"/>
      <c r="AQ121" s="1186"/>
      <c r="AR121" s="1120"/>
      <c r="AS121" s="1121"/>
      <c r="AT121" s="1122"/>
      <c r="AU121" s="1123"/>
      <c r="AV121" s="1124"/>
      <c r="AW121" s="1187"/>
      <c r="AX121" s="1134"/>
    </row>
    <row r="122" spans="11:50">
      <c r="AL122" s="1182"/>
      <c r="AM122" s="1183"/>
      <c r="AN122" s="1184"/>
      <c r="AO122" s="1188"/>
      <c r="AP122" s="1118"/>
      <c r="AQ122" s="1186"/>
      <c r="AR122" s="1120"/>
      <c r="AS122" s="1121"/>
      <c r="AT122" s="1122"/>
      <c r="AU122" s="1123"/>
      <c r="AV122" s="1124"/>
      <c r="AW122" s="1187"/>
      <c r="AX122" s="1134"/>
    </row>
    <row r="123" spans="11:50">
      <c r="AL123" s="1182"/>
      <c r="AM123" s="1183"/>
      <c r="AN123" s="1184"/>
      <c r="AO123" s="1188"/>
      <c r="AP123" s="1118"/>
      <c r="AQ123" s="1186"/>
      <c r="AR123" s="1120"/>
      <c r="AS123" s="1121"/>
      <c r="AT123" s="1122"/>
      <c r="AU123" s="1123"/>
      <c r="AV123" s="1124"/>
      <c r="AW123" s="1187"/>
      <c r="AX123" s="1134"/>
    </row>
    <row r="124" spans="11:50">
      <c r="AL124" s="1182"/>
      <c r="AM124" s="1183"/>
      <c r="AN124" s="1184"/>
      <c r="AO124" s="1188"/>
      <c r="AP124" s="1118"/>
      <c r="AQ124" s="1186"/>
      <c r="AR124" s="1120"/>
      <c r="AS124" s="1121"/>
      <c r="AT124" s="1122"/>
      <c r="AU124" s="1123"/>
      <c r="AV124" s="1124"/>
      <c r="AW124" s="1187"/>
      <c r="AX124" s="1134"/>
    </row>
    <row r="125" spans="11:50">
      <c r="AL125" s="1182"/>
      <c r="AM125" s="1183"/>
      <c r="AN125" s="1184"/>
      <c r="AO125" s="1188"/>
      <c r="AP125" s="1118"/>
      <c r="AQ125" s="1186"/>
      <c r="AR125" s="1120"/>
      <c r="AS125" s="1121"/>
      <c r="AT125" s="1122"/>
      <c r="AU125" s="1123"/>
      <c r="AV125" s="1124"/>
      <c r="AW125" s="1187"/>
      <c r="AX125" s="1134"/>
    </row>
    <row r="126" spans="11:50">
      <c r="AL126" s="1182"/>
      <c r="AM126" s="1183"/>
      <c r="AN126" s="1184"/>
      <c r="AO126" s="1188"/>
      <c r="AP126" s="1118"/>
      <c r="AQ126" s="1186"/>
      <c r="AR126" s="1120"/>
      <c r="AS126" s="1121"/>
      <c r="AT126" s="1122"/>
      <c r="AU126" s="1123"/>
      <c r="AV126" s="1124"/>
      <c r="AW126" s="1187"/>
      <c r="AX126" s="1134"/>
    </row>
    <row r="127" spans="11:50">
      <c r="AL127" s="1182"/>
      <c r="AM127" s="1183"/>
      <c r="AN127" s="1184"/>
      <c r="AO127" s="1188"/>
      <c r="AP127" s="1118"/>
      <c r="AQ127" s="1186"/>
      <c r="AR127" s="1120"/>
      <c r="AS127" s="1121"/>
      <c r="AT127" s="1122"/>
      <c r="AU127" s="1123"/>
      <c r="AV127" s="1124"/>
      <c r="AW127" s="1187"/>
      <c r="AX127" s="1134"/>
    </row>
    <row r="128" spans="11:50">
      <c r="AL128" s="1182"/>
      <c r="AM128" s="1183"/>
      <c r="AN128" s="1184"/>
      <c r="AO128" s="1188"/>
      <c r="AP128" s="1118"/>
      <c r="AQ128" s="1186"/>
      <c r="AR128" s="1120"/>
      <c r="AS128" s="1121"/>
      <c r="AT128" s="1122"/>
      <c r="AU128" s="1123"/>
      <c r="AV128" s="1124"/>
      <c r="AW128" s="1187"/>
      <c r="AX128" s="1134"/>
    </row>
    <row r="129" spans="38:50">
      <c r="AL129" s="1182"/>
      <c r="AM129" s="1183"/>
      <c r="AN129" s="1184"/>
      <c r="AO129" s="1188"/>
      <c r="AP129" s="1118"/>
      <c r="AQ129" s="1186"/>
      <c r="AR129" s="1120"/>
      <c r="AS129" s="1121"/>
      <c r="AT129" s="1122"/>
      <c r="AU129" s="1123"/>
      <c r="AV129" s="1124"/>
      <c r="AW129" s="1187"/>
      <c r="AX129" s="1134"/>
    </row>
    <row r="130" spans="38:50">
      <c r="AL130" s="1182"/>
      <c r="AM130" s="1183"/>
      <c r="AN130" s="1184"/>
      <c r="AO130" s="1188"/>
      <c r="AP130" s="1118"/>
      <c r="AQ130" s="1186"/>
      <c r="AR130" s="1120"/>
      <c r="AS130" s="1121"/>
      <c r="AT130" s="1122"/>
      <c r="AU130" s="1123"/>
      <c r="AV130" s="1124"/>
      <c r="AW130" s="1187"/>
      <c r="AX130" s="1134"/>
    </row>
    <row r="131" spans="38:50">
      <c r="AL131" s="1182"/>
      <c r="AM131" s="1183"/>
      <c r="AN131" s="1184"/>
      <c r="AO131" s="1188"/>
      <c r="AP131" s="1118"/>
      <c r="AQ131" s="1186"/>
      <c r="AR131" s="1120"/>
      <c r="AS131" s="1121"/>
      <c r="AT131" s="1122"/>
      <c r="AU131" s="1123"/>
      <c r="AV131" s="1124"/>
      <c r="AW131" s="1187"/>
      <c r="AX131" s="1134"/>
    </row>
    <row r="132" spans="38:50">
      <c r="AL132" s="1182"/>
      <c r="AM132" s="1183"/>
      <c r="AN132" s="1184"/>
      <c r="AO132" s="1188"/>
      <c r="AP132" s="1118"/>
      <c r="AQ132" s="1186"/>
      <c r="AR132" s="1120"/>
      <c r="AS132" s="1121"/>
      <c r="AT132" s="1122"/>
      <c r="AU132" s="1123"/>
      <c r="AV132" s="1124"/>
      <c r="AW132" s="1187"/>
      <c r="AX132" s="1134"/>
    </row>
    <row r="133" spans="38:50">
      <c r="AL133" s="1182"/>
      <c r="AM133" s="1183"/>
      <c r="AN133" s="1184"/>
      <c r="AO133" s="1188"/>
      <c r="AP133" s="1118"/>
      <c r="AQ133" s="1186"/>
      <c r="AR133" s="1120"/>
      <c r="AS133" s="1121"/>
      <c r="AT133" s="1122"/>
      <c r="AU133" s="1123"/>
      <c r="AV133" s="1124"/>
      <c r="AW133" s="1187"/>
      <c r="AX133" s="1134"/>
    </row>
    <row r="134" spans="38:50">
      <c r="AL134" s="1182"/>
      <c r="AM134" s="1183"/>
      <c r="AN134" s="1184"/>
      <c r="AO134" s="1188"/>
      <c r="AP134" s="1118"/>
      <c r="AQ134" s="1186"/>
      <c r="AR134" s="1120"/>
      <c r="AS134" s="1121"/>
      <c r="AT134" s="1122"/>
      <c r="AU134" s="1123"/>
      <c r="AV134" s="1124"/>
      <c r="AW134" s="1187"/>
      <c r="AX134" s="1134"/>
    </row>
    <row r="135" spans="38:50">
      <c r="AL135" s="1182"/>
      <c r="AM135" s="1183"/>
      <c r="AN135" s="1184"/>
      <c r="AO135" s="1188"/>
      <c r="AP135" s="1118"/>
      <c r="AQ135" s="1186"/>
      <c r="AR135" s="1120"/>
      <c r="AS135" s="1121"/>
      <c r="AT135" s="1122"/>
      <c r="AU135" s="1123"/>
      <c r="AV135" s="1124"/>
      <c r="AW135" s="1187"/>
      <c r="AX135" s="1134"/>
    </row>
    <row r="136" spans="38:50">
      <c r="AL136" s="1182"/>
      <c r="AM136" s="1183"/>
      <c r="AN136" s="1184"/>
      <c r="AO136" s="1188"/>
      <c r="AP136" s="1118"/>
      <c r="AQ136" s="1186"/>
      <c r="AR136" s="1120"/>
      <c r="AS136" s="1121"/>
      <c r="AT136" s="1122"/>
      <c r="AU136" s="1123"/>
      <c r="AV136" s="1124"/>
      <c r="AW136" s="1187"/>
      <c r="AX136" s="1134"/>
    </row>
    <row r="137" spans="38:50">
      <c r="AL137" s="1182"/>
      <c r="AM137" s="1183"/>
      <c r="AN137" s="1184"/>
      <c r="AO137" s="1188"/>
      <c r="AP137" s="1118"/>
      <c r="AQ137" s="1186"/>
      <c r="AR137" s="1120"/>
      <c r="AS137" s="1121"/>
      <c r="AT137" s="1122"/>
      <c r="AU137" s="1123"/>
      <c r="AV137" s="1124"/>
      <c r="AW137" s="1187"/>
      <c r="AX137" s="1134"/>
    </row>
    <row r="138" spans="38:50">
      <c r="AL138" s="1182"/>
      <c r="AM138" s="1183"/>
      <c r="AN138" s="1184"/>
      <c r="AO138" s="1188"/>
      <c r="AP138" s="1118"/>
      <c r="AQ138" s="1186"/>
      <c r="AR138" s="1120"/>
      <c r="AS138" s="1121"/>
      <c r="AT138" s="1122"/>
      <c r="AU138" s="1123"/>
      <c r="AV138" s="1124"/>
      <c r="AW138" s="1187"/>
      <c r="AX138" s="1134"/>
    </row>
    <row r="139" spans="38:50">
      <c r="AL139" s="1182"/>
      <c r="AM139" s="1183"/>
      <c r="AN139" s="1184"/>
      <c r="AO139" s="1188"/>
      <c r="AP139" s="1118"/>
      <c r="AQ139" s="1186"/>
      <c r="AR139" s="1120"/>
      <c r="AS139" s="1121"/>
      <c r="AT139" s="1122"/>
      <c r="AU139" s="1123"/>
      <c r="AV139" s="1124"/>
      <c r="AW139" s="1187"/>
      <c r="AX139" s="1134"/>
    </row>
    <row r="140" spans="38:50">
      <c r="AL140" s="1182"/>
      <c r="AM140" s="1183"/>
      <c r="AN140" s="1184"/>
      <c r="AO140" s="1188"/>
      <c r="AP140" s="1118"/>
      <c r="AQ140" s="1186"/>
      <c r="AR140" s="1120"/>
      <c r="AS140" s="1121"/>
      <c r="AT140" s="1122"/>
      <c r="AU140" s="1123"/>
      <c r="AV140" s="1124"/>
      <c r="AW140" s="1187"/>
      <c r="AX140" s="1134"/>
    </row>
    <row r="141" spans="38:50">
      <c r="AL141" s="1182"/>
      <c r="AM141" s="1183"/>
      <c r="AN141" s="1184"/>
      <c r="AO141" s="1188"/>
      <c r="AP141" s="1118"/>
      <c r="AQ141" s="1186"/>
      <c r="AR141" s="1120"/>
      <c r="AS141" s="1121"/>
      <c r="AT141" s="1122"/>
      <c r="AU141" s="1123"/>
      <c r="AV141" s="1124"/>
      <c r="AW141" s="1187"/>
      <c r="AX141" s="1134"/>
    </row>
    <row r="142" spans="38:50">
      <c r="AL142" s="1182"/>
      <c r="AM142" s="1183"/>
      <c r="AN142" s="1184"/>
      <c r="AO142" s="1188"/>
      <c r="AP142" s="1118"/>
      <c r="AQ142" s="1186"/>
      <c r="AR142" s="1120"/>
      <c r="AS142" s="1121"/>
      <c r="AT142" s="1122"/>
      <c r="AU142" s="1123"/>
      <c r="AV142" s="1124"/>
      <c r="AW142" s="1187"/>
      <c r="AX142" s="1134"/>
    </row>
    <row r="143" spans="38:50">
      <c r="AL143" s="1182"/>
      <c r="AM143" s="1183"/>
      <c r="AN143" s="1184"/>
      <c r="AO143" s="1188"/>
      <c r="AP143" s="1118"/>
      <c r="AQ143" s="1186"/>
      <c r="AR143" s="1120"/>
      <c r="AS143" s="1121"/>
      <c r="AT143" s="1122"/>
      <c r="AU143" s="1123"/>
      <c r="AV143" s="1124"/>
      <c r="AW143" s="1187"/>
      <c r="AX143" s="1134"/>
    </row>
    <row r="144" spans="38:50">
      <c r="AL144" s="1182"/>
      <c r="AM144" s="1183"/>
      <c r="AN144" s="1184"/>
      <c r="AO144" s="1188"/>
      <c r="AP144" s="1118"/>
      <c r="AQ144" s="1186"/>
      <c r="AR144" s="1120"/>
      <c r="AS144" s="1121"/>
      <c r="AT144" s="1122"/>
      <c r="AU144" s="1123"/>
      <c r="AV144" s="1124"/>
      <c r="AW144" s="1187"/>
      <c r="AX144" s="1134"/>
    </row>
    <row r="145" spans="38:50">
      <c r="AL145" s="1182"/>
      <c r="AM145" s="1183"/>
      <c r="AN145" s="1184"/>
      <c r="AO145" s="1188"/>
      <c r="AP145" s="1118"/>
      <c r="AQ145" s="1186"/>
      <c r="AR145" s="1120"/>
      <c r="AS145" s="1121"/>
      <c r="AT145" s="1122"/>
      <c r="AU145" s="1123"/>
      <c r="AV145" s="1124"/>
      <c r="AW145" s="1187"/>
      <c r="AX145" s="1134"/>
    </row>
    <row r="146" spans="38:50">
      <c r="AL146" s="1182"/>
      <c r="AM146" s="1183"/>
      <c r="AN146" s="1184"/>
      <c r="AO146" s="1188"/>
      <c r="AP146" s="1118"/>
      <c r="AQ146" s="1186"/>
      <c r="AR146" s="1120"/>
      <c r="AS146" s="1121"/>
      <c r="AT146" s="1122"/>
      <c r="AU146" s="1123"/>
      <c r="AV146" s="1124"/>
      <c r="AW146" s="1187"/>
      <c r="AX146" s="1134"/>
    </row>
    <row r="147" spans="38:50">
      <c r="AL147" s="1182"/>
      <c r="AM147" s="1183"/>
      <c r="AN147" s="1184"/>
      <c r="AO147" s="1188"/>
      <c r="AP147" s="1118"/>
      <c r="AQ147" s="1186"/>
      <c r="AR147" s="1120"/>
      <c r="AS147" s="1121"/>
      <c r="AT147" s="1122"/>
      <c r="AU147" s="1123"/>
      <c r="AV147" s="1124"/>
      <c r="AW147" s="1187"/>
      <c r="AX147" s="1134"/>
    </row>
    <row r="148" spans="38:50">
      <c r="AL148" s="1182"/>
      <c r="AM148" s="1183"/>
      <c r="AN148" s="1184"/>
      <c r="AO148" s="1188"/>
      <c r="AP148" s="1118"/>
      <c r="AQ148" s="1186"/>
      <c r="AR148" s="1120"/>
      <c r="AS148" s="1121"/>
      <c r="AT148" s="1122"/>
      <c r="AU148" s="1123"/>
      <c r="AV148" s="1124"/>
      <c r="AW148" s="1187"/>
      <c r="AX148" s="1134"/>
    </row>
    <row r="149" spans="38:50">
      <c r="AL149" s="1182"/>
      <c r="AM149" s="1183"/>
      <c r="AN149" s="1184"/>
      <c r="AO149" s="1188"/>
      <c r="AP149" s="1118"/>
      <c r="AQ149" s="1186"/>
      <c r="AR149" s="1120"/>
      <c r="AS149" s="1121"/>
      <c r="AT149" s="1122"/>
      <c r="AU149" s="1123"/>
      <c r="AV149" s="1124"/>
      <c r="AW149" s="1187"/>
      <c r="AX149" s="1134"/>
    </row>
    <row r="150" spans="38:50">
      <c r="AL150" s="1182"/>
      <c r="AM150" s="1183"/>
      <c r="AN150" s="1184"/>
      <c r="AO150" s="1188"/>
      <c r="AP150" s="1118"/>
      <c r="AQ150" s="1186"/>
      <c r="AR150" s="1120"/>
      <c r="AS150" s="1121"/>
      <c r="AT150" s="1122"/>
      <c r="AU150" s="1123"/>
      <c r="AV150" s="1124"/>
      <c r="AW150" s="1187"/>
      <c r="AX150" s="1134"/>
    </row>
    <row r="151" spans="38:50">
      <c r="AL151" s="1182"/>
      <c r="AM151" s="1183"/>
      <c r="AN151" s="1184"/>
      <c r="AO151" s="1188"/>
      <c r="AP151" s="1118"/>
      <c r="AQ151" s="1186"/>
      <c r="AR151" s="1120"/>
      <c r="AS151" s="1121"/>
      <c r="AT151" s="1122"/>
      <c r="AU151" s="1123"/>
      <c r="AV151" s="1124"/>
      <c r="AW151" s="1187"/>
      <c r="AX151" s="1134"/>
    </row>
    <row r="152" spans="38:50">
      <c r="AL152" s="1182"/>
      <c r="AM152" s="1183"/>
      <c r="AN152" s="1184"/>
      <c r="AO152" s="1188"/>
      <c r="AP152" s="1118"/>
      <c r="AQ152" s="1186"/>
      <c r="AR152" s="1120"/>
      <c r="AS152" s="1121"/>
      <c r="AT152" s="1122"/>
      <c r="AU152" s="1123"/>
      <c r="AV152" s="1124"/>
      <c r="AW152" s="1187"/>
      <c r="AX152" s="1134"/>
    </row>
    <row r="153" spans="38:50">
      <c r="AL153" s="1182"/>
      <c r="AM153" s="1183"/>
      <c r="AN153" s="1184"/>
      <c r="AO153" s="1188"/>
      <c r="AP153" s="1118"/>
      <c r="AQ153" s="1186"/>
      <c r="AR153" s="1120"/>
      <c r="AS153" s="1121"/>
      <c r="AT153" s="1122"/>
      <c r="AU153" s="1123"/>
      <c r="AV153" s="1124"/>
      <c r="AW153" s="1187"/>
      <c r="AX153" s="1134"/>
    </row>
    <row r="154" spans="38:50">
      <c r="AL154" s="1182"/>
      <c r="AM154" s="1183"/>
      <c r="AN154" s="1184"/>
      <c r="AO154" s="1188"/>
      <c r="AP154" s="1118"/>
      <c r="AQ154" s="1186"/>
      <c r="AR154" s="1120"/>
      <c r="AS154" s="1121"/>
      <c r="AT154" s="1122"/>
      <c r="AU154" s="1123"/>
      <c r="AV154" s="1124"/>
      <c r="AW154" s="1187"/>
      <c r="AX154" s="1134"/>
    </row>
    <row r="155" spans="38:50">
      <c r="AL155" s="1182"/>
      <c r="AM155" s="1183"/>
      <c r="AN155" s="1184"/>
      <c r="AO155" s="1188"/>
      <c r="AP155" s="1118"/>
      <c r="AQ155" s="1186"/>
      <c r="AR155" s="1120"/>
      <c r="AS155" s="1121"/>
      <c r="AT155" s="1122"/>
      <c r="AU155" s="1123"/>
      <c r="AV155" s="1124"/>
      <c r="AW155" s="1187"/>
      <c r="AX155" s="1134"/>
    </row>
    <row r="156" spans="38:50">
      <c r="AL156" s="1182"/>
      <c r="AM156" s="1183"/>
      <c r="AN156" s="1184"/>
      <c r="AO156" s="1188"/>
      <c r="AP156" s="1118"/>
      <c r="AQ156" s="1186"/>
      <c r="AR156" s="1120"/>
      <c r="AS156" s="1121"/>
      <c r="AT156" s="1122"/>
      <c r="AU156" s="1123"/>
      <c r="AV156" s="1124"/>
      <c r="AW156" s="1187"/>
      <c r="AX156" s="1134"/>
    </row>
    <row r="157" spans="38:50">
      <c r="AL157" s="1182"/>
      <c r="AM157" s="1183"/>
      <c r="AN157" s="1184"/>
      <c r="AO157" s="1188"/>
      <c r="AP157" s="1118"/>
      <c r="AQ157" s="1186"/>
      <c r="AR157" s="1120"/>
      <c r="AS157" s="1121"/>
      <c r="AT157" s="1122"/>
      <c r="AU157" s="1123"/>
      <c r="AV157" s="1124"/>
      <c r="AW157" s="1187"/>
      <c r="AX157" s="1134"/>
    </row>
    <row r="158" spans="38:50">
      <c r="AL158" s="1182"/>
      <c r="AM158" s="1183"/>
      <c r="AN158" s="1184"/>
      <c r="AO158" s="1188"/>
      <c r="AP158" s="1118"/>
      <c r="AQ158" s="1186"/>
      <c r="AR158" s="1120"/>
      <c r="AS158" s="1121"/>
      <c r="AT158" s="1122"/>
      <c r="AU158" s="1123"/>
      <c r="AV158" s="1124"/>
      <c r="AW158" s="1187"/>
      <c r="AX158" s="1134"/>
    </row>
    <row r="159" spans="38:50">
      <c r="AL159" s="1182"/>
      <c r="AM159" s="1183"/>
      <c r="AN159" s="1184"/>
      <c r="AO159" s="1185"/>
      <c r="AP159" s="1118"/>
      <c r="AQ159" s="1186"/>
      <c r="AR159" s="1120"/>
      <c r="AS159" s="1121"/>
      <c r="AT159" s="1122"/>
      <c r="AU159" s="1123"/>
      <c r="AV159" s="1124"/>
      <c r="AW159" s="1187"/>
      <c r="AX159" s="1134"/>
    </row>
    <row r="160" spans="38:50">
      <c r="AL160" s="1182"/>
      <c r="AM160" s="1183"/>
      <c r="AN160" s="1184"/>
      <c r="AO160" s="1188"/>
      <c r="AP160" s="1118"/>
      <c r="AQ160" s="1186"/>
      <c r="AR160" s="1120"/>
      <c r="AS160" s="1121"/>
      <c r="AT160" s="1122"/>
      <c r="AU160" s="1123"/>
      <c r="AV160" s="1124"/>
      <c r="AW160" s="1187"/>
      <c r="AX160" s="1134"/>
    </row>
    <row r="161" spans="38:50">
      <c r="AL161" s="1182"/>
      <c r="AM161" s="1183"/>
      <c r="AN161" s="1184"/>
      <c r="AO161" s="1188"/>
      <c r="AP161" s="1118"/>
      <c r="AQ161" s="1186"/>
      <c r="AR161" s="1120"/>
      <c r="AS161" s="1121"/>
      <c r="AT161" s="1122"/>
      <c r="AU161" s="1123"/>
      <c r="AV161" s="1124"/>
      <c r="AW161" s="1187"/>
      <c r="AX161" s="1134"/>
    </row>
    <row r="162" spans="38:50">
      <c r="AL162" s="1182"/>
      <c r="AM162" s="1183"/>
      <c r="AN162" s="1184"/>
      <c r="AO162" s="1188"/>
      <c r="AP162" s="1118"/>
      <c r="AQ162" s="1186"/>
      <c r="AR162" s="1120"/>
      <c r="AS162" s="1121"/>
      <c r="AT162" s="1122"/>
      <c r="AU162" s="1123"/>
      <c r="AV162" s="1124"/>
      <c r="AW162" s="1187"/>
      <c r="AX162" s="1134"/>
    </row>
    <row r="163" spans="38:50">
      <c r="AL163" s="1182"/>
      <c r="AM163" s="1183"/>
      <c r="AN163" s="1184"/>
      <c r="AO163" s="1188"/>
      <c r="AP163" s="1118"/>
      <c r="AQ163" s="1186"/>
      <c r="AR163" s="1120"/>
      <c r="AS163" s="1121"/>
      <c r="AT163" s="1122"/>
      <c r="AU163" s="1123"/>
      <c r="AV163" s="1124"/>
      <c r="AW163" s="1187"/>
      <c r="AX163" s="1134"/>
    </row>
    <row r="164" spans="38:50">
      <c r="AL164" s="1182"/>
      <c r="AM164" s="1183"/>
      <c r="AN164" s="1184"/>
      <c r="AO164" s="1188"/>
      <c r="AP164" s="1118"/>
      <c r="AQ164" s="1186"/>
      <c r="AR164" s="1120"/>
      <c r="AS164" s="1121"/>
      <c r="AT164" s="1122"/>
      <c r="AU164" s="1123"/>
      <c r="AV164" s="1124"/>
      <c r="AW164" s="1187"/>
      <c r="AX164" s="1134"/>
    </row>
    <row r="165" spans="38:50">
      <c r="AL165" s="1182"/>
      <c r="AM165" s="1183"/>
      <c r="AN165" s="1184"/>
      <c r="AO165" s="1188"/>
      <c r="AP165" s="1118"/>
      <c r="AQ165" s="1186"/>
      <c r="AR165" s="1120"/>
      <c r="AS165" s="1121"/>
      <c r="AT165" s="1122"/>
      <c r="AU165" s="1123"/>
      <c r="AV165" s="1124"/>
      <c r="AW165" s="1187"/>
      <c r="AX165" s="1134"/>
    </row>
    <row r="166" spans="38:50">
      <c r="AL166" s="1182"/>
      <c r="AM166" s="1183"/>
      <c r="AN166" s="1184"/>
      <c r="AO166" s="1188"/>
      <c r="AP166" s="1118"/>
      <c r="AQ166" s="1186"/>
      <c r="AR166" s="1120"/>
      <c r="AS166" s="1121"/>
      <c r="AT166" s="1122"/>
      <c r="AU166" s="1123"/>
      <c r="AV166" s="1124"/>
      <c r="AW166" s="1187"/>
      <c r="AX166" s="1134"/>
    </row>
    <row r="167" spans="38:50">
      <c r="AL167" s="1182"/>
      <c r="AM167" s="1183"/>
      <c r="AN167" s="1184"/>
      <c r="AO167" s="1188"/>
      <c r="AP167" s="1118"/>
      <c r="AQ167" s="1186"/>
      <c r="AR167" s="1120"/>
      <c r="AS167" s="1121"/>
      <c r="AT167" s="1122"/>
      <c r="AU167" s="1123"/>
      <c r="AV167" s="1124"/>
      <c r="AW167" s="1187"/>
      <c r="AX167" s="1134"/>
    </row>
    <row r="168" spans="38:50">
      <c r="AL168" s="1182"/>
      <c r="AM168" s="1183"/>
      <c r="AN168" s="1184"/>
      <c r="AO168" s="1188"/>
      <c r="AP168" s="1118"/>
      <c r="AQ168" s="1186"/>
      <c r="AR168" s="1120"/>
      <c r="AS168" s="1121"/>
      <c r="AT168" s="1122"/>
      <c r="AU168" s="1123"/>
      <c r="AV168" s="1124"/>
      <c r="AW168" s="1187"/>
      <c r="AX168" s="1134"/>
    </row>
    <row r="169" spans="38:50">
      <c r="AL169" s="1182"/>
      <c r="AM169" s="1183"/>
      <c r="AN169" s="1184"/>
      <c r="AO169" s="1188"/>
      <c r="AP169" s="1118"/>
      <c r="AQ169" s="1186"/>
      <c r="AR169" s="1120"/>
      <c r="AS169" s="1121"/>
      <c r="AT169" s="1122"/>
      <c r="AU169" s="1123"/>
      <c r="AV169" s="1124"/>
      <c r="AW169" s="1187"/>
      <c r="AX169" s="1134"/>
    </row>
    <row r="170" spans="38:50">
      <c r="AL170" s="1182"/>
      <c r="AM170" s="1183"/>
      <c r="AN170" s="1184"/>
      <c r="AO170" s="1188"/>
      <c r="AP170" s="1118"/>
      <c r="AQ170" s="1186"/>
      <c r="AR170" s="1120"/>
      <c r="AS170" s="1121"/>
      <c r="AT170" s="1122"/>
      <c r="AU170" s="1123"/>
      <c r="AV170" s="1124"/>
      <c r="AW170" s="1187"/>
      <c r="AX170" s="1134"/>
    </row>
    <row r="171" spans="38:50">
      <c r="AL171" s="1182"/>
      <c r="AM171" s="1183"/>
      <c r="AN171" s="1184"/>
      <c r="AO171" s="1188"/>
      <c r="AP171" s="1118"/>
      <c r="AQ171" s="1186"/>
      <c r="AR171" s="1120"/>
      <c r="AS171" s="1121"/>
      <c r="AT171" s="1122"/>
      <c r="AU171" s="1123"/>
      <c r="AV171" s="1124"/>
      <c r="AW171" s="1187"/>
      <c r="AX171" s="1134"/>
    </row>
    <row r="172" spans="38:50">
      <c r="AL172" s="1182"/>
      <c r="AM172" s="1183"/>
      <c r="AN172" s="1184"/>
      <c r="AO172" s="1188"/>
      <c r="AP172" s="1118"/>
      <c r="AQ172" s="1186"/>
      <c r="AR172" s="1120"/>
      <c r="AS172" s="1121"/>
      <c r="AT172" s="1122"/>
      <c r="AU172" s="1123"/>
      <c r="AV172" s="1124"/>
      <c r="AW172" s="1187"/>
      <c r="AX172" s="1134"/>
    </row>
    <row r="173" spans="38:50">
      <c r="AL173" s="1182"/>
      <c r="AM173" s="1183"/>
      <c r="AN173" s="1184"/>
      <c r="AO173" s="1188"/>
      <c r="AP173" s="1118"/>
      <c r="AQ173" s="1186"/>
      <c r="AR173" s="1120"/>
      <c r="AS173" s="1121"/>
      <c r="AT173" s="1122"/>
      <c r="AU173" s="1123"/>
      <c r="AV173" s="1124"/>
      <c r="AW173" s="1187"/>
      <c r="AX173" s="1134"/>
    </row>
    <row r="174" spans="38:50">
      <c r="AL174" s="1182"/>
      <c r="AM174" s="1183"/>
      <c r="AN174" s="1184"/>
      <c r="AO174" s="1188"/>
      <c r="AP174" s="1118"/>
      <c r="AQ174" s="1186"/>
      <c r="AR174" s="1120"/>
      <c r="AS174" s="1121"/>
      <c r="AT174" s="1122"/>
      <c r="AU174" s="1123"/>
      <c r="AV174" s="1124"/>
      <c r="AW174" s="1187"/>
      <c r="AX174" s="1134"/>
    </row>
    <row r="175" spans="38:50">
      <c r="AL175" s="1182"/>
      <c r="AM175" s="1183"/>
      <c r="AN175" s="1184"/>
      <c r="AO175" s="1188"/>
      <c r="AP175" s="1118"/>
      <c r="AQ175" s="1186"/>
      <c r="AR175" s="1120"/>
      <c r="AS175" s="1121"/>
      <c r="AT175" s="1122"/>
      <c r="AU175" s="1123"/>
      <c r="AV175" s="1124"/>
      <c r="AW175" s="1187"/>
      <c r="AX175" s="1134"/>
    </row>
    <row r="176" spans="38:50">
      <c r="AL176" s="1182"/>
      <c r="AM176" s="1183"/>
      <c r="AN176" s="1184"/>
      <c r="AO176" s="1188"/>
      <c r="AP176" s="1118"/>
      <c r="AQ176" s="1186"/>
      <c r="AR176" s="1120"/>
      <c r="AS176" s="1121"/>
      <c r="AT176" s="1122"/>
      <c r="AU176" s="1123"/>
      <c r="AV176" s="1124"/>
      <c r="AW176" s="1187"/>
      <c r="AX176" s="1134"/>
    </row>
    <row r="177" spans="38:50">
      <c r="AL177" s="1182"/>
      <c r="AM177" s="1183"/>
      <c r="AN177" s="1184"/>
      <c r="AO177" s="1188"/>
      <c r="AP177" s="1118"/>
      <c r="AQ177" s="1186"/>
      <c r="AR177" s="1120"/>
      <c r="AS177" s="1121"/>
      <c r="AT177" s="1122"/>
      <c r="AU177" s="1123"/>
      <c r="AV177" s="1124"/>
      <c r="AW177" s="1187"/>
      <c r="AX177" s="1134"/>
    </row>
    <row r="178" spans="38:50">
      <c r="AL178" s="1182"/>
      <c r="AM178" s="1183"/>
      <c r="AN178" s="1184"/>
      <c r="AO178" s="1188"/>
      <c r="AP178" s="1118"/>
      <c r="AQ178" s="1186"/>
      <c r="AR178" s="1120"/>
      <c r="AS178" s="1121"/>
      <c r="AT178" s="1122"/>
      <c r="AU178" s="1123"/>
      <c r="AV178" s="1124"/>
      <c r="AW178" s="1187"/>
      <c r="AX178" s="1134"/>
    </row>
    <row r="179" spans="38:50">
      <c r="AL179" s="1182"/>
      <c r="AM179" s="1183"/>
      <c r="AN179" s="1184"/>
      <c r="AO179" s="1188"/>
      <c r="AP179" s="1118"/>
      <c r="AQ179" s="1186"/>
      <c r="AR179" s="1120"/>
      <c r="AS179" s="1121"/>
      <c r="AT179" s="1122"/>
      <c r="AU179" s="1123"/>
      <c r="AV179" s="1124"/>
      <c r="AW179" s="1187"/>
      <c r="AX179" s="1134"/>
    </row>
    <row r="180" spans="38:50">
      <c r="AL180" s="1182"/>
      <c r="AM180" s="1183"/>
      <c r="AN180" s="1184"/>
      <c r="AO180" s="1188"/>
      <c r="AP180" s="1118"/>
      <c r="AQ180" s="1186"/>
      <c r="AR180" s="1120"/>
      <c r="AS180" s="1121"/>
      <c r="AT180" s="1122"/>
      <c r="AU180" s="1123"/>
      <c r="AV180" s="1124"/>
      <c r="AW180" s="1187"/>
      <c r="AX180" s="1134"/>
    </row>
    <row r="181" spans="38:50">
      <c r="AL181" s="1182"/>
      <c r="AM181" s="1183"/>
      <c r="AN181" s="1184"/>
      <c r="AO181" s="1188"/>
      <c r="AP181" s="1118"/>
      <c r="AQ181" s="1186"/>
      <c r="AR181" s="1120"/>
      <c r="AS181" s="1121"/>
      <c r="AT181" s="1122"/>
      <c r="AU181" s="1123"/>
      <c r="AV181" s="1124"/>
      <c r="AW181" s="1187"/>
      <c r="AX181" s="1134"/>
    </row>
    <row r="182" spans="38:50">
      <c r="AL182" s="1182"/>
      <c r="AM182" s="1183"/>
      <c r="AN182" s="1184"/>
      <c r="AO182" s="1188"/>
      <c r="AP182" s="1118"/>
      <c r="AQ182" s="1186"/>
      <c r="AR182" s="1120"/>
      <c r="AS182" s="1121"/>
      <c r="AT182" s="1122"/>
      <c r="AU182" s="1123"/>
      <c r="AV182" s="1124"/>
      <c r="AW182" s="1187"/>
      <c r="AX182" s="1134"/>
    </row>
    <row r="183" spans="38:50">
      <c r="AL183" s="1182"/>
      <c r="AM183" s="1183"/>
      <c r="AN183" s="1184"/>
      <c r="AO183" s="1188"/>
      <c r="AP183" s="1118"/>
      <c r="AQ183" s="1186"/>
      <c r="AR183" s="1120"/>
      <c r="AS183" s="1121"/>
      <c r="AT183" s="1122"/>
      <c r="AU183" s="1123"/>
      <c r="AV183" s="1124"/>
      <c r="AW183" s="1187"/>
      <c r="AX183" s="1134"/>
    </row>
    <row r="184" spans="38:50">
      <c r="AL184" s="1182"/>
      <c r="AM184" s="1183"/>
      <c r="AN184" s="1184"/>
      <c r="AO184" s="1188"/>
      <c r="AP184" s="1118"/>
      <c r="AQ184" s="1186"/>
      <c r="AR184" s="1120"/>
      <c r="AS184" s="1121"/>
      <c r="AT184" s="1122"/>
      <c r="AU184" s="1123"/>
      <c r="AV184" s="1124"/>
      <c r="AW184" s="1187"/>
      <c r="AX184" s="1134"/>
    </row>
    <row r="185" spans="38:50">
      <c r="AL185" s="1182"/>
      <c r="AM185" s="1183"/>
      <c r="AN185" s="1184"/>
      <c r="AO185" s="1188"/>
      <c r="AP185" s="1118"/>
      <c r="AQ185" s="1186"/>
      <c r="AR185" s="1120"/>
      <c r="AS185" s="1121"/>
      <c r="AT185" s="1122"/>
      <c r="AU185" s="1123"/>
      <c r="AV185" s="1124"/>
      <c r="AW185" s="1187"/>
      <c r="AX185" s="1134"/>
    </row>
    <row r="186" spans="38:50">
      <c r="AL186" s="1182"/>
      <c r="AM186" s="1183"/>
      <c r="AN186" s="1184"/>
      <c r="AO186" s="1188"/>
      <c r="AP186" s="1118"/>
      <c r="AQ186" s="1186"/>
      <c r="AR186" s="1120"/>
      <c r="AS186" s="1121"/>
      <c r="AT186" s="1122"/>
      <c r="AU186" s="1123"/>
      <c r="AV186" s="1124"/>
      <c r="AW186" s="1187"/>
      <c r="AX186" s="1134"/>
    </row>
    <row r="187" spans="38:50">
      <c r="AL187" s="1182"/>
      <c r="AM187" s="1183"/>
      <c r="AN187" s="1184"/>
      <c r="AO187" s="1188"/>
      <c r="AP187" s="1118"/>
      <c r="AQ187" s="1186"/>
      <c r="AR187" s="1120"/>
      <c r="AS187" s="1121"/>
      <c r="AT187" s="1122"/>
      <c r="AU187" s="1123"/>
      <c r="AV187" s="1124"/>
      <c r="AW187" s="1187"/>
      <c r="AX187" s="1134"/>
    </row>
    <row r="188" spans="38:50">
      <c r="AL188" s="1182"/>
      <c r="AM188" s="1183"/>
      <c r="AN188" s="1184"/>
      <c r="AO188" s="1188"/>
      <c r="AP188" s="1118"/>
      <c r="AQ188" s="1186"/>
      <c r="AR188" s="1120"/>
      <c r="AS188" s="1121"/>
      <c r="AT188" s="1122"/>
      <c r="AU188" s="1123"/>
      <c r="AV188" s="1124"/>
      <c r="AW188" s="1187"/>
      <c r="AX188" s="1134"/>
    </row>
    <row r="189" spans="38:50">
      <c r="AL189" s="1182"/>
      <c r="AM189" s="1183"/>
      <c r="AN189" s="1184"/>
      <c r="AO189" s="1188"/>
      <c r="AP189" s="1118"/>
      <c r="AQ189" s="1186"/>
      <c r="AR189" s="1120"/>
      <c r="AS189" s="1121"/>
      <c r="AT189" s="1122"/>
      <c r="AU189" s="1123"/>
      <c r="AV189" s="1124"/>
      <c r="AW189" s="1187"/>
      <c r="AX189" s="1134"/>
    </row>
    <row r="190" spans="38:50">
      <c r="AL190" s="1182"/>
      <c r="AM190" s="1183"/>
      <c r="AN190" s="1184"/>
      <c r="AO190" s="1188"/>
      <c r="AP190" s="1118"/>
      <c r="AQ190" s="1186"/>
      <c r="AR190" s="1120"/>
      <c r="AS190" s="1121"/>
      <c r="AT190" s="1122"/>
      <c r="AU190" s="1123"/>
      <c r="AV190" s="1124"/>
      <c r="AW190" s="1187"/>
      <c r="AX190" s="1134"/>
    </row>
    <row r="191" spans="38:50">
      <c r="AL191" s="1182"/>
      <c r="AM191" s="1183"/>
      <c r="AN191" s="1184"/>
      <c r="AO191" s="1188"/>
      <c r="AP191" s="1118"/>
      <c r="AQ191" s="1186"/>
      <c r="AR191" s="1120"/>
      <c r="AS191" s="1121"/>
      <c r="AT191" s="1122"/>
      <c r="AU191" s="1123"/>
      <c r="AV191" s="1124"/>
      <c r="AW191" s="1187"/>
      <c r="AX191" s="1134"/>
    </row>
    <row r="192" spans="38:50">
      <c r="AL192" s="1182"/>
      <c r="AM192" s="1183"/>
      <c r="AN192" s="1184"/>
      <c r="AO192" s="1188"/>
      <c r="AP192" s="1118"/>
      <c r="AQ192" s="1186"/>
      <c r="AR192" s="1120"/>
      <c r="AS192" s="1121"/>
      <c r="AT192" s="1122"/>
      <c r="AU192" s="1123"/>
      <c r="AV192" s="1124"/>
      <c r="AW192" s="1187"/>
      <c r="AX192" s="1134"/>
    </row>
    <row r="193" spans="38:50">
      <c r="AL193" s="1182"/>
      <c r="AM193" s="1183"/>
      <c r="AN193" s="1184"/>
      <c r="AO193" s="1188"/>
      <c r="AP193" s="1118"/>
      <c r="AQ193" s="1186"/>
      <c r="AR193" s="1120"/>
      <c r="AS193" s="1121"/>
      <c r="AT193" s="1122"/>
      <c r="AU193" s="1123"/>
      <c r="AV193" s="1124"/>
      <c r="AW193" s="1187"/>
      <c r="AX193" s="1134"/>
    </row>
    <row r="194" spans="38:50">
      <c r="AL194" s="1182"/>
      <c r="AM194" s="1183"/>
      <c r="AN194" s="1184"/>
      <c r="AO194" s="1188"/>
      <c r="AP194" s="1118"/>
      <c r="AQ194" s="1186"/>
      <c r="AR194" s="1120"/>
      <c r="AS194" s="1121"/>
      <c r="AT194" s="1122"/>
      <c r="AU194" s="1123"/>
      <c r="AV194" s="1124"/>
      <c r="AW194" s="1187"/>
      <c r="AX194" s="1134"/>
    </row>
    <row r="195" spans="38:50">
      <c r="AL195" s="1182"/>
      <c r="AM195" s="1183"/>
      <c r="AN195" s="1184"/>
      <c r="AO195" s="1188"/>
      <c r="AP195" s="1118"/>
      <c r="AQ195" s="1186"/>
      <c r="AR195" s="1120"/>
      <c r="AS195" s="1121"/>
      <c r="AT195" s="1122"/>
      <c r="AU195" s="1123"/>
      <c r="AV195" s="1124"/>
      <c r="AW195" s="1187"/>
      <c r="AX195" s="1134"/>
    </row>
    <row r="196" spans="38:50">
      <c r="AL196" s="1182"/>
      <c r="AM196" s="1183"/>
      <c r="AN196" s="1184"/>
      <c r="AO196" s="1188"/>
      <c r="AP196" s="1118"/>
      <c r="AQ196" s="1186"/>
      <c r="AR196" s="1120"/>
      <c r="AS196" s="1121"/>
      <c r="AT196" s="1122"/>
      <c r="AU196" s="1123"/>
      <c r="AV196" s="1124"/>
      <c r="AW196" s="1187"/>
      <c r="AX196" s="1134"/>
    </row>
    <row r="197" spans="38:50">
      <c r="AL197" s="1182"/>
      <c r="AM197" s="1183"/>
      <c r="AN197" s="1184"/>
      <c r="AO197" s="1188"/>
      <c r="AP197" s="1118"/>
      <c r="AQ197" s="1186"/>
      <c r="AR197" s="1120"/>
      <c r="AS197" s="1121"/>
      <c r="AT197" s="1122"/>
      <c r="AU197" s="1123"/>
      <c r="AV197" s="1124"/>
      <c r="AW197" s="1187"/>
      <c r="AX197" s="1134"/>
    </row>
    <row r="198" spans="38:50">
      <c r="AL198" s="1182"/>
      <c r="AM198" s="1183"/>
      <c r="AN198" s="1184"/>
      <c r="AO198" s="1188"/>
      <c r="AP198" s="1118"/>
      <c r="AQ198" s="1186"/>
      <c r="AR198" s="1120"/>
      <c r="AS198" s="1121"/>
      <c r="AT198" s="1122"/>
      <c r="AU198" s="1123"/>
      <c r="AV198" s="1124"/>
      <c r="AW198" s="1187"/>
      <c r="AX198" s="1134"/>
    </row>
    <row r="199" spans="38:50">
      <c r="AL199" s="1182"/>
      <c r="AM199" s="1183"/>
      <c r="AN199" s="1184"/>
      <c r="AO199" s="1188"/>
      <c r="AP199" s="1118"/>
      <c r="AQ199" s="1186"/>
      <c r="AR199" s="1120"/>
      <c r="AS199" s="1121"/>
      <c r="AT199" s="1122"/>
      <c r="AU199" s="1123"/>
      <c r="AV199" s="1124"/>
      <c r="AW199" s="1187"/>
      <c r="AX199" s="1134"/>
    </row>
    <row r="200" spans="38:50">
      <c r="AL200" s="1182"/>
      <c r="AM200" s="1183"/>
      <c r="AN200" s="1184"/>
      <c r="AO200" s="1188"/>
      <c r="AP200" s="1118"/>
      <c r="AQ200" s="1186"/>
      <c r="AR200" s="1120"/>
      <c r="AS200" s="1121"/>
      <c r="AT200" s="1122"/>
      <c r="AU200" s="1123"/>
      <c r="AV200" s="1124"/>
      <c r="AW200" s="1187"/>
      <c r="AX200" s="1134"/>
    </row>
    <row r="201" spans="38:50">
      <c r="AL201" s="1182"/>
      <c r="AM201" s="1183"/>
      <c r="AN201" s="1184"/>
      <c r="AO201" s="1188"/>
      <c r="AP201" s="1118"/>
      <c r="AQ201" s="1186"/>
      <c r="AR201" s="1120"/>
      <c r="AS201" s="1121"/>
      <c r="AT201" s="1122"/>
      <c r="AU201" s="1123"/>
      <c r="AV201" s="1124"/>
      <c r="AW201" s="1187"/>
      <c r="AX201" s="1134"/>
    </row>
    <row r="202" spans="38:50">
      <c r="AL202" s="1182"/>
      <c r="AM202" s="1183"/>
      <c r="AN202" s="1184"/>
      <c r="AO202" s="1188"/>
      <c r="AP202" s="1118"/>
      <c r="AQ202" s="1186"/>
      <c r="AR202" s="1120"/>
      <c r="AS202" s="1121"/>
      <c r="AT202" s="1122"/>
      <c r="AU202" s="1123"/>
      <c r="AV202" s="1124"/>
      <c r="AW202" s="1187"/>
      <c r="AX202" s="1134"/>
    </row>
    <row r="203" spans="38:50">
      <c r="AL203" s="1182"/>
      <c r="AM203" s="1183"/>
      <c r="AN203" s="1184"/>
      <c r="AO203" s="1188"/>
      <c r="AP203" s="1118"/>
      <c r="AQ203" s="1186"/>
      <c r="AR203" s="1120"/>
      <c r="AS203" s="1121"/>
      <c r="AT203" s="1122"/>
      <c r="AU203" s="1123"/>
      <c r="AV203" s="1124"/>
      <c r="AW203" s="1187"/>
      <c r="AX203" s="1134"/>
    </row>
    <row r="204" spans="38:50">
      <c r="AL204" s="1182"/>
      <c r="AM204" s="1183"/>
      <c r="AN204" s="1184"/>
      <c r="AO204" s="1188"/>
      <c r="AP204" s="1118"/>
      <c r="AQ204" s="1186"/>
      <c r="AR204" s="1120"/>
      <c r="AS204" s="1121"/>
      <c r="AT204" s="1122"/>
      <c r="AU204" s="1123"/>
      <c r="AV204" s="1124"/>
      <c r="AW204" s="1187"/>
      <c r="AX204" s="1134"/>
    </row>
    <row r="205" spans="38:50">
      <c r="AL205" s="1182"/>
      <c r="AM205" s="1183"/>
      <c r="AN205" s="1184"/>
      <c r="AO205" s="1188"/>
      <c r="AP205" s="1118"/>
      <c r="AQ205" s="1186"/>
      <c r="AR205" s="1120"/>
      <c r="AS205" s="1121"/>
      <c r="AT205" s="1122"/>
      <c r="AU205" s="1123"/>
      <c r="AV205" s="1124"/>
      <c r="AW205" s="1187"/>
      <c r="AX205" s="1134"/>
    </row>
    <row r="206" spans="38:50">
      <c r="AL206" s="1182"/>
      <c r="AM206" s="1183"/>
      <c r="AN206" s="1184"/>
      <c r="AO206" s="1188"/>
      <c r="AP206" s="1118"/>
      <c r="AQ206" s="1186"/>
      <c r="AR206" s="1120"/>
      <c r="AS206" s="1121"/>
      <c r="AT206" s="1122"/>
      <c r="AU206" s="1123"/>
      <c r="AV206" s="1124"/>
      <c r="AW206" s="1187"/>
      <c r="AX206" s="1134"/>
    </row>
    <row r="207" spans="38:50">
      <c r="AL207" s="1182"/>
      <c r="AM207" s="1183"/>
      <c r="AN207" s="1184"/>
      <c r="AO207" s="1188"/>
      <c r="AP207" s="1118"/>
      <c r="AQ207" s="1186"/>
      <c r="AR207" s="1120"/>
      <c r="AS207" s="1121"/>
      <c r="AT207" s="1122"/>
      <c r="AU207" s="1123"/>
      <c r="AV207" s="1124"/>
      <c r="AW207" s="1187"/>
      <c r="AX207" s="1134"/>
    </row>
    <row r="208" spans="38:50">
      <c r="AL208" s="1182"/>
      <c r="AM208" s="1183"/>
      <c r="AN208" s="1184"/>
      <c r="AO208" s="1188"/>
      <c r="AP208" s="1118"/>
      <c r="AQ208" s="1186"/>
      <c r="AR208" s="1120"/>
      <c r="AS208" s="1121"/>
      <c r="AT208" s="1122"/>
      <c r="AU208" s="1123"/>
      <c r="AV208" s="1124"/>
      <c r="AW208" s="1187"/>
      <c r="AX208" s="1134"/>
    </row>
    <row r="209" spans="38:50">
      <c r="AL209" s="1182"/>
      <c r="AM209" s="1183"/>
      <c r="AN209" s="1184"/>
      <c r="AO209" s="1188"/>
      <c r="AP209" s="1118"/>
      <c r="AQ209" s="1186"/>
      <c r="AR209" s="1120"/>
      <c r="AS209" s="1121"/>
      <c r="AT209" s="1122"/>
      <c r="AU209" s="1123"/>
      <c r="AV209" s="1124"/>
      <c r="AW209" s="1187"/>
      <c r="AX209" s="1134"/>
    </row>
    <row r="210" spans="38:50">
      <c r="AL210" s="1182"/>
      <c r="AM210" s="1183"/>
      <c r="AN210" s="1184"/>
      <c r="AO210" s="1188"/>
      <c r="AP210" s="1118"/>
      <c r="AQ210" s="1186"/>
      <c r="AR210" s="1120"/>
      <c r="AS210" s="1121"/>
      <c r="AT210" s="1122"/>
      <c r="AU210" s="1123"/>
      <c r="AV210" s="1124"/>
      <c r="AW210" s="1187"/>
      <c r="AX210" s="1134"/>
    </row>
    <row r="211" spans="38:50">
      <c r="AL211" s="1182"/>
      <c r="AM211" s="1183"/>
      <c r="AN211" s="1184"/>
      <c r="AO211" s="1188"/>
      <c r="AP211" s="1118"/>
      <c r="AQ211" s="1186"/>
      <c r="AR211" s="1120"/>
      <c r="AS211" s="1121"/>
      <c r="AT211" s="1122"/>
      <c r="AU211" s="1123"/>
      <c r="AV211" s="1124"/>
      <c r="AW211" s="1187"/>
      <c r="AX211" s="1134"/>
    </row>
    <row r="212" spans="38:50">
      <c r="AL212" s="1182"/>
      <c r="AM212" s="1183"/>
      <c r="AN212" s="1184"/>
      <c r="AO212" s="1188"/>
      <c r="AP212" s="1118"/>
      <c r="AQ212" s="1186"/>
      <c r="AR212" s="1120"/>
      <c r="AS212" s="1121"/>
      <c r="AT212" s="1122"/>
      <c r="AU212" s="1123"/>
      <c r="AV212" s="1124"/>
      <c r="AW212" s="1187"/>
      <c r="AX212" s="1134"/>
    </row>
    <row r="213" spans="38:50">
      <c r="AL213" s="1182"/>
      <c r="AM213" s="1183"/>
      <c r="AN213" s="1184"/>
      <c r="AO213" s="1188"/>
      <c r="AP213" s="1118"/>
      <c r="AQ213" s="1186"/>
      <c r="AR213" s="1120"/>
      <c r="AS213" s="1121"/>
      <c r="AT213" s="1122"/>
      <c r="AU213" s="1123"/>
      <c r="AV213" s="1124"/>
      <c r="AW213" s="1187"/>
      <c r="AX213" s="1134"/>
    </row>
    <row r="214" spans="38:50">
      <c r="AL214" s="1182"/>
      <c r="AM214" s="1183"/>
      <c r="AN214" s="1184"/>
      <c r="AO214" s="1188"/>
      <c r="AP214" s="1118"/>
      <c r="AQ214" s="1186"/>
      <c r="AR214" s="1120"/>
      <c r="AS214" s="1121"/>
      <c r="AT214" s="1122"/>
      <c r="AU214" s="1123"/>
      <c r="AV214" s="1124"/>
      <c r="AW214" s="1187"/>
      <c r="AX214" s="1134"/>
    </row>
    <row r="215" spans="38:50">
      <c r="AL215" s="1182"/>
      <c r="AM215" s="1183"/>
      <c r="AN215" s="1184"/>
      <c r="AO215" s="1188"/>
      <c r="AP215" s="1118"/>
      <c r="AQ215" s="1186"/>
      <c r="AR215" s="1120"/>
      <c r="AS215" s="1121"/>
      <c r="AT215" s="1122"/>
      <c r="AU215" s="1123"/>
      <c r="AV215" s="1124"/>
      <c r="AW215" s="1187"/>
      <c r="AX215" s="1134"/>
    </row>
    <row r="216" spans="38:50">
      <c r="AL216" s="1182"/>
      <c r="AM216" s="1183"/>
      <c r="AN216" s="1184"/>
      <c r="AO216" s="1188"/>
      <c r="AP216" s="1118"/>
      <c r="AQ216" s="1186"/>
      <c r="AR216" s="1120"/>
      <c r="AS216" s="1121"/>
      <c r="AT216" s="1122"/>
      <c r="AU216" s="1123"/>
      <c r="AV216" s="1124"/>
      <c r="AW216" s="1187"/>
      <c r="AX216" s="1134"/>
    </row>
    <row r="217" spans="38:50">
      <c r="AL217" s="1182"/>
      <c r="AM217" s="1183"/>
      <c r="AN217" s="1184"/>
      <c r="AO217" s="1188"/>
      <c r="AP217" s="1118"/>
      <c r="AQ217" s="1186"/>
      <c r="AR217" s="1120"/>
      <c r="AS217" s="1121"/>
      <c r="AT217" s="1122"/>
      <c r="AU217" s="1123"/>
      <c r="AV217" s="1124"/>
      <c r="AW217" s="1187"/>
      <c r="AX217" s="1134"/>
    </row>
    <row r="218" spans="38:50">
      <c r="AL218" s="1182"/>
      <c r="AM218" s="1183"/>
      <c r="AN218" s="1184"/>
      <c r="AO218" s="1188"/>
      <c r="AP218" s="1118"/>
      <c r="AQ218" s="1186"/>
      <c r="AR218" s="1120"/>
      <c r="AS218" s="1121"/>
      <c r="AT218" s="1122"/>
      <c r="AU218" s="1123"/>
      <c r="AV218" s="1124"/>
      <c r="AW218" s="1187"/>
      <c r="AX218" s="1134"/>
    </row>
    <row r="219" spans="38:50">
      <c r="AL219" s="1182"/>
      <c r="AM219" s="1183"/>
      <c r="AN219" s="1184"/>
      <c r="AO219" s="1188"/>
      <c r="AP219" s="1118"/>
      <c r="AQ219" s="1186"/>
      <c r="AR219" s="1120"/>
      <c r="AS219" s="1121"/>
      <c r="AT219" s="1122"/>
      <c r="AU219" s="1123"/>
      <c r="AV219" s="1124"/>
      <c r="AW219" s="1187"/>
      <c r="AX219" s="1134"/>
    </row>
    <row r="220" spans="38:50">
      <c r="AL220" s="1182"/>
      <c r="AM220" s="1183"/>
      <c r="AN220" s="1184"/>
      <c r="AO220" s="1188"/>
      <c r="AP220" s="1118"/>
      <c r="AQ220" s="1186"/>
      <c r="AR220" s="1120"/>
      <c r="AS220" s="1121"/>
      <c r="AT220" s="1122"/>
      <c r="AU220" s="1123"/>
      <c r="AV220" s="1124"/>
      <c r="AW220" s="1187"/>
      <c r="AX220" s="1134"/>
    </row>
    <row r="221" spans="38:50">
      <c r="AL221" s="1182"/>
      <c r="AM221" s="1183"/>
      <c r="AN221" s="1184"/>
      <c r="AO221" s="1188"/>
      <c r="AP221" s="1118"/>
      <c r="AQ221" s="1186"/>
      <c r="AR221" s="1120"/>
      <c r="AS221" s="1121"/>
      <c r="AT221" s="1122"/>
      <c r="AU221" s="1123"/>
      <c r="AV221" s="1124"/>
      <c r="AW221" s="1187"/>
      <c r="AX221" s="1134"/>
    </row>
    <row r="222" spans="38:50">
      <c r="AL222" s="1182"/>
      <c r="AM222" s="1183"/>
      <c r="AN222" s="1184"/>
      <c r="AO222" s="1188"/>
      <c r="AP222" s="1118"/>
      <c r="AQ222" s="1186"/>
      <c r="AR222" s="1120"/>
      <c r="AS222" s="1121"/>
      <c r="AT222" s="1122"/>
      <c r="AU222" s="1123"/>
      <c r="AV222" s="1124"/>
      <c r="AW222" s="1187"/>
      <c r="AX222" s="1134"/>
    </row>
    <row r="223" spans="38:50">
      <c r="AL223" s="1182"/>
      <c r="AM223" s="1183"/>
      <c r="AN223" s="1184"/>
      <c r="AO223" s="1188"/>
      <c r="AP223" s="1118"/>
      <c r="AQ223" s="1186"/>
      <c r="AR223" s="1120"/>
      <c r="AS223" s="1121"/>
      <c r="AT223" s="1122"/>
      <c r="AU223" s="1123"/>
      <c r="AV223" s="1124"/>
      <c r="AW223" s="1187"/>
      <c r="AX223" s="1134"/>
    </row>
    <row r="224" spans="38:50">
      <c r="AL224" s="1182"/>
      <c r="AM224" s="1183"/>
      <c r="AN224" s="1184"/>
      <c r="AO224" s="1188"/>
      <c r="AP224" s="1118"/>
      <c r="AQ224" s="1186"/>
      <c r="AR224" s="1120"/>
      <c r="AS224" s="1121"/>
      <c r="AT224" s="1122"/>
      <c r="AU224" s="1123"/>
      <c r="AV224" s="1124"/>
      <c r="AW224" s="1187"/>
      <c r="AX224" s="1134"/>
    </row>
    <row r="225" spans="38:50">
      <c r="AL225" s="1182"/>
      <c r="AM225" s="1183"/>
      <c r="AN225" s="1184"/>
      <c r="AO225" s="1188"/>
      <c r="AP225" s="1118"/>
      <c r="AQ225" s="1186"/>
      <c r="AR225" s="1120"/>
      <c r="AS225" s="1121"/>
      <c r="AT225" s="1122"/>
      <c r="AU225" s="1123"/>
      <c r="AV225" s="1124"/>
      <c r="AW225" s="1187"/>
      <c r="AX225" s="1134"/>
    </row>
    <row r="226" spans="38:50">
      <c r="AL226" s="1182"/>
      <c r="AM226" s="1183"/>
      <c r="AN226" s="1184"/>
      <c r="AO226" s="1188"/>
      <c r="AP226" s="1118"/>
      <c r="AQ226" s="1186"/>
      <c r="AR226" s="1120"/>
      <c r="AS226" s="1121"/>
      <c r="AT226" s="1122"/>
      <c r="AU226" s="1123"/>
      <c r="AV226" s="1124"/>
      <c r="AW226" s="1187"/>
      <c r="AX226" s="1134"/>
    </row>
    <row r="227" spans="38:50">
      <c r="AL227" s="1182"/>
      <c r="AM227" s="1183"/>
      <c r="AN227" s="1184"/>
      <c r="AO227" s="1188"/>
      <c r="AP227" s="1118"/>
      <c r="AQ227" s="1186"/>
      <c r="AR227" s="1120"/>
      <c r="AS227" s="1121"/>
      <c r="AT227" s="1122"/>
      <c r="AU227" s="1123"/>
      <c r="AV227" s="1124"/>
      <c r="AW227" s="1187"/>
      <c r="AX227" s="1134"/>
    </row>
    <row r="228" spans="38:50">
      <c r="AL228" s="1182"/>
      <c r="AM228" s="1183"/>
      <c r="AN228" s="1184"/>
      <c r="AO228" s="1188"/>
      <c r="AP228" s="1118"/>
      <c r="AQ228" s="1186"/>
      <c r="AR228" s="1120"/>
      <c r="AS228" s="1121"/>
      <c r="AT228" s="1122"/>
      <c r="AU228" s="1123"/>
      <c r="AV228" s="1124"/>
      <c r="AW228" s="1187"/>
      <c r="AX228" s="1134"/>
    </row>
    <row r="229" spans="38:50">
      <c r="AL229" s="1182"/>
      <c r="AM229" s="1183"/>
      <c r="AN229" s="1184"/>
      <c r="AO229" s="1188"/>
      <c r="AP229" s="1118"/>
      <c r="AQ229" s="1186"/>
      <c r="AR229" s="1120"/>
      <c r="AS229" s="1121"/>
      <c r="AT229" s="1122"/>
      <c r="AU229" s="1123"/>
      <c r="AV229" s="1124"/>
      <c r="AW229" s="1187"/>
      <c r="AX229" s="1134"/>
    </row>
    <row r="230" spans="38:50">
      <c r="AL230" s="1182"/>
      <c r="AM230" s="1183"/>
      <c r="AN230" s="1184"/>
      <c r="AO230" s="1188"/>
      <c r="AP230" s="1118"/>
      <c r="AQ230" s="1186"/>
      <c r="AR230" s="1120"/>
      <c r="AS230" s="1121"/>
      <c r="AT230" s="1122"/>
      <c r="AU230" s="1123"/>
      <c r="AV230" s="1124"/>
      <c r="AW230" s="1187"/>
      <c r="AX230" s="1134"/>
    </row>
    <row r="231" spans="38:50">
      <c r="AL231" s="1182"/>
      <c r="AM231" s="1183"/>
      <c r="AN231" s="1184"/>
      <c r="AO231" s="1188"/>
      <c r="AP231" s="1118"/>
      <c r="AQ231" s="1186"/>
      <c r="AR231" s="1120"/>
      <c r="AS231" s="1121"/>
      <c r="AT231" s="1122"/>
      <c r="AU231" s="1123"/>
      <c r="AV231" s="1124"/>
      <c r="AW231" s="1187"/>
      <c r="AX231" s="1134"/>
    </row>
    <row r="232" spans="38:50">
      <c r="AL232" s="1182"/>
      <c r="AM232" s="1183"/>
      <c r="AN232" s="1184"/>
      <c r="AO232" s="1188"/>
      <c r="AP232" s="1118"/>
      <c r="AQ232" s="1186"/>
      <c r="AR232" s="1120"/>
      <c r="AS232" s="1121"/>
      <c r="AT232" s="1122"/>
      <c r="AU232" s="1123"/>
      <c r="AV232" s="1124"/>
      <c r="AW232" s="1187"/>
      <c r="AX232" s="1134"/>
    </row>
    <row r="233" spans="38:50">
      <c r="AL233" s="1182"/>
      <c r="AM233" s="1183"/>
      <c r="AN233" s="1184"/>
      <c r="AO233" s="1188"/>
      <c r="AP233" s="1118"/>
      <c r="AQ233" s="1186"/>
      <c r="AR233" s="1120"/>
      <c r="AS233" s="1121"/>
      <c r="AT233" s="1122"/>
      <c r="AU233" s="1123"/>
      <c r="AV233" s="1124"/>
      <c r="AW233" s="1187"/>
      <c r="AX233" s="1134"/>
    </row>
    <row r="234" spans="38:50">
      <c r="AL234" s="1182"/>
      <c r="AM234" s="1183"/>
      <c r="AN234" s="1184"/>
      <c r="AO234" s="1188"/>
      <c r="AP234" s="1118"/>
      <c r="AQ234" s="1186"/>
      <c r="AR234" s="1120"/>
      <c r="AS234" s="1121"/>
      <c r="AT234" s="1122"/>
      <c r="AU234" s="1123"/>
      <c r="AV234" s="1124"/>
      <c r="AW234" s="1187"/>
      <c r="AX234" s="1134"/>
    </row>
    <row r="235" spans="38:50">
      <c r="AL235" s="1182"/>
      <c r="AM235" s="1183"/>
      <c r="AN235" s="1184"/>
      <c r="AO235" s="1188"/>
      <c r="AP235" s="1118"/>
      <c r="AQ235" s="1186"/>
      <c r="AR235" s="1120"/>
      <c r="AS235" s="1121"/>
      <c r="AT235" s="1122"/>
      <c r="AU235" s="1123"/>
      <c r="AV235" s="1124"/>
      <c r="AW235" s="1187"/>
      <c r="AX235" s="1134"/>
    </row>
    <row r="236" spans="38:50">
      <c r="AL236" s="1182"/>
      <c r="AM236" s="1183"/>
      <c r="AN236" s="1184"/>
      <c r="AO236" s="1188"/>
      <c r="AP236" s="1118"/>
      <c r="AQ236" s="1186"/>
      <c r="AR236" s="1120"/>
      <c r="AS236" s="1121"/>
      <c r="AT236" s="1122"/>
      <c r="AU236" s="1123"/>
      <c r="AV236" s="1124"/>
      <c r="AW236" s="1187"/>
      <c r="AX236" s="1134"/>
    </row>
    <row r="237" spans="38:50">
      <c r="AL237" s="1182"/>
      <c r="AM237" s="1183"/>
      <c r="AN237" s="1184"/>
      <c r="AO237" s="1188"/>
      <c r="AP237" s="1118"/>
      <c r="AQ237" s="1186"/>
      <c r="AR237" s="1120"/>
      <c r="AS237" s="1121"/>
      <c r="AT237" s="1122"/>
      <c r="AU237" s="1123"/>
      <c r="AV237" s="1124"/>
      <c r="AW237" s="1187"/>
      <c r="AX237" s="1134"/>
    </row>
    <row r="238" spans="38:50">
      <c r="AL238" s="1182"/>
      <c r="AM238" s="1183"/>
      <c r="AN238" s="1184"/>
      <c r="AO238" s="1188"/>
      <c r="AP238" s="1118"/>
      <c r="AQ238" s="1186"/>
      <c r="AR238" s="1120"/>
      <c r="AS238" s="1121"/>
      <c r="AT238" s="1122"/>
      <c r="AU238" s="1123"/>
      <c r="AV238" s="1124"/>
      <c r="AW238" s="1187"/>
      <c r="AX238" s="1134"/>
    </row>
    <row r="239" spans="38:50">
      <c r="AL239" s="1182"/>
      <c r="AM239" s="1183"/>
      <c r="AN239" s="1184"/>
      <c r="AO239" s="1188"/>
      <c r="AP239" s="1118"/>
      <c r="AQ239" s="1186"/>
      <c r="AR239" s="1120"/>
      <c r="AS239" s="1121"/>
      <c r="AT239" s="1122"/>
      <c r="AU239" s="1123"/>
      <c r="AV239" s="1124"/>
      <c r="AW239" s="1187"/>
      <c r="AX239" s="1134"/>
    </row>
    <row r="240" spans="38:50">
      <c r="AL240" s="1182"/>
      <c r="AM240" s="1183"/>
      <c r="AN240" s="1184"/>
      <c r="AO240" s="1188"/>
      <c r="AP240" s="1118"/>
      <c r="AQ240" s="1186"/>
      <c r="AR240" s="1120"/>
      <c r="AS240" s="1121"/>
      <c r="AT240" s="1122"/>
      <c r="AU240" s="1123"/>
      <c r="AV240" s="1124"/>
      <c r="AW240" s="1187"/>
      <c r="AX240" s="1134"/>
    </row>
    <row r="241" spans="38:50">
      <c r="AL241" s="1182"/>
      <c r="AM241" s="1183"/>
      <c r="AN241" s="1184"/>
      <c r="AO241" s="1188"/>
      <c r="AP241" s="1118"/>
      <c r="AQ241" s="1186"/>
      <c r="AR241" s="1120"/>
      <c r="AS241" s="1121"/>
      <c r="AT241" s="1122"/>
      <c r="AU241" s="1123"/>
      <c r="AV241" s="1124"/>
      <c r="AW241" s="1187"/>
      <c r="AX241" s="1134"/>
    </row>
    <row r="242" spans="38:50">
      <c r="AL242" s="1182"/>
      <c r="AM242" s="1183"/>
      <c r="AN242" s="1184"/>
      <c r="AO242" s="1188"/>
      <c r="AP242" s="1118"/>
      <c r="AQ242" s="1186"/>
      <c r="AR242" s="1120"/>
      <c r="AS242" s="1121"/>
      <c r="AT242" s="1122"/>
      <c r="AU242" s="1123"/>
      <c r="AV242" s="1124"/>
      <c r="AW242" s="1187"/>
      <c r="AX242" s="1134"/>
    </row>
    <row r="243" spans="38:50">
      <c r="AL243" s="1182"/>
      <c r="AM243" s="1183"/>
      <c r="AN243" s="1184"/>
      <c r="AO243" s="1188"/>
      <c r="AP243" s="1118"/>
      <c r="AQ243" s="1186"/>
      <c r="AR243" s="1120"/>
      <c r="AS243" s="1121"/>
      <c r="AT243" s="1122"/>
      <c r="AU243" s="1123"/>
      <c r="AV243" s="1124"/>
      <c r="AW243" s="1187"/>
      <c r="AX243" s="1134"/>
    </row>
    <row r="244" spans="38:50">
      <c r="AL244" s="1182"/>
      <c r="AM244" s="1183"/>
      <c r="AN244" s="1184"/>
      <c r="AO244" s="1188"/>
      <c r="AP244" s="1118"/>
      <c r="AQ244" s="1186"/>
      <c r="AR244" s="1120"/>
      <c r="AS244" s="1121"/>
      <c r="AT244" s="1122"/>
      <c r="AU244" s="1123"/>
      <c r="AV244" s="1124"/>
      <c r="AW244" s="1187"/>
      <c r="AX244" s="1134"/>
    </row>
    <row r="245" spans="38:50">
      <c r="AL245" s="1182"/>
      <c r="AM245" s="1183"/>
      <c r="AN245" s="1184"/>
      <c r="AO245" s="1188"/>
      <c r="AP245" s="1118"/>
      <c r="AQ245" s="1186"/>
      <c r="AR245" s="1120"/>
      <c r="AS245" s="1121"/>
      <c r="AT245" s="1122"/>
      <c r="AU245" s="1123"/>
      <c r="AV245" s="1124"/>
      <c r="AW245" s="1187"/>
      <c r="AX245" s="1134"/>
    </row>
    <row r="246" spans="38:50">
      <c r="AL246" s="1182"/>
      <c r="AM246" s="1183"/>
      <c r="AN246" s="1184"/>
      <c r="AO246" s="1188"/>
      <c r="AP246" s="1118"/>
      <c r="AQ246" s="1186"/>
      <c r="AR246" s="1120"/>
      <c r="AS246" s="1121"/>
      <c r="AT246" s="1122"/>
      <c r="AU246" s="1123"/>
      <c r="AV246" s="1124"/>
      <c r="AW246" s="1187"/>
      <c r="AX246" s="1134"/>
    </row>
    <row r="247" spans="38:50">
      <c r="AL247" s="1182"/>
      <c r="AM247" s="1183"/>
      <c r="AN247" s="1184"/>
      <c r="AO247" s="1188"/>
      <c r="AP247" s="1118"/>
      <c r="AQ247" s="1186"/>
      <c r="AR247" s="1120"/>
      <c r="AS247" s="1121"/>
      <c r="AT247" s="1122"/>
      <c r="AU247" s="1123"/>
      <c r="AV247" s="1124"/>
      <c r="AW247" s="1187"/>
      <c r="AX247" s="1134"/>
    </row>
    <row r="248" spans="38:50">
      <c r="AL248" s="1182"/>
      <c r="AM248" s="1183"/>
      <c r="AN248" s="1184"/>
      <c r="AO248" s="1188"/>
      <c r="AP248" s="1118"/>
      <c r="AQ248" s="1186"/>
      <c r="AR248" s="1120"/>
      <c r="AS248" s="1121"/>
      <c r="AT248" s="1122"/>
      <c r="AU248" s="1123"/>
      <c r="AV248" s="1124"/>
      <c r="AW248" s="1187"/>
      <c r="AX248" s="1134"/>
    </row>
    <row r="249" spans="38:50">
      <c r="AL249" s="1182"/>
      <c r="AM249" s="1183"/>
      <c r="AN249" s="1184"/>
      <c r="AO249" s="1188"/>
      <c r="AP249" s="1118"/>
      <c r="AQ249" s="1186"/>
      <c r="AR249" s="1120"/>
      <c r="AS249" s="1121"/>
      <c r="AT249" s="1122"/>
      <c r="AU249" s="1123"/>
      <c r="AV249" s="1124"/>
      <c r="AW249" s="1187"/>
      <c r="AX249" s="1134"/>
    </row>
    <row r="250" spans="38:50">
      <c r="AL250" s="1182"/>
      <c r="AM250" s="1183"/>
      <c r="AN250" s="1184"/>
      <c r="AO250" s="1188"/>
      <c r="AP250" s="1118"/>
      <c r="AQ250" s="1186"/>
      <c r="AR250" s="1120"/>
      <c r="AS250" s="1121"/>
      <c r="AT250" s="1122"/>
      <c r="AU250" s="1123"/>
      <c r="AV250" s="1124"/>
      <c r="AW250" s="1187"/>
      <c r="AX250" s="1134"/>
    </row>
    <row r="251" spans="38:50">
      <c r="AL251" s="1182"/>
      <c r="AM251" s="1183"/>
      <c r="AN251" s="1184"/>
      <c r="AO251" s="1188"/>
      <c r="AP251" s="1118"/>
      <c r="AQ251" s="1186"/>
      <c r="AR251" s="1120"/>
      <c r="AS251" s="1121"/>
      <c r="AT251" s="1122"/>
      <c r="AU251" s="1123"/>
      <c r="AV251" s="1124"/>
      <c r="AW251" s="1187"/>
      <c r="AX251" s="1134"/>
    </row>
    <row r="252" spans="38:50">
      <c r="AL252" s="1182"/>
      <c r="AM252" s="1183"/>
      <c r="AN252" s="1184"/>
      <c r="AO252" s="1188"/>
      <c r="AP252" s="1118"/>
      <c r="AQ252" s="1186"/>
      <c r="AR252" s="1120"/>
      <c r="AS252" s="1121"/>
      <c r="AT252" s="1122"/>
      <c r="AU252" s="1123"/>
      <c r="AV252" s="1124"/>
      <c r="AW252" s="1187"/>
      <c r="AX252" s="1134"/>
    </row>
    <row r="253" spans="38:50">
      <c r="AL253" s="1182"/>
      <c r="AM253" s="1183"/>
      <c r="AN253" s="1184"/>
      <c r="AO253" s="1188"/>
      <c r="AP253" s="1118"/>
      <c r="AQ253" s="1186"/>
      <c r="AR253" s="1120"/>
      <c r="AS253" s="1121"/>
      <c r="AT253" s="1122"/>
      <c r="AU253" s="1123"/>
      <c r="AV253" s="1124"/>
      <c r="AW253" s="1187"/>
      <c r="AX253" s="1134"/>
    </row>
    <row r="254" spans="38:50">
      <c r="AL254" s="1182"/>
      <c r="AM254" s="1183"/>
      <c r="AN254" s="1184"/>
      <c r="AO254" s="1188"/>
      <c r="AP254" s="1118"/>
      <c r="AQ254" s="1186"/>
      <c r="AR254" s="1120"/>
      <c r="AS254" s="1121"/>
      <c r="AT254" s="1122"/>
      <c r="AU254" s="1123"/>
      <c r="AV254" s="1124"/>
      <c r="AW254" s="1187"/>
      <c r="AX254" s="1134"/>
    </row>
    <row r="255" spans="38:50">
      <c r="AL255" s="1182"/>
      <c r="AM255" s="1183"/>
      <c r="AN255" s="1184"/>
      <c r="AO255" s="1188"/>
      <c r="AP255" s="1118"/>
      <c r="AQ255" s="1186"/>
      <c r="AR255" s="1120"/>
      <c r="AS255" s="1121"/>
      <c r="AT255" s="1122"/>
      <c r="AU255" s="1123"/>
      <c r="AV255" s="1124"/>
      <c r="AW255" s="1187"/>
      <c r="AX255" s="1134"/>
    </row>
    <row r="256" spans="38:50">
      <c r="AL256" s="1182"/>
      <c r="AM256" s="1183"/>
      <c r="AN256" s="1184"/>
      <c r="AO256" s="1188"/>
      <c r="AP256" s="1118"/>
      <c r="AQ256" s="1186"/>
      <c r="AR256" s="1120"/>
      <c r="AS256" s="1121"/>
      <c r="AT256" s="1122"/>
      <c r="AU256" s="1123"/>
      <c r="AV256" s="1124"/>
      <c r="AW256" s="1187"/>
      <c r="AX256" s="1134"/>
    </row>
    <row r="257" spans="38:50">
      <c r="AL257" s="1182"/>
      <c r="AM257" s="1183"/>
      <c r="AN257" s="1184"/>
      <c r="AO257" s="1188"/>
      <c r="AP257" s="1118"/>
      <c r="AQ257" s="1186"/>
      <c r="AR257" s="1120"/>
      <c r="AS257" s="1121"/>
      <c r="AT257" s="1122"/>
      <c r="AU257" s="1123"/>
      <c r="AV257" s="1124"/>
      <c r="AW257" s="1187"/>
      <c r="AX257" s="1134"/>
    </row>
    <row r="258" spans="38:50">
      <c r="AL258" s="1182"/>
      <c r="AM258" s="1183"/>
      <c r="AN258" s="1184"/>
      <c r="AO258" s="1188"/>
      <c r="AP258" s="1118"/>
      <c r="AQ258" s="1186"/>
      <c r="AR258" s="1120"/>
      <c r="AS258" s="1121"/>
      <c r="AT258" s="1122"/>
      <c r="AU258" s="1123"/>
      <c r="AV258" s="1124"/>
      <c r="AW258" s="1187"/>
      <c r="AX258" s="1134"/>
    </row>
    <row r="259" spans="38:50">
      <c r="AL259" s="1182"/>
      <c r="AM259" s="1183"/>
      <c r="AN259" s="1184"/>
      <c r="AO259" s="1188"/>
      <c r="AP259" s="1118"/>
      <c r="AQ259" s="1186"/>
      <c r="AR259" s="1120"/>
      <c r="AS259" s="1121"/>
      <c r="AT259" s="1122"/>
      <c r="AU259" s="1123"/>
      <c r="AV259" s="1124"/>
      <c r="AW259" s="1187"/>
      <c r="AX259" s="1134"/>
    </row>
    <row r="260" spans="38:50">
      <c r="AL260" s="1182"/>
      <c r="AM260" s="1183"/>
      <c r="AN260" s="1184"/>
      <c r="AO260" s="1188"/>
      <c r="AP260" s="1118"/>
      <c r="AQ260" s="1186"/>
      <c r="AR260" s="1120"/>
      <c r="AS260" s="1121"/>
      <c r="AT260" s="1122"/>
      <c r="AU260" s="1123"/>
      <c r="AV260" s="1124"/>
      <c r="AW260" s="1187"/>
      <c r="AX260" s="1134"/>
    </row>
    <row r="261" spans="38:50">
      <c r="AL261" s="1182"/>
      <c r="AM261" s="1183"/>
      <c r="AN261" s="1184"/>
      <c r="AO261" s="1188"/>
      <c r="AP261" s="1118"/>
      <c r="AQ261" s="1186"/>
      <c r="AR261" s="1120"/>
      <c r="AS261" s="1121"/>
      <c r="AT261" s="1122"/>
      <c r="AU261" s="1123"/>
      <c r="AV261" s="1124"/>
      <c r="AW261" s="1187"/>
      <c r="AX261" s="1134"/>
    </row>
    <row r="262" spans="38:50" ht="17.25" thickBot="1">
      <c r="AL262" s="1189"/>
      <c r="AM262" s="1190"/>
      <c r="AN262" s="1184"/>
      <c r="AO262" s="1191"/>
      <c r="AP262" s="1118"/>
      <c r="AQ262" s="1192"/>
      <c r="AR262" s="1120"/>
      <c r="AS262" s="1121"/>
      <c r="AT262" s="1122"/>
      <c r="AU262" s="1123"/>
      <c r="AV262" s="1124"/>
      <c r="AW262" s="1193"/>
      <c r="AX262" s="1194"/>
    </row>
    <row r="263" spans="38:50" ht="17.25" thickBot="1">
      <c r="AL263" s="1258"/>
      <c r="AM263" s="1259"/>
      <c r="AN263" s="1195"/>
      <c r="AO263" s="1195"/>
      <c r="AP263" s="1196"/>
      <c r="AQ263" s="1197"/>
      <c r="AR263" s="1198"/>
      <c r="AS263" s="1198"/>
      <c r="AT263" s="1196"/>
      <c r="AU263" s="1199"/>
      <c r="AV263" s="1199"/>
    </row>
    <row r="264" spans="38:50" ht="17.25" thickBot="1">
      <c r="AL264" s="1248"/>
      <c r="AM264" s="1249"/>
      <c r="AN264" s="1200"/>
      <c r="AO264" s="1200"/>
      <c r="AP264" s="1201"/>
      <c r="AQ264" s="1202"/>
      <c r="AR264" s="1202"/>
      <c r="AS264" s="1202"/>
      <c r="AT264" s="1201"/>
      <c r="AU264" s="1199"/>
      <c r="AV264" s="1199"/>
    </row>
  </sheetData>
  <mergeCells count="3">
    <mergeCell ref="K6:K7"/>
    <mergeCell ref="L6:O6"/>
    <mergeCell ref="P6:R6"/>
  </mergeCells>
  <phoneticPr fontId="1" type="noConversion"/>
  <conditionalFormatting sqref="B24:B25 F70 B70:B75 F73">
    <cfRule type="cellIs" dxfId="49" priority="24" operator="lessThan">
      <formula>0</formula>
    </cfRule>
  </conditionalFormatting>
  <conditionalFormatting sqref="B32:B47">
    <cfRule type="cellIs" dxfId="48" priority="13" operator="lessThan">
      <formula>0</formula>
    </cfRule>
  </conditionalFormatting>
  <conditionalFormatting sqref="B51">
    <cfRule type="cellIs" dxfId="47" priority="17" operator="lessThan">
      <formula>0</formula>
    </cfRule>
  </conditionalFormatting>
  <conditionalFormatting sqref="B64:B65">
    <cfRule type="cellIs" dxfId="46" priority="18" operator="lessThan">
      <formula>0</formula>
    </cfRule>
  </conditionalFormatting>
  <conditionalFormatting sqref="D14:D21">
    <cfRule type="cellIs" dxfId="45" priority="15" operator="lessThan">
      <formula>0</formula>
    </cfRule>
  </conditionalFormatting>
  <conditionalFormatting sqref="D24:D25">
    <cfRule type="cellIs" dxfId="44" priority="5" operator="lessThan">
      <formula>0</formula>
    </cfRule>
  </conditionalFormatting>
  <conditionalFormatting sqref="D33:D39">
    <cfRule type="cellIs" dxfId="43" priority="4" operator="lessThan">
      <formula>0</formula>
    </cfRule>
  </conditionalFormatting>
  <conditionalFormatting sqref="D64:D65">
    <cfRule type="cellIs" dxfId="42" priority="20" operator="lessThan">
      <formula>0</formula>
    </cfRule>
  </conditionalFormatting>
  <conditionalFormatting sqref="E70:E75">
    <cfRule type="cellIs" dxfId="41" priority="8" operator="lessThan">
      <formula>0</formula>
    </cfRule>
  </conditionalFormatting>
  <conditionalFormatting sqref="F14:F21">
    <cfRule type="cellIs" dxfId="40" priority="14" operator="lessThan">
      <formula>0</formula>
    </cfRule>
  </conditionalFormatting>
  <conditionalFormatting sqref="F24:F25">
    <cfRule type="cellIs" dxfId="39" priority="6" operator="lessThan">
      <formula>0</formula>
    </cfRule>
  </conditionalFormatting>
  <conditionalFormatting sqref="F32:F41">
    <cfRule type="cellIs" dxfId="38" priority="3" operator="lessThan">
      <formula>0</formula>
    </cfRule>
  </conditionalFormatting>
  <conditionalFormatting sqref="F51:F52">
    <cfRule type="cellIs" dxfId="37" priority="16" operator="lessThan">
      <formula>0</formula>
    </cfRule>
  </conditionalFormatting>
  <conditionalFormatting sqref="F64:F65">
    <cfRule type="cellIs" dxfId="36" priority="19" operator="lessThan">
      <formula>0</formula>
    </cfRule>
  </conditionalFormatting>
  <conditionalFormatting sqref="H14:H21">
    <cfRule type="cellIs" dxfId="35" priority="25" operator="lessThan">
      <formula>0</formula>
    </cfRule>
  </conditionalFormatting>
  <conditionalFormatting sqref="H24:H25">
    <cfRule type="cellIs" dxfId="34" priority="7" operator="lessThan">
      <formula>0</formula>
    </cfRule>
  </conditionalFormatting>
  <conditionalFormatting sqref="H32:H52">
    <cfRule type="cellIs" dxfId="33" priority="2" operator="lessThan">
      <formula>0</formula>
    </cfRule>
  </conditionalFormatting>
  <conditionalFormatting sqref="H57:H63">
    <cfRule type="cellIs" dxfId="32" priority="1" operator="lessThan">
      <formula>0</formula>
    </cfRule>
  </conditionalFormatting>
  <conditionalFormatting sqref="J10">
    <cfRule type="expression" dxfId="31" priority="451">
      <formula>AND(#REF!=TRUE,#REF!&lt;0)</formula>
    </cfRule>
    <cfRule type="expression" dxfId="30" priority="452">
      <formula>AND(#REF!=TRUE,#REF!&gt;=0)</formula>
    </cfRule>
  </conditionalFormatting>
  <conditionalFormatting sqref="J55 J58">
    <cfRule type="cellIs" dxfId="29" priority="93" operator="lessThan">
      <formula>0</formula>
    </cfRule>
  </conditionalFormatting>
  <pageMargins left="0.7" right="0.7" top="0.75" bottom="0.75" header="0.3" footer="0.3"/>
  <pageSetup paperSize="9" scale="75"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80F46-E095-41AE-8D33-54AAA9FAB773}">
  <sheetPr>
    <tabColor theme="7"/>
  </sheetPr>
  <dimension ref="A1:X206"/>
  <sheetViews>
    <sheetView topLeftCell="B1" workbookViewId="0">
      <selection activeCell="E4" sqref="E4"/>
    </sheetView>
  </sheetViews>
  <sheetFormatPr defaultRowHeight="16.5"/>
  <cols>
    <col min="1" max="1" width="4.5" style="225" hidden="1" customWidth="1"/>
    <col min="2" max="2" width="4.625" style="242" customWidth="1"/>
    <col min="3" max="3" width="15.375" style="243" customWidth="1"/>
    <col min="4" max="4" width="7.375" customWidth="1"/>
    <col min="5" max="5" width="14" customWidth="1"/>
    <col min="6" max="6" width="6.375" customWidth="1"/>
    <col min="7" max="7" width="14" customWidth="1"/>
    <col min="8" max="8" width="14" style="244" customWidth="1"/>
    <col min="9" max="11" width="4.5" customWidth="1"/>
    <col min="12" max="12" width="5.625" style="225" customWidth="1"/>
    <col min="13" max="13" width="6.875" style="246" customWidth="1"/>
    <col min="14" max="14" width="20" style="246" customWidth="1"/>
    <col min="15" max="16" width="9" style="247"/>
    <col min="17" max="17" width="13" style="247" customWidth="1"/>
    <col min="18" max="18" width="9" style="247"/>
    <col min="19" max="19" width="7.25" style="247" customWidth="1"/>
    <col min="20" max="20" width="12" style="248" customWidth="1"/>
    <col min="21" max="24" width="12" style="249" customWidth="1"/>
  </cols>
  <sheetData>
    <row r="1" spans="1:24" ht="20.25">
      <c r="A1" s="224"/>
      <c r="B1" s="1635" t="str">
        <f>IF(AND(데이터입력!$AM$1=TRUE,데이터입력!$AE$2="추경"),"추경예산서 업로드(W4C)","본예산서 업로드")</f>
        <v>추경예산서 업로드(W4C)</v>
      </c>
      <c r="C1" s="1635"/>
      <c r="D1" s="1635"/>
      <c r="E1" s="1635"/>
      <c r="F1" s="1635"/>
      <c r="G1" s="1635"/>
      <c r="H1" s="1635"/>
      <c r="I1" s="1635"/>
      <c r="J1" s="1635"/>
      <c r="K1" s="1635"/>
      <c r="L1" s="224"/>
      <c r="M1" s="1636" t="str">
        <f>IF(AND(데이터입력!$AM$1=TRUE,데이터입력!$AE$2="추경"),"추경예산 보수일람표 업로드(W4C)","본예산 보수일람표 업로드")</f>
        <v>추경예산 보수일람표 업로드(W4C)</v>
      </c>
      <c r="N1" s="1636"/>
      <c r="O1" s="1636"/>
      <c r="P1" s="1636"/>
      <c r="Q1" s="1636"/>
      <c r="R1" s="1636"/>
      <c r="S1" s="1636"/>
      <c r="T1" s="1636"/>
      <c r="U1" s="1636"/>
      <c r="V1" s="1636"/>
      <c r="W1" s="1636"/>
      <c r="X1" s="1636"/>
    </row>
    <row r="2" spans="1:24" ht="24">
      <c r="B2" s="226" t="s">
        <v>470</v>
      </c>
      <c r="C2" s="227" t="s">
        <v>471</v>
      </c>
      <c r="D2" s="228" t="s">
        <v>2</v>
      </c>
      <c r="E2" s="228" t="s">
        <v>1</v>
      </c>
      <c r="F2" s="229" t="s">
        <v>498</v>
      </c>
      <c r="G2" s="228" t="s">
        <v>499</v>
      </c>
      <c r="H2" s="230" t="s">
        <v>208</v>
      </c>
      <c r="I2" s="228" t="s">
        <v>500</v>
      </c>
      <c r="J2" s="228" t="s">
        <v>501</v>
      </c>
      <c r="K2" s="228" t="s">
        <v>502</v>
      </c>
      <c r="M2" s="231" t="s">
        <v>470</v>
      </c>
      <c r="N2" s="231" t="s">
        <v>471</v>
      </c>
      <c r="O2" s="231" t="s">
        <v>472</v>
      </c>
      <c r="P2" s="231" t="s">
        <v>250</v>
      </c>
      <c r="Q2" s="231" t="s">
        <v>248</v>
      </c>
      <c r="R2" s="231" t="s">
        <v>473</v>
      </c>
      <c r="S2" s="231" t="s">
        <v>474</v>
      </c>
      <c r="T2" s="232" t="s">
        <v>251</v>
      </c>
      <c r="U2" s="232" t="s">
        <v>435</v>
      </c>
      <c r="V2" s="232" t="s">
        <v>436</v>
      </c>
      <c r="W2" s="232" t="s">
        <v>475</v>
      </c>
      <c r="X2" s="232" t="s">
        <v>476</v>
      </c>
    </row>
    <row r="3" spans="1:24" ht="24">
      <c r="A3" s="225">
        <v>1</v>
      </c>
      <c r="B3" s="233" t="str">
        <f>IFERROR(IF(F3="06",데이터입력!$AB$8,IF(F3="07",데이터입력!$AD$8,IF(F3="05",데이터입력!$AF$8,데이터입력!$AB$8))),데이터입력!$AB$8)</f>
        <v>00</v>
      </c>
      <c r="C3" s="684" t="str">
        <f>데이터입력!$AC$9</f>
        <v>일반사업[일반]</v>
      </c>
      <c r="D3" s="238">
        <f>IFERROR(VLOOKUP($A3,데이터입력!$A:$H,4,FALSE),"")</f>
        <v>401010201</v>
      </c>
      <c r="E3" s="238" t="str">
        <f>IFERROR(VLOOKUP($A3,데이터입력!$A:$H,2,FALSE),"")</f>
        <v>본인부담금수입</v>
      </c>
      <c r="F3" s="238" t="str">
        <f>IFERROR(VLOOKUP($A3,데이터입력!$A:$H,5,FALSE),"")</f>
        <v>06</v>
      </c>
      <c r="G3" s="238" t="str">
        <f>IFERROR(VLOOKUP($A3,데이터입력!$A:$H,6,FALSE),"")</f>
        <v>수익사업</v>
      </c>
      <c r="H3" s="239">
        <f>IFERROR(VLOOKUP($A3,데이터입력!$A:$L,8,FALSE)+VLOOKUP($A3,데이터입력!$A:$L,9,FALSE)+VLOOKUP($A3,데이터입력!$A:$L,10,FALSE),"")</f>
        <v>33735444</v>
      </c>
      <c r="I3" s="240" t="s">
        <v>136</v>
      </c>
      <c r="J3" s="240" t="s">
        <v>136</v>
      </c>
      <c r="K3" s="240" t="s">
        <v>136</v>
      </c>
      <c r="L3" s="686"/>
      <c r="M3" s="235" t="str">
        <f>데이터입력!$AB$8</f>
        <v>00</v>
      </c>
      <c r="N3" s="238" t="str">
        <f>데이터입력!$AC$9</f>
        <v>일반사업[일반]</v>
      </c>
      <c r="O3" s="236" t="str">
        <f>IFERROR(VLOOKUP($A3,보수일람표!$A:$M,4,FALSE),"")</f>
        <v>김현주</v>
      </c>
      <c r="P3" s="236" t="str">
        <f>IFERROR(VLOOKUP($A3,보수일람표!$A:$M,5,FALSE),"")</f>
        <v>시설장(관리책임자)</v>
      </c>
      <c r="Q3" s="923" t="str">
        <f>IFERROR(VLOOKUP($A3,보수일람표!$A:$M,6,FALSE),"")</f>
        <v>재가노인복지시설 주야간보호</v>
      </c>
      <c r="R3" s="236" t="str">
        <f>IFERROR(VLOOKUP($A3,보수일람표!$A:$M,7,FALSE),"")</f>
        <v>간접</v>
      </c>
      <c r="S3" s="236"/>
      <c r="T3" s="237">
        <f>IFERROR(VLOOKUP($A3,보수일람표!$A:$M,9,FALSE),"")</f>
        <v>24252600</v>
      </c>
      <c r="U3" s="237">
        <f>IFERROR(VLOOKUP($A3,보수일람표!$A:$M,10,FALSE),"")</f>
        <v>0</v>
      </c>
      <c r="V3" s="237">
        <f>IFERROR(VLOOKUP($A3,보수일람표!$A:$M,11,FALSE),"")</f>
        <v>0</v>
      </c>
      <c r="W3" s="237">
        <f>IFERROR(VLOOKUP($A3,보수일람표!$A:$M,12,FALSE),"")</f>
        <v>2100000</v>
      </c>
      <c r="X3" s="237">
        <f>IFERROR(VLOOKUP($A3,보수일람표!$A:$M,13,FALSE),"")</f>
        <v>3689900</v>
      </c>
    </row>
    <row r="4" spans="1:24">
      <c r="A4" s="225">
        <v>2</v>
      </c>
      <c r="B4" s="233" t="str">
        <f>IFERROR(IF(F4="06",데이터입력!$AB$8,IF(F4="07",데이터입력!$AD$8,IF(F4="05",데이터입력!$AF$8,데이터입력!$AB$8))),데이터입력!$AB$8)</f>
        <v>00</v>
      </c>
      <c r="C4" s="684" t="str">
        <f>데이터입력!$AC$9</f>
        <v>일반사업[일반]</v>
      </c>
      <c r="D4" s="238">
        <f>IFERROR(VLOOKUP($A4,데이터입력!$A:$H,4,FALSE),"")</f>
        <v>401010301</v>
      </c>
      <c r="E4" s="238" t="str">
        <f>IFERROR(VLOOKUP($A4,데이터입력!$A:$H,2,FALSE),"")</f>
        <v>식재료비수입</v>
      </c>
      <c r="F4" s="238" t="str">
        <f>IFERROR(VLOOKUP($A4,데이터입력!$A:$H,5,FALSE),"")</f>
        <v>06</v>
      </c>
      <c r="G4" s="238" t="str">
        <f>IFERROR(VLOOKUP($A4,데이터입력!$A:$H,6,FALSE),"")</f>
        <v>수익사업</v>
      </c>
      <c r="H4" s="239">
        <f>IFERROR(VLOOKUP($A4,데이터입력!$A:$L,8,FALSE)+VLOOKUP($A4,데이터입력!$A:$L,9,FALSE)+VLOOKUP($A4,데이터입력!$A:$L,10,FALSE),"")</f>
        <v>36414000</v>
      </c>
      <c r="I4" s="240" t="s">
        <v>136</v>
      </c>
      <c r="J4" s="240" t="s">
        <v>136</v>
      </c>
      <c r="K4" s="240" t="s">
        <v>136</v>
      </c>
      <c r="M4" s="235" t="str">
        <f>데이터입력!$AB$8</f>
        <v>00</v>
      </c>
      <c r="N4" s="238" t="str">
        <f>데이터입력!$AC$9</f>
        <v>일반사업[일반]</v>
      </c>
      <c r="O4" s="236" t="str">
        <f>IFERROR(VLOOKUP($A4,보수일람표!$A:$M,4,FALSE),"")</f>
        <v>유미남</v>
      </c>
      <c r="P4" s="236" t="str">
        <f>IFERROR(VLOOKUP($A4,보수일람표!$A:$M,5,FALSE),"")</f>
        <v>조리원</v>
      </c>
      <c r="Q4" s="923" t="str">
        <f>IFERROR(VLOOKUP($A4,보수일람표!$A:$M,6,FALSE),"")</f>
        <v>재가노인복지시설 주야간보호</v>
      </c>
      <c r="R4" s="236" t="str">
        <f>IFERROR(VLOOKUP($A4,보수일람표!$A:$M,7,FALSE),"")</f>
        <v>간접</v>
      </c>
      <c r="S4" s="236"/>
      <c r="T4" s="237">
        <f>IFERROR(VLOOKUP($A4,보수일람표!$A:$M,9,FALSE),"")</f>
        <v>24252600</v>
      </c>
      <c r="U4" s="237">
        <f>IFERROR(VLOOKUP($A4,보수일람표!$A:$M,10,FALSE),"")</f>
        <v>0</v>
      </c>
      <c r="V4" s="237">
        <f>IFERROR(VLOOKUP($A4,보수일람표!$A:$M,11,FALSE),"")</f>
        <v>0</v>
      </c>
      <c r="W4" s="237">
        <f>IFERROR(VLOOKUP($A4,보수일람표!$A:$M,12,FALSE),"")</f>
        <v>2100000</v>
      </c>
      <c r="X4" s="237">
        <f>IFERROR(VLOOKUP($A4,보수일람표!$A:$M,13,FALSE),"")</f>
        <v>3690000</v>
      </c>
    </row>
    <row r="5" spans="1:24" ht="24">
      <c r="A5" s="225">
        <v>3</v>
      </c>
      <c r="B5" s="233" t="str">
        <f>IFERROR(IF(F5="06",데이터입력!$AB$8,IF(F5="07",데이터입력!$AD$8,IF(F5="05",데이터입력!$AF$8,데이터입력!$AB$8))),데이터입력!$AB$8)</f>
        <v>00</v>
      </c>
      <c r="C5" s="684" t="str">
        <f>데이터입력!$AC$9</f>
        <v>일반사업[일반]</v>
      </c>
      <c r="D5" s="238">
        <f>IFERROR(VLOOKUP($A5,데이터입력!$A:$H,4,FALSE),"")</f>
        <v>401010601</v>
      </c>
      <c r="E5" s="238" t="str">
        <f>IFERROR(VLOOKUP($A5,데이터입력!$A:$H,2,FALSE),"")</f>
        <v>기타비급여수입</v>
      </c>
      <c r="F5" s="238" t="str">
        <f>IFERROR(VLOOKUP($A5,데이터입력!$A:$H,5,FALSE),"")</f>
        <v>06</v>
      </c>
      <c r="G5" s="238" t="str">
        <f>IFERROR(VLOOKUP($A5,데이터입력!$A:$H,6,FALSE),"")</f>
        <v>수익사업</v>
      </c>
      <c r="H5" s="239">
        <f>IFERROR(VLOOKUP($A5,데이터입력!$A:$L,8,FALSE)+VLOOKUP($A5,데이터입력!$A:$L,9,FALSE)+VLOOKUP($A5,데이터입력!$A:$L,10,FALSE),"")</f>
        <v>1800000</v>
      </c>
      <c r="I5" s="240" t="s">
        <v>136</v>
      </c>
      <c r="J5" s="240" t="s">
        <v>136</v>
      </c>
      <c r="K5" s="240" t="s">
        <v>136</v>
      </c>
      <c r="M5" s="235" t="str">
        <f>데이터입력!$AB$8</f>
        <v>00</v>
      </c>
      <c r="N5" s="238" t="str">
        <f>데이터입력!$AC$9</f>
        <v>일반사업[일반]</v>
      </c>
      <c r="O5" s="236" t="str">
        <f>IFERROR(VLOOKUP($A5,보수일람표!$A:$M,4,FALSE),"")</f>
        <v>신규1</v>
      </c>
      <c r="P5" s="236" t="str">
        <f>IFERROR(VLOOKUP($A5,보수일람표!$A:$M,5,FALSE),"")</f>
        <v>보조원 운전사</v>
      </c>
      <c r="Q5" s="923" t="str">
        <f>IFERROR(VLOOKUP($A5,보수일람표!$A:$M,6,FALSE),"")</f>
        <v>재가노인복지시설 주야간보호</v>
      </c>
      <c r="R5" s="236" t="str">
        <f>IFERROR(VLOOKUP($A5,보수일람표!$A:$M,7,FALSE),"")</f>
        <v>간접</v>
      </c>
      <c r="S5" s="236"/>
      <c r="T5" s="237">
        <f>IFERROR(VLOOKUP($A5,보수일람표!$A:$M,9,FALSE),"")</f>
        <v>6929280</v>
      </c>
      <c r="U5" s="237">
        <f>IFERROR(VLOOKUP($A5,보수일람표!$A:$M,10,FALSE),"")</f>
        <v>0</v>
      </c>
      <c r="V5" s="237">
        <f>IFERROR(VLOOKUP($A5,보수일람표!$A:$M,11,FALSE),"")</f>
        <v>0</v>
      </c>
      <c r="W5" s="237">
        <f>IFERROR(VLOOKUP($A5,보수일람표!$A:$M,12,FALSE),"")</f>
        <v>600000</v>
      </c>
      <c r="X5" s="237">
        <f>IFERROR(VLOOKUP($A5,보수일람표!$A:$M,13,FALSE),"")</f>
        <v>1054320</v>
      </c>
    </row>
    <row r="6" spans="1:24" ht="22.5">
      <c r="A6" s="225">
        <v>4</v>
      </c>
      <c r="B6" s="233" t="str">
        <f>IFERROR(IF(F6="06",데이터입력!$AB$8,IF(F6="07",데이터입력!$AD$8,IF(F6="05",데이터입력!$AF$8,데이터입력!$AB$8))),데이터입력!$AB$8)</f>
        <v>00</v>
      </c>
      <c r="C6" s="684" t="str">
        <f>데이터입력!$AC$9</f>
        <v>일반사업[일반]</v>
      </c>
      <c r="D6" s="238">
        <f>IFERROR(VLOOKUP($A6,데이터입력!$A:$H,4,FALSE),"")</f>
        <v>406010101</v>
      </c>
      <c r="E6" s="238" t="str">
        <f>IFERROR(VLOOKUP($A6,데이터입력!$A:$H,2,FALSE),"")</f>
        <v>장기요양급여수입(인건비비율 반영)</v>
      </c>
      <c r="F6" s="238" t="str">
        <f>IFERROR(VLOOKUP($A6,데이터입력!$A:$H,5,FALSE),"")</f>
        <v>06</v>
      </c>
      <c r="G6" s="238" t="str">
        <f>IFERROR(VLOOKUP($A6,데이터입력!$A:$H,6,FALSE),"")</f>
        <v>수익사업</v>
      </c>
      <c r="H6" s="239">
        <f>IFERROR(VLOOKUP($A6,데이터입력!$A:$L,8,FALSE)+VLOOKUP($A6,데이터입력!$A:$L,9,FALSE)+VLOOKUP($A6,데이터입력!$A:$L,10,FALSE),"")</f>
        <v>191167152</v>
      </c>
      <c r="I6" s="240" t="s">
        <v>136</v>
      </c>
      <c r="J6" s="240" t="s">
        <v>136</v>
      </c>
      <c r="K6" s="240" t="s">
        <v>136</v>
      </c>
      <c r="M6" s="235" t="str">
        <f>데이터입력!$AB$8</f>
        <v>00</v>
      </c>
      <c r="N6" s="238" t="str">
        <f>데이터입력!$AC$9</f>
        <v>일반사업[일반]</v>
      </c>
      <c r="O6" s="236" t="str">
        <f>IFERROR(VLOOKUP($A6,보수일람표!$A:$M,4,FALSE),"")</f>
        <v/>
      </c>
      <c r="P6" s="236" t="str">
        <f>IFERROR(VLOOKUP($A6,보수일람표!$A:$M,5,FALSE),"")</f>
        <v/>
      </c>
      <c r="Q6" s="923" t="str">
        <f>IFERROR(VLOOKUP($A6,보수일람표!$A:$M,6,FALSE),"")</f>
        <v/>
      </c>
      <c r="R6" s="236" t="str">
        <f>IFERROR(VLOOKUP($A6,보수일람표!$A:$M,7,FALSE),"")</f>
        <v>간접</v>
      </c>
      <c r="S6" s="236"/>
      <c r="T6" s="237">
        <f>IFERROR(VLOOKUP($A6,보수일람표!$A:$M,9,FALSE),"")</f>
        <v>0</v>
      </c>
      <c r="U6" s="237">
        <f>IFERROR(VLOOKUP($A6,보수일람표!$A:$M,10,FALSE),"")</f>
        <v>0</v>
      </c>
      <c r="V6" s="237">
        <f>IFERROR(VLOOKUP($A6,보수일람표!$A:$M,11,FALSE),"")</f>
        <v>0</v>
      </c>
      <c r="W6" s="237">
        <f>IFERROR(VLOOKUP($A6,보수일람표!$A:$M,12,FALSE),"")</f>
        <v>0</v>
      </c>
      <c r="X6" s="237">
        <f>IFERROR(VLOOKUP($A6,보수일람표!$A:$M,13,FALSE),"")</f>
        <v>0</v>
      </c>
    </row>
    <row r="7" spans="1:24" ht="22.5">
      <c r="A7" s="225">
        <v>5</v>
      </c>
      <c r="B7" s="233" t="str">
        <f>IFERROR(IF(F7="06",데이터입력!$AB$8,IF(F7="07",데이터입력!$AD$8,IF(F7="05",데이터입력!$AF$8,데이터입력!$AB$8))),데이터입력!$AB$8)</f>
        <v>00</v>
      </c>
      <c r="C7" s="684" t="str">
        <f>데이터입력!$AC$9</f>
        <v>일반사업[일반]</v>
      </c>
      <c r="D7" s="238">
        <f>IFERROR(VLOOKUP($A7,데이터입력!$A:$H,4,FALSE),"")</f>
        <v>406010201</v>
      </c>
      <c r="E7" s="238" t="str">
        <f>IFERROR(VLOOKUP($A7,데이터입력!$A:$H,2,FALSE),"")</f>
        <v>가산금수입(인건비비율 반영)</v>
      </c>
      <c r="F7" s="238" t="str">
        <f>IFERROR(VLOOKUP($A7,데이터입력!$A:$H,5,FALSE),"")</f>
        <v>06</v>
      </c>
      <c r="G7" s="238" t="str">
        <f>IFERROR(VLOOKUP($A7,데이터입력!$A:$H,6,FALSE),"")</f>
        <v>수익사업</v>
      </c>
      <c r="H7" s="239">
        <f>IFERROR(VLOOKUP($A7,데이터입력!$A:$L,8,FALSE)+VLOOKUP($A7,데이터입력!$A:$L,9,FALSE)+VLOOKUP($A7,데이터입력!$A:$L,10,FALSE),"")</f>
        <v>72000000</v>
      </c>
      <c r="I7" s="234" t="s">
        <v>136</v>
      </c>
      <c r="J7" s="234" t="s">
        <v>136</v>
      </c>
      <c r="K7" s="234" t="s">
        <v>136</v>
      </c>
      <c r="M7" s="235" t="str">
        <f>데이터입력!$AB$8</f>
        <v>00</v>
      </c>
      <c r="N7" s="238" t="str">
        <f>데이터입력!$AC$9</f>
        <v>일반사업[일반]</v>
      </c>
      <c r="O7" s="236" t="str">
        <f>IFERROR(VLOOKUP($A7,보수일람표!$A:$M,4,FALSE),"")</f>
        <v/>
      </c>
      <c r="P7" s="236" t="str">
        <f>IFERROR(VLOOKUP($A7,보수일람표!$A:$M,5,FALSE),"")</f>
        <v/>
      </c>
      <c r="Q7" s="923" t="str">
        <f>IFERROR(VLOOKUP($A7,보수일람표!$A:$M,6,FALSE),"")</f>
        <v/>
      </c>
      <c r="R7" s="236" t="str">
        <f>IFERROR(VLOOKUP($A7,보수일람표!$A:$M,7,FALSE),"")</f>
        <v>간접</v>
      </c>
      <c r="S7" s="236"/>
      <c r="T7" s="237">
        <f>IFERROR(VLOOKUP($A7,보수일람표!$A:$M,9,FALSE),"")</f>
        <v>0</v>
      </c>
      <c r="U7" s="237">
        <f>IFERROR(VLOOKUP($A7,보수일람표!$A:$M,10,FALSE),"")</f>
        <v>0</v>
      </c>
      <c r="V7" s="237">
        <f>IFERROR(VLOOKUP($A7,보수일람표!$A:$M,11,FALSE),"")</f>
        <v>0</v>
      </c>
      <c r="W7" s="237">
        <f>IFERROR(VLOOKUP($A7,보수일람표!$A:$M,12,FALSE),"")</f>
        <v>0</v>
      </c>
      <c r="X7" s="237">
        <f>IFERROR(VLOOKUP($A7,보수일람표!$A:$M,13,FALSE),"")</f>
        <v>0</v>
      </c>
    </row>
    <row r="8" spans="1:24">
      <c r="A8" s="225">
        <v>6</v>
      </c>
      <c r="B8" s="233" t="str">
        <f>IFERROR(IF(F8="06",데이터입력!$AB$8,IF(F8="07",데이터입력!$AD$8,IF(F8="05",데이터입력!$AF$8,데이터입력!$AB$8))),데이터입력!$AB$8)</f>
        <v>00</v>
      </c>
      <c r="C8" s="684" t="str">
        <f>데이터입력!$AC$9</f>
        <v>일반사업[일반]</v>
      </c>
      <c r="D8" s="238">
        <f>IFERROR(VLOOKUP($A8,데이터입력!$A:$H,4,FALSE),"")</f>
        <v>409010101</v>
      </c>
      <c r="E8" s="238" t="str">
        <f>IFERROR(VLOOKUP($A8,데이터입력!$A:$H,2,FALSE),"")</f>
        <v>전년도이월금</v>
      </c>
      <c r="F8" s="238" t="str">
        <f>IFERROR(VLOOKUP($A8,데이터입력!$A:$H,5,FALSE),"")</f>
        <v>06</v>
      </c>
      <c r="G8" s="238" t="str">
        <f>IFERROR(VLOOKUP($A8,데이터입력!$A:$H,6,FALSE),"")</f>
        <v>수익사업</v>
      </c>
      <c r="H8" s="239">
        <f>IFERROR(VLOOKUP($A8,데이터입력!$A:$L,8,FALSE)+VLOOKUP($A8,데이터입력!$A:$L,9,FALSE)+VLOOKUP($A8,데이터입력!$A:$L,10,FALSE),"")</f>
        <v>24777480</v>
      </c>
      <c r="I8" s="240" t="s">
        <v>136</v>
      </c>
      <c r="J8" s="240" t="s">
        <v>136</v>
      </c>
      <c r="K8" s="240" t="s">
        <v>136</v>
      </c>
      <c r="M8" s="235" t="str">
        <f>데이터입력!$AB$8</f>
        <v>00</v>
      </c>
      <c r="N8" s="238" t="str">
        <f>데이터입력!$AC$9</f>
        <v>일반사업[일반]</v>
      </c>
      <c r="O8" s="236" t="str">
        <f>IFERROR(VLOOKUP($A8,보수일람표!$A:$M,4,FALSE),"")</f>
        <v/>
      </c>
      <c r="P8" s="236" t="str">
        <f>IFERROR(VLOOKUP($A8,보수일람표!$A:$M,5,FALSE),"")</f>
        <v/>
      </c>
      <c r="Q8" s="923" t="str">
        <f>IFERROR(VLOOKUP($A8,보수일람표!$A:$M,6,FALSE),"")</f>
        <v/>
      </c>
      <c r="R8" s="236" t="str">
        <f>IFERROR(VLOOKUP($A8,보수일람표!$A:$M,7,FALSE),"")</f>
        <v>간접</v>
      </c>
      <c r="S8" s="236"/>
      <c r="T8" s="237">
        <f>IFERROR(VLOOKUP($A8,보수일람표!$A:$M,9,FALSE),"")</f>
        <v>0</v>
      </c>
      <c r="U8" s="237">
        <f>IFERROR(VLOOKUP($A8,보수일람표!$A:$M,10,FALSE),"")</f>
        <v>0</v>
      </c>
      <c r="V8" s="237">
        <f>IFERROR(VLOOKUP($A8,보수일람표!$A:$M,11,FALSE),"")</f>
        <v>0</v>
      </c>
      <c r="W8" s="237">
        <f>IFERROR(VLOOKUP($A8,보수일람표!$A:$M,12,FALSE),"")</f>
        <v>0</v>
      </c>
      <c r="X8" s="237">
        <f>IFERROR(VLOOKUP($A8,보수일람표!$A:$M,13,FALSE),"")</f>
        <v>0</v>
      </c>
    </row>
    <row r="9" spans="1:24">
      <c r="A9" s="225">
        <v>7</v>
      </c>
      <c r="B9" s="233" t="str">
        <f>IFERROR(IF(F9="06",데이터입력!$AB$8,IF(F9="07",데이터입력!$AD$8,IF(F9="05",데이터입력!$AF$8,데이터입력!$AB$8))),데이터입력!$AB$8)</f>
        <v>00</v>
      </c>
      <c r="C9" s="684" t="str">
        <f>데이터입력!$AC$9</f>
        <v>일반사업[일반]</v>
      </c>
      <c r="D9" s="238">
        <f>IFERROR(VLOOKUP($A9,데이터입력!$A:$H,4,FALSE),"")</f>
        <v>410010201</v>
      </c>
      <c r="E9" s="238" t="str">
        <f>IFERROR(VLOOKUP($A9,데이터입력!$A:$H,2,FALSE),"")</f>
        <v>기타예금이자수입</v>
      </c>
      <c r="F9" s="238" t="str">
        <f>IFERROR(VLOOKUP($A9,데이터입력!$A:$H,5,FALSE),"")</f>
        <v>06</v>
      </c>
      <c r="G9" s="238" t="str">
        <f>IFERROR(VLOOKUP($A9,데이터입력!$A:$H,6,FALSE),"")</f>
        <v>수익사업</v>
      </c>
      <c r="H9" s="239">
        <f>IFERROR(VLOOKUP($A9,데이터입력!$A:$L,8,FALSE)+VLOOKUP($A9,데이터입력!$A:$L,9,FALSE)+VLOOKUP($A9,데이터입력!$A:$L,10,FALSE),"")</f>
        <v>20000</v>
      </c>
      <c r="I9" s="234" t="s">
        <v>136</v>
      </c>
      <c r="J9" s="234" t="s">
        <v>136</v>
      </c>
      <c r="K9" s="234" t="s">
        <v>136</v>
      </c>
      <c r="M9" s="235" t="str">
        <f>데이터입력!$AB$8</f>
        <v>00</v>
      </c>
      <c r="N9" s="238" t="str">
        <f>데이터입력!$AC$9</f>
        <v>일반사업[일반]</v>
      </c>
      <c r="O9" s="236" t="str">
        <f>IFERROR(VLOOKUP($A9,보수일람표!$A:$M,4,FALSE),"")</f>
        <v/>
      </c>
      <c r="P9" s="236" t="str">
        <f>IFERROR(VLOOKUP($A9,보수일람표!$A:$M,5,FALSE),"")</f>
        <v/>
      </c>
      <c r="Q9" s="923" t="str">
        <f>IFERROR(VLOOKUP($A9,보수일람표!$A:$M,6,FALSE),"")</f>
        <v/>
      </c>
      <c r="R9" s="236" t="str">
        <f>IFERROR(VLOOKUP($A9,보수일람표!$A:$M,7,FALSE),"")</f>
        <v>간접</v>
      </c>
      <c r="S9" s="236"/>
      <c r="T9" s="237">
        <f>IFERROR(VLOOKUP($A9,보수일람표!$A:$M,9,FALSE),"")</f>
        <v>0</v>
      </c>
      <c r="U9" s="237">
        <f>IFERROR(VLOOKUP($A9,보수일람표!$A:$M,10,FALSE),"")</f>
        <v>0</v>
      </c>
      <c r="V9" s="237">
        <f>IFERROR(VLOOKUP($A9,보수일람표!$A:$M,11,FALSE),"")</f>
        <v>0</v>
      </c>
      <c r="W9" s="237">
        <f>IFERROR(VLOOKUP($A9,보수일람표!$A:$M,12,FALSE),"")</f>
        <v>0</v>
      </c>
      <c r="X9" s="237">
        <f>IFERROR(VLOOKUP($A9,보수일람표!$A:$M,13,FALSE),"")</f>
        <v>0</v>
      </c>
    </row>
    <row r="10" spans="1:24">
      <c r="A10" s="225">
        <v>8</v>
      </c>
      <c r="B10" s="233" t="str">
        <f>IFERROR(IF(F10="06",데이터입력!$AB$8,IF(F10="07",데이터입력!$AD$8,IF(F10="05",데이터입력!$AF$8,데이터입력!$AB$8))),데이터입력!$AB$8)</f>
        <v>00</v>
      </c>
      <c r="C10" s="684" t="str">
        <f>데이터입력!$AC$9</f>
        <v>일반사업[일반]</v>
      </c>
      <c r="D10" s="238">
        <f>IFERROR(VLOOKUP($A10,데이터입력!$A:$H,4,FALSE),"")</f>
        <v>410010401</v>
      </c>
      <c r="E10" s="238" t="str">
        <f>IFERROR(VLOOKUP($A10,데이터입력!$A:$H,2,FALSE),"")</f>
        <v>기타잡수입</v>
      </c>
      <c r="F10" s="238" t="str">
        <f>IFERROR(VLOOKUP($A10,데이터입력!$A:$H,5,FALSE),"")</f>
        <v>06</v>
      </c>
      <c r="G10" s="238" t="str">
        <f>IFERROR(VLOOKUP($A10,데이터입력!$A:$H,6,FALSE),"")</f>
        <v>수익사업</v>
      </c>
      <c r="H10" s="239">
        <f>IFERROR(VLOOKUP($A10,데이터입력!$A:$L,8,FALSE)+VLOOKUP($A10,데이터입력!$A:$L,9,FALSE)+VLOOKUP($A10,데이터입력!$A:$L,10,FALSE),"")</f>
        <v>9600000</v>
      </c>
      <c r="I10" s="240" t="s">
        <v>136</v>
      </c>
      <c r="J10" s="240" t="s">
        <v>136</v>
      </c>
      <c r="K10" s="240" t="s">
        <v>136</v>
      </c>
      <c r="M10" s="235" t="str">
        <f>데이터입력!$AB$8</f>
        <v>00</v>
      </c>
      <c r="N10" s="238" t="str">
        <f>데이터입력!$AC$9</f>
        <v>일반사업[일반]</v>
      </c>
      <c r="O10" s="236" t="str">
        <f>IFERROR(VLOOKUP($A10,보수일람표!$A:$M,4,FALSE),"")</f>
        <v/>
      </c>
      <c r="P10" s="236" t="str">
        <f>IFERROR(VLOOKUP($A10,보수일람표!$A:$M,5,FALSE),"")</f>
        <v/>
      </c>
      <c r="Q10" s="923" t="str">
        <f>IFERROR(VLOOKUP($A10,보수일람표!$A:$M,6,FALSE),"")</f>
        <v/>
      </c>
      <c r="R10" s="236" t="str">
        <f>IFERROR(VLOOKUP($A10,보수일람표!$A:$M,7,FALSE),"")</f>
        <v>간접</v>
      </c>
      <c r="S10" s="236"/>
      <c r="T10" s="237">
        <f>IFERROR(VLOOKUP($A10,보수일람표!$A:$M,9,FALSE),"")</f>
        <v>0</v>
      </c>
      <c r="U10" s="237">
        <f>IFERROR(VLOOKUP($A10,보수일람표!$A:$M,10,FALSE),"")</f>
        <v>0</v>
      </c>
      <c r="V10" s="237">
        <f>IFERROR(VLOOKUP($A10,보수일람표!$A:$M,11,FALSE),"")</f>
        <v>0</v>
      </c>
      <c r="W10" s="237">
        <f>IFERROR(VLOOKUP($A10,보수일람표!$A:$M,12,FALSE),"")</f>
        <v>0</v>
      </c>
      <c r="X10" s="237">
        <f>IFERROR(VLOOKUP($A10,보수일람표!$A:$M,13,FALSE),"")</f>
        <v>0</v>
      </c>
    </row>
    <row r="11" spans="1:24">
      <c r="A11" s="225">
        <v>9</v>
      </c>
      <c r="B11" s="233" t="str">
        <f>IFERROR(IF(F11="06",데이터입력!$AB$8,IF(F11="07",데이터입력!$AD$8,IF(F11="05",데이터입력!$AF$8,데이터입력!$AB$8))),데이터입력!$AB$8)</f>
        <v>00</v>
      </c>
      <c r="C11" s="684" t="str">
        <f>데이터입력!$AC$9</f>
        <v>일반사업[일반]</v>
      </c>
      <c r="D11" s="238">
        <f>IFERROR(VLOOKUP($A11,데이터입력!$A:$H,4,FALSE),"")</f>
        <v>501010101</v>
      </c>
      <c r="E11" s="238" t="str">
        <f>IFERROR(VLOOKUP($A11,데이터입력!$A:$H,2,FALSE),"")</f>
        <v>급여(직접비)</v>
      </c>
      <c r="F11" s="238" t="str">
        <f>IFERROR(VLOOKUP($A11,데이터입력!$A:$H,5,FALSE),"")</f>
        <v>06</v>
      </c>
      <c r="G11" s="238" t="str">
        <f>IFERROR(VLOOKUP($A11,데이터입력!$A:$H,6,FALSE),"")</f>
        <v>수익사업</v>
      </c>
      <c r="H11" s="239">
        <f>IFERROR(VLOOKUP($A11,데이터입력!$A:$L,8,FALSE)+VLOOKUP($A11,데이터입력!$A:$L,9,FALSE)+VLOOKUP($A11,데이터입력!$A:$L,10,FALSE),"")</f>
        <v>126936000</v>
      </c>
      <c r="I11" s="234" t="s">
        <v>136</v>
      </c>
      <c r="J11" s="234" t="s">
        <v>136</v>
      </c>
      <c r="K11" s="234" t="s">
        <v>136</v>
      </c>
      <c r="M11" s="235" t="str">
        <f>데이터입력!$AB$8</f>
        <v>00</v>
      </c>
      <c r="N11" s="238" t="str">
        <f>데이터입력!$AC$9</f>
        <v>일반사업[일반]</v>
      </c>
      <c r="O11" s="236" t="str">
        <f>IFERROR(VLOOKUP($A11,보수일람표!$A:$M,4,FALSE),"")</f>
        <v/>
      </c>
      <c r="P11" s="236" t="str">
        <f>IFERROR(VLOOKUP($A11,보수일람표!$A:$M,5,FALSE),"")</f>
        <v/>
      </c>
      <c r="Q11" s="923" t="str">
        <f>IFERROR(VLOOKUP($A11,보수일람표!$A:$M,6,FALSE),"")</f>
        <v/>
      </c>
      <c r="R11" s="236" t="str">
        <f>IFERROR(VLOOKUP($A11,보수일람표!$A:$M,7,FALSE),"")</f>
        <v>간접</v>
      </c>
      <c r="S11" s="236"/>
      <c r="T11" s="237">
        <f>IFERROR(VLOOKUP($A11,보수일람표!$A:$M,9,FALSE),"")</f>
        <v>0</v>
      </c>
      <c r="U11" s="237">
        <f>IFERROR(VLOOKUP($A11,보수일람표!$A:$M,10,FALSE),"")</f>
        <v>0</v>
      </c>
      <c r="V11" s="237">
        <f>IFERROR(VLOOKUP($A11,보수일람표!$A:$M,11,FALSE),"")</f>
        <v>0</v>
      </c>
      <c r="W11" s="237">
        <f>IFERROR(VLOOKUP($A11,보수일람표!$A:$M,12,FALSE),"")</f>
        <v>0</v>
      </c>
      <c r="X11" s="237">
        <f>IFERROR(VLOOKUP($A11,보수일람표!$A:$M,13,FALSE),"")</f>
        <v>0</v>
      </c>
    </row>
    <row r="12" spans="1:24">
      <c r="A12" s="225">
        <v>10</v>
      </c>
      <c r="B12" s="233" t="str">
        <f>IFERROR(IF(F12="06",데이터입력!$AB$8,IF(F12="07",데이터입력!$AD$8,IF(F12="05",데이터입력!$AF$8,데이터입력!$AB$8))),데이터입력!$AB$8)</f>
        <v>00</v>
      </c>
      <c r="C12" s="684" t="str">
        <f>데이터입력!$AC$9</f>
        <v>일반사업[일반]</v>
      </c>
      <c r="D12" s="238">
        <f>IFERROR(VLOOKUP($A12,데이터입력!$A:$H,4,FALSE),"")</f>
        <v>501010102</v>
      </c>
      <c r="E12" s="238" t="str">
        <f>IFERROR(VLOOKUP($A12,데이터입력!$A:$H,2,FALSE),"")</f>
        <v>급여(간접비)</v>
      </c>
      <c r="F12" s="238" t="str">
        <f>IFERROR(VLOOKUP($A12,데이터입력!$A:$H,5,FALSE),"")</f>
        <v>06</v>
      </c>
      <c r="G12" s="238" t="str">
        <f>IFERROR(VLOOKUP($A12,데이터입력!$A:$H,6,FALSE),"")</f>
        <v>수익사업</v>
      </c>
      <c r="H12" s="239">
        <f>IFERROR(VLOOKUP($A12,데이터입력!$A:$L,8,FALSE)+VLOOKUP($A12,데이터입력!$A:$L,9,FALSE)+VLOOKUP($A12,데이터입력!$A:$L,10,FALSE),"")</f>
        <v>55434480</v>
      </c>
      <c r="I12" s="240" t="s">
        <v>136</v>
      </c>
      <c r="J12" s="240" t="s">
        <v>136</v>
      </c>
      <c r="K12" s="240" t="s">
        <v>136</v>
      </c>
      <c r="M12" s="235" t="str">
        <f>데이터입력!$AB$8</f>
        <v>00</v>
      </c>
      <c r="N12" s="238" t="str">
        <f>데이터입력!$AC$9</f>
        <v>일반사업[일반]</v>
      </c>
      <c r="O12" s="236" t="str">
        <f>IFERROR(VLOOKUP($A12,보수일람표!$A:$M,4,FALSE),"")</f>
        <v/>
      </c>
      <c r="P12" s="236" t="str">
        <f>IFERROR(VLOOKUP($A12,보수일람표!$A:$M,5,FALSE),"")</f>
        <v/>
      </c>
      <c r="Q12" s="923" t="str">
        <f>IFERROR(VLOOKUP($A12,보수일람표!$A:$M,6,FALSE),"")</f>
        <v/>
      </c>
      <c r="R12" s="236" t="str">
        <f>IFERROR(VLOOKUP($A12,보수일람표!$A:$M,7,FALSE),"")</f>
        <v>간접</v>
      </c>
      <c r="S12" s="236"/>
      <c r="T12" s="237">
        <f>IFERROR(VLOOKUP($A12,보수일람표!$A:$M,9,FALSE),"")</f>
        <v>0</v>
      </c>
      <c r="U12" s="237">
        <f>IFERROR(VLOOKUP($A12,보수일람표!$A:$M,10,FALSE),"")</f>
        <v>0</v>
      </c>
      <c r="V12" s="237">
        <f>IFERROR(VLOOKUP($A12,보수일람표!$A:$M,11,FALSE),"")</f>
        <v>0</v>
      </c>
      <c r="W12" s="237">
        <f>IFERROR(VLOOKUP($A12,보수일람표!$A:$M,12,FALSE),"")</f>
        <v>0</v>
      </c>
      <c r="X12" s="237">
        <f>IFERROR(VLOOKUP($A12,보수일람표!$A:$M,13,FALSE),"")</f>
        <v>0</v>
      </c>
    </row>
    <row r="13" spans="1:24" ht="22.5">
      <c r="A13" s="225">
        <v>11</v>
      </c>
      <c r="B13" s="233" t="str">
        <f>IFERROR(IF(F13="06",데이터입력!$AB$8,IF(F13="07",데이터입력!$AD$8,IF(F13="05",데이터입력!$AF$8,데이터입력!$AB$8))),데이터입력!$AB$8)</f>
        <v>00</v>
      </c>
      <c r="C13" s="684" t="str">
        <f>데이터입력!$AC$9</f>
        <v>일반사업[일반]</v>
      </c>
      <c r="D13" s="238">
        <f>IFERROR(VLOOKUP($A13,데이터입력!$A:$H,4,FALSE),"")</f>
        <v>501010501</v>
      </c>
      <c r="E13" s="238" t="str">
        <f>IFERROR(VLOOKUP($A13,데이터입력!$A:$H,2,FALSE),"")</f>
        <v>퇴직금 및 퇴직적립금(직접비)</v>
      </c>
      <c r="F13" s="238" t="str">
        <f>IFERROR(VLOOKUP($A13,데이터입력!$A:$H,5,FALSE),"")</f>
        <v>06</v>
      </c>
      <c r="G13" s="238" t="str">
        <f>IFERROR(VLOOKUP($A13,데이터입력!$A:$H,6,FALSE),"")</f>
        <v>수익사업</v>
      </c>
      <c r="H13" s="239">
        <f>IFERROR(VLOOKUP($A13,데이터입력!$A:$L,8,FALSE)+VLOOKUP($A13,데이터입력!$A:$L,9,FALSE)+VLOOKUP($A13,데이터입력!$A:$L,10,FALSE),"")</f>
        <v>10578012</v>
      </c>
      <c r="I13" s="234" t="s">
        <v>136</v>
      </c>
      <c r="J13" s="234" t="s">
        <v>136</v>
      </c>
      <c r="K13" s="234" t="s">
        <v>136</v>
      </c>
      <c r="M13" s="235" t="str">
        <f>데이터입력!$AB$8</f>
        <v>00</v>
      </c>
      <c r="N13" s="238" t="str">
        <f>데이터입력!$AC$9</f>
        <v>일반사업[일반]</v>
      </c>
      <c r="O13" s="236" t="str">
        <f>IFERROR(VLOOKUP($A13,보수일람표!$A:$M,4,FALSE),"")</f>
        <v/>
      </c>
      <c r="P13" s="236" t="str">
        <f>IFERROR(VLOOKUP($A13,보수일람표!$A:$M,5,FALSE),"")</f>
        <v/>
      </c>
      <c r="Q13" s="923" t="str">
        <f>IFERROR(VLOOKUP($A13,보수일람표!$A:$M,6,FALSE),"")</f>
        <v/>
      </c>
      <c r="R13" s="236" t="str">
        <f>IFERROR(VLOOKUP($A13,보수일람표!$A:$M,7,FALSE),"")</f>
        <v>간접</v>
      </c>
      <c r="S13" s="236"/>
      <c r="T13" s="237">
        <f>IFERROR(VLOOKUP($A13,보수일람표!$A:$M,9,FALSE),"")</f>
        <v>0</v>
      </c>
      <c r="U13" s="237">
        <f>IFERROR(VLOOKUP($A13,보수일람표!$A:$M,10,FALSE),"")</f>
        <v>0</v>
      </c>
      <c r="V13" s="237">
        <f>IFERROR(VLOOKUP($A13,보수일람표!$A:$M,11,FALSE),"")</f>
        <v>0</v>
      </c>
      <c r="W13" s="237">
        <f>IFERROR(VLOOKUP($A13,보수일람표!$A:$M,12,FALSE),"")</f>
        <v>0</v>
      </c>
      <c r="X13" s="237">
        <f>IFERROR(VLOOKUP($A13,보수일람표!$A:$M,13,FALSE),"")</f>
        <v>0</v>
      </c>
    </row>
    <row r="14" spans="1:24" ht="22.5">
      <c r="A14" s="225">
        <v>12</v>
      </c>
      <c r="B14" s="233" t="str">
        <f>IFERROR(IF(F14="06",데이터입력!$AB$8,IF(F14="07",데이터입력!$AD$8,IF(F14="05",데이터입력!$AF$8,데이터입력!$AB$8))),데이터입력!$AB$8)</f>
        <v>00</v>
      </c>
      <c r="C14" s="684" t="str">
        <f>데이터입력!$AC$9</f>
        <v>일반사업[일반]</v>
      </c>
      <c r="D14" s="238">
        <f>IFERROR(VLOOKUP($A14,데이터입력!$A:$H,4,FALSE),"")</f>
        <v>501010502</v>
      </c>
      <c r="E14" s="238" t="str">
        <f>IFERROR(VLOOKUP($A14,데이터입력!$A:$H,2,FALSE),"")</f>
        <v>퇴직금 및 퇴직적립금(간접비)</v>
      </c>
      <c r="F14" s="238" t="str">
        <f>IFERROR(VLOOKUP($A14,데이터입력!$A:$H,5,FALSE),"")</f>
        <v>06</v>
      </c>
      <c r="G14" s="238" t="str">
        <f>IFERROR(VLOOKUP($A14,데이터입력!$A:$H,6,FALSE),"")</f>
        <v>수익사업</v>
      </c>
      <c r="H14" s="239">
        <f>IFERROR(VLOOKUP($A14,데이터입력!$A:$L,8,FALSE)+VLOOKUP($A14,데이터입력!$A:$L,9,FALSE)+VLOOKUP($A14,데이터입력!$A:$L,10,FALSE),"")</f>
        <v>4800000</v>
      </c>
      <c r="I14" s="240" t="s">
        <v>136</v>
      </c>
      <c r="J14" s="240" t="s">
        <v>136</v>
      </c>
      <c r="K14" s="240" t="s">
        <v>136</v>
      </c>
      <c r="L14" s="241"/>
      <c r="M14" s="235" t="str">
        <f>데이터입력!$AB$8</f>
        <v>00</v>
      </c>
      <c r="N14" s="238" t="str">
        <f>데이터입력!$AC$9</f>
        <v>일반사업[일반]</v>
      </c>
      <c r="O14" s="236" t="str">
        <f>IFERROR(VLOOKUP($A14,보수일람표!$A:$M,4,FALSE),"")</f>
        <v/>
      </c>
      <c r="P14" s="236" t="str">
        <f>IFERROR(VLOOKUP($A14,보수일람표!$A:$M,5,FALSE),"")</f>
        <v/>
      </c>
      <c r="Q14" s="923" t="str">
        <f>IFERROR(VLOOKUP($A14,보수일람표!$A:$M,6,FALSE),"")</f>
        <v/>
      </c>
      <c r="R14" s="236" t="str">
        <f>IFERROR(VLOOKUP($A14,보수일람표!$A:$M,7,FALSE),"")</f>
        <v>간접</v>
      </c>
      <c r="S14" s="236"/>
      <c r="T14" s="237">
        <f>IFERROR(VLOOKUP($A14,보수일람표!$A:$M,9,FALSE),"")</f>
        <v>0</v>
      </c>
      <c r="U14" s="237">
        <f>IFERROR(VLOOKUP($A14,보수일람표!$A:$M,10,FALSE),"")</f>
        <v>0</v>
      </c>
      <c r="V14" s="237">
        <f>IFERROR(VLOOKUP($A14,보수일람표!$A:$M,11,FALSE),"")</f>
        <v>0</v>
      </c>
      <c r="W14" s="237">
        <f>IFERROR(VLOOKUP($A14,보수일람표!$A:$M,12,FALSE),"")</f>
        <v>0</v>
      </c>
      <c r="X14" s="237">
        <f>IFERROR(VLOOKUP($A14,보수일람표!$A:$M,13,FALSE),"")</f>
        <v>0</v>
      </c>
    </row>
    <row r="15" spans="1:24" ht="22.5">
      <c r="A15" s="225">
        <v>13</v>
      </c>
      <c r="B15" s="233" t="str">
        <f>IFERROR(IF(F15="06",데이터입력!$AB$8,IF(F15="07",데이터입력!$AD$8,IF(F15="05",데이터입력!$AF$8,데이터입력!$AB$8))),데이터입력!$AB$8)</f>
        <v>00</v>
      </c>
      <c r="C15" s="684" t="str">
        <f>데이터입력!$AC$9</f>
        <v>일반사업[일반]</v>
      </c>
      <c r="D15" s="238">
        <f>IFERROR(VLOOKUP($A15,데이터입력!$A:$H,4,FALSE),"")</f>
        <v>501010601</v>
      </c>
      <c r="E15" s="238" t="str">
        <f>IFERROR(VLOOKUP($A15,데이터입력!$A:$H,2,FALSE),"")</f>
        <v>사회보험부담금(직접비)</v>
      </c>
      <c r="F15" s="238" t="str">
        <f>IFERROR(VLOOKUP($A15,데이터입력!$A:$H,5,FALSE),"")</f>
        <v>06</v>
      </c>
      <c r="G15" s="238" t="str">
        <f>IFERROR(VLOOKUP($A15,데이터입력!$A:$H,6,FALSE),"")</f>
        <v>수익사업</v>
      </c>
      <c r="H15" s="239">
        <f>IFERROR(VLOOKUP($A15,데이터입력!$A:$L,8,FALSE)+VLOOKUP($A15,데이터입력!$A:$L,9,FALSE)+VLOOKUP($A15,데이터입력!$A:$L,10,FALSE),"")</f>
        <v>13276370</v>
      </c>
      <c r="I15" s="234" t="s">
        <v>136</v>
      </c>
      <c r="J15" s="234" t="s">
        <v>136</v>
      </c>
      <c r="K15" s="234" t="s">
        <v>136</v>
      </c>
      <c r="L15" s="241"/>
      <c r="M15" s="235" t="str">
        <f>데이터입력!$AB$8</f>
        <v>00</v>
      </c>
      <c r="N15" s="238" t="str">
        <f>데이터입력!$AC$9</f>
        <v>일반사업[일반]</v>
      </c>
      <c r="O15" s="236" t="str">
        <f>IFERROR(VLOOKUP($A15,보수일람표!$A:$M,4,FALSE),"")</f>
        <v/>
      </c>
      <c r="P15" s="236" t="str">
        <f>IFERROR(VLOOKUP($A15,보수일람표!$A:$M,5,FALSE),"")</f>
        <v/>
      </c>
      <c r="Q15" s="923" t="str">
        <f>IFERROR(VLOOKUP($A15,보수일람표!$A:$M,6,FALSE),"")</f>
        <v/>
      </c>
      <c r="R15" s="236" t="str">
        <f>IFERROR(VLOOKUP($A15,보수일람표!$A:$M,7,FALSE),"")</f>
        <v>간접</v>
      </c>
      <c r="S15" s="236"/>
      <c r="T15" s="237">
        <f>IFERROR(VLOOKUP($A15,보수일람표!$A:$M,9,FALSE),"")</f>
        <v>0</v>
      </c>
      <c r="U15" s="237">
        <f>IFERROR(VLOOKUP($A15,보수일람표!$A:$M,10,FALSE),"")</f>
        <v>0</v>
      </c>
      <c r="V15" s="237">
        <f>IFERROR(VLOOKUP($A15,보수일람표!$A:$M,11,FALSE),"")</f>
        <v>0</v>
      </c>
      <c r="W15" s="237">
        <f>IFERROR(VLOOKUP($A15,보수일람표!$A:$M,12,FALSE),"")</f>
        <v>0</v>
      </c>
      <c r="X15" s="237">
        <f>IFERROR(VLOOKUP($A15,보수일람표!$A:$M,13,FALSE),"")</f>
        <v>0</v>
      </c>
    </row>
    <row r="16" spans="1:24" ht="22.5">
      <c r="A16" s="225">
        <v>14</v>
      </c>
      <c r="B16" s="233" t="str">
        <f>IFERROR(IF(F16="06",데이터입력!$AB$8,IF(F16="07",데이터입력!$AD$8,IF(F16="05",데이터입력!$AF$8,데이터입력!$AB$8))),데이터입력!$AB$8)</f>
        <v>00</v>
      </c>
      <c r="C16" s="684" t="str">
        <f>데이터입력!$AC$9</f>
        <v>일반사업[일반]</v>
      </c>
      <c r="D16" s="238">
        <f>IFERROR(VLOOKUP($A16,데이터입력!$A:$H,4,FALSE),"")</f>
        <v>501010602</v>
      </c>
      <c r="E16" s="238" t="str">
        <f>IFERROR(VLOOKUP($A16,데이터입력!$A:$H,2,FALSE),"")</f>
        <v>사회보험부담금(간접비)</v>
      </c>
      <c r="F16" s="238" t="str">
        <f>IFERROR(VLOOKUP($A16,데이터입력!$A:$H,5,FALSE),"")</f>
        <v>06</v>
      </c>
      <c r="G16" s="238" t="str">
        <f>IFERROR(VLOOKUP($A16,데이터입력!$A:$H,6,FALSE),"")</f>
        <v>수익사업</v>
      </c>
      <c r="H16" s="239">
        <f>IFERROR(VLOOKUP($A16,데이터입력!$A:$L,8,FALSE)+VLOOKUP($A16,데이터입력!$A:$L,9,FALSE)+VLOOKUP($A16,데이터입력!$A:$L,10,FALSE),"")</f>
        <v>8434220</v>
      </c>
      <c r="I16" s="240" t="s">
        <v>136</v>
      </c>
      <c r="J16" s="240" t="s">
        <v>136</v>
      </c>
      <c r="K16" s="240" t="s">
        <v>136</v>
      </c>
      <c r="L16" s="241"/>
      <c r="M16" s="235" t="str">
        <f>데이터입력!$AB$8</f>
        <v>00</v>
      </c>
      <c r="N16" s="238" t="str">
        <f>데이터입력!$AC$9</f>
        <v>일반사업[일반]</v>
      </c>
      <c r="O16" s="236" t="str">
        <f>IFERROR(VLOOKUP($A16,보수일람표!$A:$M,4,FALSE),"")</f>
        <v/>
      </c>
      <c r="P16" s="236" t="str">
        <f>IFERROR(VLOOKUP($A16,보수일람표!$A:$M,5,FALSE),"")</f>
        <v/>
      </c>
      <c r="Q16" s="923" t="str">
        <f>IFERROR(VLOOKUP($A16,보수일람표!$A:$M,6,FALSE),"")</f>
        <v/>
      </c>
      <c r="R16" s="236" t="str">
        <f>IFERROR(VLOOKUP($A16,보수일람표!$A:$M,7,FALSE),"")</f>
        <v>간접</v>
      </c>
      <c r="S16" s="236"/>
      <c r="T16" s="237">
        <f>IFERROR(VLOOKUP($A16,보수일람표!$A:$M,9,FALSE),"")</f>
        <v>0</v>
      </c>
      <c r="U16" s="237">
        <f>IFERROR(VLOOKUP($A16,보수일람표!$A:$M,10,FALSE),"")</f>
        <v>0</v>
      </c>
      <c r="V16" s="237">
        <f>IFERROR(VLOOKUP($A16,보수일람표!$A:$M,11,FALSE),"")</f>
        <v>0</v>
      </c>
      <c r="W16" s="237">
        <f>IFERROR(VLOOKUP($A16,보수일람표!$A:$M,12,FALSE),"")</f>
        <v>0</v>
      </c>
      <c r="X16" s="237">
        <f>IFERROR(VLOOKUP($A16,보수일람표!$A:$M,13,FALSE),"")</f>
        <v>0</v>
      </c>
    </row>
    <row r="17" spans="1:24">
      <c r="A17" s="225">
        <v>15</v>
      </c>
      <c r="B17" s="233" t="str">
        <f>IFERROR(IF(F17="06",데이터입력!$AB$8,IF(F17="07",데이터입력!$AD$8,IF(F17="05",데이터입력!$AF$8,데이터입력!$AB$8))),데이터입력!$AB$8)</f>
        <v>00</v>
      </c>
      <c r="C17" s="684" t="str">
        <f>데이터입력!$AC$9</f>
        <v>일반사업[일반]</v>
      </c>
      <c r="D17" s="238">
        <f>IFERROR(VLOOKUP($A17,데이터입력!$A:$H,4,FALSE),"")</f>
        <v>501020101</v>
      </c>
      <c r="E17" s="238" t="str">
        <f>IFERROR(VLOOKUP($A17,데이터입력!$A:$H,2,FALSE),"")</f>
        <v>기관운영비</v>
      </c>
      <c r="F17" s="238" t="str">
        <f>IFERROR(VLOOKUP($A17,데이터입력!$A:$H,5,FALSE),"")</f>
        <v>06</v>
      </c>
      <c r="G17" s="238" t="str">
        <f>IFERROR(VLOOKUP($A17,데이터입력!$A:$H,6,FALSE),"")</f>
        <v>수익사업</v>
      </c>
      <c r="H17" s="239">
        <f>IFERROR(VLOOKUP($A17,데이터입력!$A:$L,8,FALSE)+VLOOKUP($A17,데이터입력!$A:$L,9,FALSE)+VLOOKUP($A17,데이터입력!$A:$L,10,FALSE),"")</f>
        <v>1800000</v>
      </c>
      <c r="I17" s="234" t="s">
        <v>136</v>
      </c>
      <c r="J17" s="234" t="s">
        <v>136</v>
      </c>
      <c r="K17" s="234" t="s">
        <v>136</v>
      </c>
      <c r="M17" s="235" t="str">
        <f>데이터입력!$AB$8</f>
        <v>00</v>
      </c>
      <c r="N17" s="238" t="str">
        <f>데이터입력!$AC$9</f>
        <v>일반사업[일반]</v>
      </c>
      <c r="O17" s="236" t="str">
        <f>IFERROR(VLOOKUP($A17,보수일람표!$A:$M,4,FALSE),"")</f>
        <v/>
      </c>
      <c r="P17" s="236" t="str">
        <f>IFERROR(VLOOKUP($A17,보수일람표!$A:$M,5,FALSE),"")</f>
        <v/>
      </c>
      <c r="Q17" s="923" t="str">
        <f>IFERROR(VLOOKUP($A17,보수일람표!$A:$M,6,FALSE),"")</f>
        <v/>
      </c>
      <c r="R17" s="236" t="str">
        <f>IFERROR(VLOOKUP($A17,보수일람표!$A:$M,7,FALSE),"")</f>
        <v>간접</v>
      </c>
      <c r="S17" s="236"/>
      <c r="T17" s="237">
        <f>IFERROR(VLOOKUP($A17,보수일람표!$A:$M,9,FALSE),"")</f>
        <v>0</v>
      </c>
      <c r="U17" s="237">
        <f>IFERROR(VLOOKUP($A17,보수일람표!$A:$M,10,FALSE),"")</f>
        <v>0</v>
      </c>
      <c r="V17" s="237">
        <f>IFERROR(VLOOKUP($A17,보수일람표!$A:$M,11,FALSE),"")</f>
        <v>0</v>
      </c>
      <c r="W17" s="237">
        <f>IFERROR(VLOOKUP($A17,보수일람표!$A:$M,12,FALSE),"")</f>
        <v>0</v>
      </c>
      <c r="X17" s="237">
        <f>IFERROR(VLOOKUP($A17,보수일람표!$A:$M,13,FALSE),"")</f>
        <v>0</v>
      </c>
    </row>
    <row r="18" spans="1:24">
      <c r="A18" s="225">
        <v>16</v>
      </c>
      <c r="B18" s="233" t="str">
        <f>IFERROR(IF(F18="06",데이터입력!$AB$8,IF(F18="07",데이터입력!$AD$8,IF(F18="05",데이터입력!$AF$8,데이터입력!$AB$8))),데이터입력!$AB$8)</f>
        <v>00</v>
      </c>
      <c r="C18" s="684" t="str">
        <f>데이터입력!$AC$9</f>
        <v>일반사업[일반]</v>
      </c>
      <c r="D18" s="238">
        <f>IFERROR(VLOOKUP($A18,데이터입력!$A:$H,4,FALSE),"")</f>
        <v>501020201</v>
      </c>
      <c r="E18" s="238" t="str">
        <f>IFERROR(VLOOKUP($A18,데이터입력!$A:$H,2,FALSE),"")</f>
        <v>직책보조비</v>
      </c>
      <c r="F18" s="238" t="str">
        <f>IFERROR(VLOOKUP($A18,데이터입력!$A:$H,5,FALSE),"")</f>
        <v>06</v>
      </c>
      <c r="G18" s="238" t="str">
        <f>IFERROR(VLOOKUP($A18,데이터입력!$A:$H,6,FALSE),"")</f>
        <v>수익사업</v>
      </c>
      <c r="H18" s="239">
        <f>IFERROR(VLOOKUP($A18,데이터입력!$A:$L,8,FALSE)+VLOOKUP($A18,데이터입력!$A:$L,9,FALSE)+VLOOKUP($A18,데이터입력!$A:$L,10,FALSE),"")</f>
        <v>9000000</v>
      </c>
      <c r="I18" s="240" t="s">
        <v>136</v>
      </c>
      <c r="J18" s="240" t="s">
        <v>136</v>
      </c>
      <c r="K18" s="240" t="s">
        <v>136</v>
      </c>
      <c r="M18" s="235" t="str">
        <f>데이터입력!$AB$8</f>
        <v>00</v>
      </c>
      <c r="N18" s="238" t="str">
        <f>데이터입력!$AC$9</f>
        <v>일반사업[일반]</v>
      </c>
      <c r="O18" s="236" t="str">
        <f>IFERROR(VLOOKUP($A18,보수일람표!$A:$M,4,FALSE),"")</f>
        <v/>
      </c>
      <c r="P18" s="236" t="str">
        <f>IFERROR(VLOOKUP($A18,보수일람표!$A:$M,5,FALSE),"")</f>
        <v/>
      </c>
      <c r="Q18" s="923" t="str">
        <f>IFERROR(VLOOKUP($A18,보수일람표!$A:$M,6,FALSE),"")</f>
        <v/>
      </c>
      <c r="R18" s="236" t="str">
        <f>IFERROR(VLOOKUP($A18,보수일람표!$A:$M,7,FALSE),"")</f>
        <v>간접</v>
      </c>
      <c r="S18" s="236"/>
      <c r="T18" s="237">
        <f>IFERROR(VLOOKUP($A18,보수일람표!$A:$M,9,FALSE),"")</f>
        <v>0</v>
      </c>
      <c r="U18" s="237">
        <f>IFERROR(VLOOKUP($A18,보수일람표!$A:$M,10,FALSE),"")</f>
        <v>0</v>
      </c>
      <c r="V18" s="237">
        <f>IFERROR(VLOOKUP($A18,보수일람표!$A:$M,11,FALSE),"")</f>
        <v>0</v>
      </c>
      <c r="W18" s="237">
        <f>IFERROR(VLOOKUP($A18,보수일람표!$A:$M,12,FALSE),"")</f>
        <v>0</v>
      </c>
      <c r="X18" s="237">
        <f>IFERROR(VLOOKUP($A18,보수일람표!$A:$M,13,FALSE),"")</f>
        <v>0</v>
      </c>
    </row>
    <row r="19" spans="1:24">
      <c r="A19" s="225">
        <v>17</v>
      </c>
      <c r="B19" s="233" t="str">
        <f>IFERROR(IF(F19="06",데이터입력!$AB$8,IF(F19="07",데이터입력!$AD$8,IF(F19="05",데이터입력!$AF$8,데이터입력!$AB$8))),데이터입력!$AB$8)</f>
        <v>00</v>
      </c>
      <c r="C19" s="684" t="str">
        <f>데이터입력!$AC$9</f>
        <v>일반사업[일반]</v>
      </c>
      <c r="D19" s="238">
        <f>IFERROR(VLOOKUP($A19,데이터입력!$A:$H,4,FALSE),"")</f>
        <v>501030201</v>
      </c>
      <c r="E19" s="238" t="str">
        <f>IFERROR(VLOOKUP($A19,데이터입력!$A:$H,2,FALSE),"")</f>
        <v>수용비 및 수수료</v>
      </c>
      <c r="F19" s="238" t="str">
        <f>IFERROR(VLOOKUP($A19,데이터입력!$A:$H,5,FALSE),"")</f>
        <v>06</v>
      </c>
      <c r="G19" s="238" t="str">
        <f>IFERROR(VLOOKUP($A19,데이터입력!$A:$H,6,FALSE),"")</f>
        <v>수익사업</v>
      </c>
      <c r="H19" s="239">
        <f>IFERROR(VLOOKUP($A19,데이터입력!$A:$L,8,FALSE)+VLOOKUP($A19,데이터입력!$A:$L,9,FALSE)+VLOOKUP($A19,데이터입력!$A:$L,10,FALSE),"")</f>
        <v>6600000</v>
      </c>
      <c r="I19" s="234" t="s">
        <v>136</v>
      </c>
      <c r="J19" s="234" t="s">
        <v>136</v>
      </c>
      <c r="K19" s="234" t="s">
        <v>136</v>
      </c>
      <c r="M19" s="235" t="str">
        <f>데이터입력!$AB$8</f>
        <v>00</v>
      </c>
      <c r="N19" s="238" t="str">
        <f>데이터입력!$AC$9</f>
        <v>일반사업[일반]</v>
      </c>
      <c r="O19" s="236" t="str">
        <f>IFERROR(VLOOKUP($A19,보수일람표!$A:$M,4,FALSE),"")</f>
        <v/>
      </c>
      <c r="P19" s="236" t="str">
        <f>IFERROR(VLOOKUP($A19,보수일람표!$A:$M,5,FALSE),"")</f>
        <v/>
      </c>
      <c r="Q19" s="923" t="str">
        <f>IFERROR(VLOOKUP($A19,보수일람표!$A:$M,6,FALSE),"")</f>
        <v/>
      </c>
      <c r="R19" s="236" t="str">
        <f>IFERROR(VLOOKUP($A19,보수일람표!$A:$M,7,FALSE),"")</f>
        <v>간접</v>
      </c>
      <c r="S19" s="236"/>
      <c r="T19" s="237">
        <f>IFERROR(VLOOKUP($A19,보수일람표!$A:$M,9,FALSE),"")</f>
        <v>0</v>
      </c>
      <c r="U19" s="237">
        <f>IFERROR(VLOOKUP($A19,보수일람표!$A:$M,10,FALSE),"")</f>
        <v>0</v>
      </c>
      <c r="V19" s="237">
        <f>IFERROR(VLOOKUP($A19,보수일람표!$A:$M,11,FALSE),"")</f>
        <v>0</v>
      </c>
      <c r="W19" s="237">
        <f>IFERROR(VLOOKUP($A19,보수일람표!$A:$M,12,FALSE),"")</f>
        <v>0</v>
      </c>
      <c r="X19" s="237">
        <f>IFERROR(VLOOKUP($A19,보수일람표!$A:$M,13,FALSE),"")</f>
        <v>0</v>
      </c>
    </row>
    <row r="20" spans="1:24" ht="22.5">
      <c r="A20" s="225">
        <v>18</v>
      </c>
      <c r="B20" s="233" t="str">
        <f>IFERROR(IF(F20="06",데이터입력!$AB$8,IF(F20="07",데이터입력!$AD$8,IF(F20="05",데이터입력!$AF$8,데이터입력!$AB$8))),데이터입력!$AB$8)</f>
        <v>00</v>
      </c>
      <c r="C20" s="684" t="str">
        <f>데이터입력!$AC$9</f>
        <v>일반사업[일반]</v>
      </c>
      <c r="D20" s="238">
        <f>IFERROR(VLOOKUP($A20,데이터입력!$A:$H,4,FALSE),"")</f>
        <v>501030301</v>
      </c>
      <c r="E20" s="238" t="str">
        <f>IFERROR(VLOOKUP($A20,데이터입력!$A:$H,2,FALSE),"")</f>
        <v>공공요금 및 각종 세금공과금</v>
      </c>
      <c r="F20" s="238" t="str">
        <f>IFERROR(VLOOKUP($A20,데이터입력!$A:$H,5,FALSE),"")</f>
        <v>06</v>
      </c>
      <c r="G20" s="238" t="str">
        <f>IFERROR(VLOOKUP($A20,데이터입력!$A:$H,6,FALSE),"")</f>
        <v>수익사업</v>
      </c>
      <c r="H20" s="239">
        <f>IFERROR(VLOOKUP($A20,데이터입력!$A:$L,8,FALSE)+VLOOKUP($A20,데이터입력!$A:$L,9,FALSE)+VLOOKUP($A20,데이터입력!$A:$L,10,FALSE),"")</f>
        <v>6840000</v>
      </c>
      <c r="I20" s="240" t="s">
        <v>136</v>
      </c>
      <c r="J20" s="240" t="s">
        <v>136</v>
      </c>
      <c r="K20" s="240" t="s">
        <v>136</v>
      </c>
      <c r="M20" s="235" t="str">
        <f>데이터입력!$AB$8</f>
        <v>00</v>
      </c>
      <c r="N20" s="238" t="str">
        <f>데이터입력!$AC$9</f>
        <v>일반사업[일반]</v>
      </c>
      <c r="O20" s="236" t="str">
        <f>IFERROR(VLOOKUP($A20,보수일람표!$A:$M,4,FALSE),"")</f>
        <v/>
      </c>
      <c r="P20" s="236" t="str">
        <f>IFERROR(VLOOKUP($A20,보수일람표!$A:$M,5,FALSE),"")</f>
        <v/>
      </c>
      <c r="Q20" s="923" t="str">
        <f>IFERROR(VLOOKUP($A20,보수일람표!$A:$M,6,FALSE),"")</f>
        <v/>
      </c>
      <c r="R20" s="236" t="str">
        <f>IFERROR(VLOOKUP($A20,보수일람표!$A:$M,7,FALSE),"")</f>
        <v>간접</v>
      </c>
      <c r="S20" s="236"/>
      <c r="T20" s="237">
        <f>IFERROR(VLOOKUP($A20,보수일람표!$A:$M,9,FALSE),"")</f>
        <v>0</v>
      </c>
      <c r="U20" s="237">
        <f>IFERROR(VLOOKUP($A20,보수일람표!$A:$M,10,FALSE),"")</f>
        <v>0</v>
      </c>
      <c r="V20" s="237">
        <f>IFERROR(VLOOKUP($A20,보수일람표!$A:$M,11,FALSE),"")</f>
        <v>0</v>
      </c>
      <c r="W20" s="237">
        <f>IFERROR(VLOOKUP($A20,보수일람표!$A:$M,12,FALSE),"")</f>
        <v>0</v>
      </c>
      <c r="X20" s="237">
        <f>IFERROR(VLOOKUP($A20,보수일람표!$A:$M,13,FALSE),"")</f>
        <v>0</v>
      </c>
    </row>
    <row r="21" spans="1:24">
      <c r="A21" s="225">
        <v>19</v>
      </c>
      <c r="B21" s="233" t="str">
        <f>IFERROR(IF(F21="06",데이터입력!$AB$8,IF(F21="07",데이터입력!$AD$8,IF(F21="05",데이터입력!$AF$8,데이터입력!$AB$8))),데이터입력!$AB$8)</f>
        <v>00</v>
      </c>
      <c r="C21" s="684" t="str">
        <f>데이터입력!$AC$9</f>
        <v>일반사업[일반]</v>
      </c>
      <c r="D21" s="238">
        <f>IFERROR(VLOOKUP($A21,데이터입력!$A:$H,4,FALSE),"")</f>
        <v>501030501</v>
      </c>
      <c r="E21" s="238" t="str">
        <f>IFERROR(VLOOKUP($A21,데이터입력!$A:$H,2,FALSE),"")</f>
        <v>차량비</v>
      </c>
      <c r="F21" s="238" t="str">
        <f>IFERROR(VLOOKUP($A21,데이터입력!$A:$H,5,FALSE),"")</f>
        <v>06</v>
      </c>
      <c r="G21" s="238" t="str">
        <f>IFERROR(VLOOKUP($A21,데이터입력!$A:$H,6,FALSE),"")</f>
        <v>수익사업</v>
      </c>
      <c r="H21" s="239">
        <f>IFERROR(VLOOKUP($A21,데이터입력!$A:$L,8,FALSE)+VLOOKUP($A21,데이터입력!$A:$L,9,FALSE)+VLOOKUP($A21,데이터입력!$A:$L,10,FALSE),"")</f>
        <v>7200000</v>
      </c>
      <c r="I21" s="234" t="s">
        <v>136</v>
      </c>
      <c r="J21" s="234" t="s">
        <v>136</v>
      </c>
      <c r="K21" s="234" t="s">
        <v>136</v>
      </c>
      <c r="M21" s="235" t="str">
        <f>데이터입력!$AB$8</f>
        <v>00</v>
      </c>
      <c r="N21" s="238" t="str">
        <f>데이터입력!$AC$9</f>
        <v>일반사업[일반]</v>
      </c>
      <c r="O21" s="236" t="str">
        <f>IFERROR(VLOOKUP($A21,보수일람표!$A:$M,4,FALSE),"")</f>
        <v/>
      </c>
      <c r="P21" s="236" t="str">
        <f>IFERROR(VLOOKUP($A21,보수일람표!$A:$M,5,FALSE),"")</f>
        <v/>
      </c>
      <c r="Q21" s="923" t="str">
        <f>IFERROR(VLOOKUP($A21,보수일람표!$A:$M,6,FALSE),"")</f>
        <v/>
      </c>
      <c r="R21" s="236" t="str">
        <f>IFERROR(VLOOKUP($A21,보수일람표!$A:$M,7,FALSE),"")</f>
        <v>간접</v>
      </c>
      <c r="S21" s="236"/>
      <c r="T21" s="237">
        <f>IFERROR(VLOOKUP($A21,보수일람표!$A:$M,9,FALSE),"")</f>
        <v>0</v>
      </c>
      <c r="U21" s="237">
        <f>IFERROR(VLOOKUP($A21,보수일람표!$A:$M,10,FALSE),"")</f>
        <v>0</v>
      </c>
      <c r="V21" s="237">
        <f>IFERROR(VLOOKUP($A21,보수일람표!$A:$M,11,FALSE),"")</f>
        <v>0</v>
      </c>
      <c r="W21" s="237">
        <f>IFERROR(VLOOKUP($A21,보수일람표!$A:$M,12,FALSE),"")</f>
        <v>0</v>
      </c>
      <c r="X21" s="237">
        <f>IFERROR(VLOOKUP($A21,보수일람표!$A:$M,13,FALSE),"")</f>
        <v>0</v>
      </c>
    </row>
    <row r="22" spans="1:24">
      <c r="A22" s="225">
        <v>20</v>
      </c>
      <c r="B22" s="233" t="str">
        <f>IFERROR(IF(F22="06",데이터입력!$AB$8,IF(F22="07",데이터입력!$AD$8,IF(F22="05",데이터입력!$AF$8,데이터입력!$AB$8))),데이터입력!$AB$8)</f>
        <v>00</v>
      </c>
      <c r="C22" s="684" t="str">
        <f>데이터입력!$AC$9</f>
        <v>일반사업[일반]</v>
      </c>
      <c r="D22" s="238">
        <f>IFERROR(VLOOKUP($A22,데이터입력!$A:$H,4,FALSE),"")</f>
        <v>501030601</v>
      </c>
      <c r="E22" s="238" t="str">
        <f>IFERROR(VLOOKUP($A22,데이터입력!$A:$H,2,FALSE),"")</f>
        <v>임차료</v>
      </c>
      <c r="F22" s="238" t="str">
        <f>IFERROR(VLOOKUP($A22,데이터입력!$A:$H,5,FALSE),"")</f>
        <v>06</v>
      </c>
      <c r="G22" s="238" t="str">
        <f>IFERROR(VLOOKUP($A22,데이터입력!$A:$H,6,FALSE),"")</f>
        <v>수익사업</v>
      </c>
      <c r="H22" s="239">
        <f>IFERROR(VLOOKUP($A22,데이터입력!$A:$L,8,FALSE)+VLOOKUP($A22,데이터입력!$A:$L,9,FALSE)+VLOOKUP($A22,데이터입력!$A:$L,10,FALSE),"")</f>
        <v>26400000</v>
      </c>
      <c r="I22" s="240" t="s">
        <v>136</v>
      </c>
      <c r="J22" s="240" t="s">
        <v>136</v>
      </c>
      <c r="K22" s="240" t="s">
        <v>136</v>
      </c>
      <c r="M22" s="235" t="str">
        <f>데이터입력!$AB$8</f>
        <v>00</v>
      </c>
      <c r="N22" s="238" t="str">
        <f>데이터입력!$AC$9</f>
        <v>일반사업[일반]</v>
      </c>
      <c r="O22" s="236" t="str">
        <f>IFERROR(VLOOKUP($A22,보수일람표!$A:$M,4,FALSE),"")</f>
        <v/>
      </c>
      <c r="P22" s="236" t="str">
        <f>IFERROR(VLOOKUP($A22,보수일람표!$A:$M,5,FALSE),"")</f>
        <v/>
      </c>
      <c r="Q22" s="923" t="str">
        <f>IFERROR(VLOOKUP($A22,보수일람표!$A:$M,6,FALSE),"")</f>
        <v/>
      </c>
      <c r="R22" s="236" t="str">
        <f>IFERROR(VLOOKUP($A22,보수일람표!$A:$M,7,FALSE),"")</f>
        <v>간접</v>
      </c>
      <c r="S22" s="236"/>
      <c r="T22" s="237">
        <f>IFERROR(VLOOKUP($A22,보수일람표!$A:$M,9,FALSE),"")</f>
        <v>0</v>
      </c>
      <c r="U22" s="237">
        <f>IFERROR(VLOOKUP($A22,보수일람표!$A:$M,10,FALSE),"")</f>
        <v>0</v>
      </c>
      <c r="V22" s="237">
        <f>IFERROR(VLOOKUP($A22,보수일람표!$A:$M,11,FALSE),"")</f>
        <v>0</v>
      </c>
      <c r="W22" s="237">
        <f>IFERROR(VLOOKUP($A22,보수일람표!$A:$M,12,FALSE),"")</f>
        <v>0</v>
      </c>
      <c r="X22" s="237">
        <f>IFERROR(VLOOKUP($A22,보수일람표!$A:$M,13,FALSE),"")</f>
        <v>0</v>
      </c>
    </row>
    <row r="23" spans="1:24">
      <c r="A23" s="225">
        <v>21</v>
      </c>
      <c r="B23" s="233" t="str">
        <f>IFERROR(IF(F23="06",데이터입력!$AB$8,IF(F23="07",데이터입력!$AD$8,IF(F23="05",데이터입력!$AF$8,데이터입력!$AB$8))),데이터입력!$AB$8)</f>
        <v>00</v>
      </c>
      <c r="C23" s="684" t="str">
        <f>데이터입력!$AC$9</f>
        <v>일반사업[일반]</v>
      </c>
      <c r="D23" s="238">
        <f>IFERROR(VLOOKUP($A23,데이터입력!$A:$H,4,FALSE),"")</f>
        <v>501030701</v>
      </c>
      <c r="E23" s="238" t="str">
        <f>IFERROR(VLOOKUP($A23,데이터입력!$A:$H,2,FALSE),"")</f>
        <v>기타운영비</v>
      </c>
      <c r="F23" s="238" t="str">
        <f>IFERROR(VLOOKUP($A23,데이터입력!$A:$H,5,FALSE),"")</f>
        <v>06</v>
      </c>
      <c r="G23" s="238" t="str">
        <f>IFERROR(VLOOKUP($A23,데이터입력!$A:$H,6,FALSE),"")</f>
        <v>수익사업</v>
      </c>
      <c r="H23" s="239">
        <f>IFERROR(VLOOKUP($A23,데이터입력!$A:$L,8,FALSE)+VLOOKUP($A23,데이터입력!$A:$L,9,FALSE)+VLOOKUP($A23,데이터입력!$A:$L,10,FALSE),"")</f>
        <v>5092000</v>
      </c>
      <c r="I23" s="234" t="s">
        <v>136</v>
      </c>
      <c r="J23" s="234" t="s">
        <v>136</v>
      </c>
      <c r="K23" s="234" t="s">
        <v>136</v>
      </c>
      <c r="M23" s="235" t="str">
        <f>데이터입력!$AB$8</f>
        <v>00</v>
      </c>
      <c r="N23" s="238" t="str">
        <f>데이터입력!$AC$9</f>
        <v>일반사업[일반]</v>
      </c>
      <c r="O23" s="236" t="str">
        <f>IFERROR(VLOOKUP($A23,보수일람표!$A:$M,4,FALSE),"")</f>
        <v/>
      </c>
      <c r="P23" s="236" t="str">
        <f>IFERROR(VLOOKUP($A23,보수일람표!$A:$M,5,FALSE),"")</f>
        <v/>
      </c>
      <c r="Q23" s="923" t="str">
        <f>IFERROR(VLOOKUP($A23,보수일람표!$A:$M,6,FALSE),"")</f>
        <v/>
      </c>
      <c r="R23" s="236" t="str">
        <f>IFERROR(VLOOKUP($A23,보수일람표!$A:$M,7,FALSE),"")</f>
        <v>간접</v>
      </c>
      <c r="S23" s="236"/>
      <c r="T23" s="237">
        <f>IFERROR(VLOOKUP($A23,보수일람표!$A:$M,9,FALSE),"")</f>
        <v>0</v>
      </c>
      <c r="U23" s="237">
        <f>IFERROR(VLOOKUP($A23,보수일람표!$A:$M,10,FALSE),"")</f>
        <v>0</v>
      </c>
      <c r="V23" s="237">
        <f>IFERROR(VLOOKUP($A23,보수일람표!$A:$M,11,FALSE),"")</f>
        <v>0</v>
      </c>
      <c r="W23" s="237">
        <f>IFERROR(VLOOKUP($A23,보수일람표!$A:$M,12,FALSE),"")</f>
        <v>0</v>
      </c>
      <c r="X23" s="237">
        <f>IFERROR(VLOOKUP($A23,보수일람표!$A:$M,13,FALSE),"")</f>
        <v>0</v>
      </c>
    </row>
    <row r="24" spans="1:24">
      <c r="A24" s="225">
        <v>22</v>
      </c>
      <c r="B24" s="233" t="str">
        <f>IFERROR(IF(F24="06",데이터입력!$AB$8,IF(F24="07",데이터입력!$AD$8,IF(F24="05",데이터입력!$AF$8,데이터입력!$AB$8))),데이터입력!$AB$8)</f>
        <v>00</v>
      </c>
      <c r="C24" s="684" t="str">
        <f>데이터입력!$AC$9</f>
        <v>일반사업[일반]</v>
      </c>
      <c r="D24" s="238">
        <f>IFERROR(VLOOKUP($A24,데이터입력!$A:$H,4,FALSE),"")</f>
        <v>502010201</v>
      </c>
      <c r="E24" s="238" t="str">
        <f>IFERROR(VLOOKUP($A24,데이터입력!$A:$H,2,FALSE),"")</f>
        <v>자산취득비</v>
      </c>
      <c r="F24" s="238" t="str">
        <f>IFERROR(VLOOKUP($A24,데이터입력!$A:$H,5,FALSE),"")</f>
        <v>06</v>
      </c>
      <c r="G24" s="238" t="str">
        <f>IFERROR(VLOOKUP($A24,데이터입력!$A:$H,6,FALSE),"")</f>
        <v>수익사업</v>
      </c>
      <c r="H24" s="239">
        <f>IFERROR(VLOOKUP($A24,데이터입력!$A:$L,8,FALSE)+VLOOKUP($A24,데이터입력!$A:$L,9,FALSE)+VLOOKUP($A24,데이터입력!$A:$L,10,FALSE),"")</f>
        <v>1200000</v>
      </c>
      <c r="I24" s="240" t="s">
        <v>136</v>
      </c>
      <c r="J24" s="240" t="s">
        <v>136</v>
      </c>
      <c r="K24" s="240" t="s">
        <v>136</v>
      </c>
      <c r="M24" s="235" t="str">
        <f>데이터입력!$AB$8</f>
        <v>00</v>
      </c>
      <c r="N24" s="238" t="str">
        <f>데이터입력!$AC$9</f>
        <v>일반사업[일반]</v>
      </c>
      <c r="O24" s="236" t="str">
        <f>IFERROR(VLOOKUP($A24,보수일람표!$A:$M,4,FALSE),"")</f>
        <v/>
      </c>
      <c r="P24" s="236" t="str">
        <f>IFERROR(VLOOKUP($A24,보수일람표!$A:$M,5,FALSE),"")</f>
        <v/>
      </c>
      <c r="Q24" s="923" t="str">
        <f>IFERROR(VLOOKUP($A24,보수일람표!$A:$M,6,FALSE),"")</f>
        <v/>
      </c>
      <c r="R24" s="236" t="str">
        <f>IFERROR(VLOOKUP($A24,보수일람표!$A:$M,7,FALSE),"")</f>
        <v>간접</v>
      </c>
      <c r="S24" s="236"/>
      <c r="T24" s="237">
        <f>IFERROR(VLOOKUP($A24,보수일람표!$A:$M,9,FALSE),"")</f>
        <v>0</v>
      </c>
      <c r="U24" s="237">
        <f>IFERROR(VLOOKUP($A24,보수일람표!$A:$M,10,FALSE),"")</f>
        <v>0</v>
      </c>
      <c r="V24" s="237">
        <f>IFERROR(VLOOKUP($A24,보수일람표!$A:$M,11,FALSE),"")</f>
        <v>0</v>
      </c>
      <c r="W24" s="237">
        <f>IFERROR(VLOOKUP($A24,보수일람표!$A:$M,12,FALSE),"")</f>
        <v>0</v>
      </c>
      <c r="X24" s="237">
        <f>IFERROR(VLOOKUP($A24,보수일람표!$A:$M,13,FALSE),"")</f>
        <v>0</v>
      </c>
    </row>
    <row r="25" spans="1:24">
      <c r="A25" s="225">
        <v>23</v>
      </c>
      <c r="B25" s="233" t="str">
        <f>IFERROR(IF(F25="06",데이터입력!$AB$8,IF(F25="07",데이터입력!$AD$8,IF(F25="05",데이터입력!$AF$8,데이터입력!$AB$8))),데이터입력!$AB$8)</f>
        <v>00</v>
      </c>
      <c r="C25" s="684" t="str">
        <f>데이터입력!$AC$9</f>
        <v>일반사업[일반]</v>
      </c>
      <c r="D25" s="238">
        <f>IFERROR(VLOOKUP($A25,데이터입력!$A:$H,4,FALSE),"")</f>
        <v>502010301</v>
      </c>
      <c r="E25" s="238" t="str">
        <f>IFERROR(VLOOKUP($A25,데이터입력!$A:$H,2,FALSE),"")</f>
        <v>시설장비유지비</v>
      </c>
      <c r="F25" s="238" t="str">
        <f>IFERROR(VLOOKUP($A25,데이터입력!$A:$H,5,FALSE),"")</f>
        <v>06</v>
      </c>
      <c r="G25" s="238" t="str">
        <f>IFERROR(VLOOKUP($A25,데이터입력!$A:$H,6,FALSE),"")</f>
        <v>수익사업</v>
      </c>
      <c r="H25" s="239">
        <f>IFERROR(VLOOKUP($A25,데이터입력!$A:$L,8,FALSE)+VLOOKUP($A25,데이터입력!$A:$L,9,FALSE)+VLOOKUP($A25,데이터입력!$A:$L,10,FALSE),"")</f>
        <v>2400000</v>
      </c>
      <c r="I25" s="234" t="s">
        <v>136</v>
      </c>
      <c r="J25" s="234" t="s">
        <v>136</v>
      </c>
      <c r="K25" s="234" t="s">
        <v>136</v>
      </c>
      <c r="M25" s="235" t="str">
        <f>데이터입력!$AB$8</f>
        <v>00</v>
      </c>
      <c r="N25" s="238" t="str">
        <f>데이터입력!$AC$9</f>
        <v>일반사업[일반]</v>
      </c>
      <c r="O25" s="236" t="str">
        <f>IFERROR(VLOOKUP($A25,보수일람표!$A:$M,4,FALSE),"")</f>
        <v/>
      </c>
      <c r="P25" s="236" t="str">
        <f>IFERROR(VLOOKUP($A25,보수일람표!$A:$M,5,FALSE),"")</f>
        <v/>
      </c>
      <c r="Q25" s="923" t="str">
        <f>IFERROR(VLOOKUP($A25,보수일람표!$A:$M,6,FALSE),"")</f>
        <v/>
      </c>
      <c r="R25" s="236" t="str">
        <f>IFERROR(VLOOKUP($A25,보수일람표!$A:$M,7,FALSE),"")</f>
        <v>간접</v>
      </c>
      <c r="S25" s="236"/>
      <c r="T25" s="237">
        <f>IFERROR(VLOOKUP($A25,보수일람표!$A:$M,9,FALSE),"")</f>
        <v>0</v>
      </c>
      <c r="U25" s="237">
        <f>IFERROR(VLOOKUP($A25,보수일람표!$A:$M,10,FALSE),"")</f>
        <v>0</v>
      </c>
      <c r="V25" s="237">
        <f>IFERROR(VLOOKUP($A25,보수일람표!$A:$M,11,FALSE),"")</f>
        <v>0</v>
      </c>
      <c r="W25" s="237">
        <f>IFERROR(VLOOKUP($A25,보수일람표!$A:$M,12,FALSE),"")</f>
        <v>0</v>
      </c>
      <c r="X25" s="237">
        <f>IFERROR(VLOOKUP($A25,보수일람표!$A:$M,13,FALSE),"")</f>
        <v>0</v>
      </c>
    </row>
    <row r="26" spans="1:24">
      <c r="A26" s="225">
        <v>24</v>
      </c>
      <c r="B26" s="233" t="str">
        <f>IFERROR(IF(F26="06",데이터입력!$AB$8,IF(F26="07",데이터입력!$AD$8,IF(F26="05",데이터입력!$AF$8,데이터입력!$AB$8))),데이터입력!$AB$8)</f>
        <v>00</v>
      </c>
      <c r="C26" s="684" t="str">
        <f>데이터입력!$AC$9</f>
        <v>일반사업[일반]</v>
      </c>
      <c r="D26" s="238">
        <f>IFERROR(VLOOKUP($A26,데이터입력!$A:$H,4,FALSE),"")</f>
        <v>503010101</v>
      </c>
      <c r="E26" s="238" t="str">
        <f>IFERROR(VLOOKUP($A26,데이터입력!$A:$H,2,FALSE),"")</f>
        <v>생계비</v>
      </c>
      <c r="F26" s="238" t="str">
        <f>IFERROR(VLOOKUP($A26,데이터입력!$A:$H,5,FALSE),"")</f>
        <v>06</v>
      </c>
      <c r="G26" s="238" t="str">
        <f>IFERROR(VLOOKUP($A26,데이터입력!$A:$H,6,FALSE),"")</f>
        <v>수익사업</v>
      </c>
      <c r="H26" s="239">
        <f>IFERROR(VLOOKUP($A26,데이터입력!$A:$L,8,FALSE)+VLOOKUP($A26,데이터입력!$A:$L,9,FALSE)+VLOOKUP($A26,데이터입력!$A:$L,10,FALSE),"")</f>
        <v>36414000</v>
      </c>
      <c r="I26" s="240" t="s">
        <v>136</v>
      </c>
      <c r="J26" s="240" t="s">
        <v>136</v>
      </c>
      <c r="K26" s="240" t="s">
        <v>136</v>
      </c>
      <c r="M26" s="235" t="str">
        <f>데이터입력!$AB$8</f>
        <v>00</v>
      </c>
      <c r="N26" s="238" t="str">
        <f>데이터입력!$AC$9</f>
        <v>일반사업[일반]</v>
      </c>
      <c r="O26" s="236" t="str">
        <f>IFERROR(VLOOKUP($A26,보수일람표!$A:$M,4,FALSE),"")</f>
        <v/>
      </c>
      <c r="P26" s="236" t="str">
        <f>IFERROR(VLOOKUP($A26,보수일람표!$A:$M,5,FALSE),"")</f>
        <v/>
      </c>
      <c r="Q26" s="923" t="str">
        <f>IFERROR(VLOOKUP($A26,보수일람표!$A:$M,6,FALSE),"")</f>
        <v/>
      </c>
      <c r="R26" s="236" t="str">
        <f>IFERROR(VLOOKUP($A26,보수일람표!$A:$M,7,FALSE),"")</f>
        <v>간접</v>
      </c>
      <c r="S26" s="236"/>
      <c r="T26" s="237">
        <f>IFERROR(VLOOKUP($A26,보수일람표!$A:$M,9,FALSE),"")</f>
        <v>0</v>
      </c>
      <c r="U26" s="237">
        <f>IFERROR(VLOOKUP($A26,보수일람표!$A:$M,10,FALSE),"")</f>
        <v>0</v>
      </c>
      <c r="V26" s="237">
        <f>IFERROR(VLOOKUP($A26,보수일람표!$A:$M,11,FALSE),"")</f>
        <v>0</v>
      </c>
      <c r="W26" s="237">
        <f>IFERROR(VLOOKUP($A26,보수일람표!$A:$M,12,FALSE),"")</f>
        <v>0</v>
      </c>
      <c r="X26" s="237">
        <f>IFERROR(VLOOKUP($A26,보수일람표!$A:$M,13,FALSE),"")</f>
        <v>0</v>
      </c>
    </row>
    <row r="27" spans="1:24">
      <c r="A27" s="225">
        <v>25</v>
      </c>
      <c r="B27" s="233" t="str">
        <f>IFERROR(IF(F27="06",데이터입력!$AB$8,IF(F27="07",데이터입력!$AD$8,IF(F27="05",데이터입력!$AF$8,데이터입력!$AB$8))),데이터입력!$AB$8)</f>
        <v>00</v>
      </c>
      <c r="C27" s="684" t="str">
        <f>데이터입력!$AC$9</f>
        <v>일반사업[일반]</v>
      </c>
      <c r="D27" s="238">
        <f>IFERROR(VLOOKUP($A27,데이터입력!$A:$H,4,FALSE),"")</f>
        <v>503010201</v>
      </c>
      <c r="E27" s="238" t="str">
        <f>IFERROR(VLOOKUP($A27,데이터입력!$A:$H,2,FALSE),"")</f>
        <v>수용기관경비</v>
      </c>
      <c r="F27" s="238" t="str">
        <f>IFERROR(VLOOKUP($A27,데이터입력!$A:$H,5,FALSE),"")</f>
        <v>06</v>
      </c>
      <c r="G27" s="238" t="str">
        <f>IFERROR(VLOOKUP($A27,데이터입력!$A:$H,6,FALSE),"")</f>
        <v>수익사업</v>
      </c>
      <c r="H27" s="239">
        <f>IFERROR(VLOOKUP($A27,데이터입력!$A:$L,8,FALSE)+VLOOKUP($A27,데이터입력!$A:$L,9,FALSE)+VLOOKUP($A27,데이터입력!$A:$L,10,FALSE),"")</f>
        <v>3000000</v>
      </c>
      <c r="I27" s="234" t="s">
        <v>136</v>
      </c>
      <c r="J27" s="234" t="s">
        <v>136</v>
      </c>
      <c r="K27" s="234" t="s">
        <v>136</v>
      </c>
      <c r="M27" s="235" t="str">
        <f>데이터입력!$AB$8</f>
        <v>00</v>
      </c>
      <c r="N27" s="238" t="str">
        <f>데이터입력!$AC$9</f>
        <v>일반사업[일반]</v>
      </c>
      <c r="O27" s="236" t="str">
        <f>IFERROR(VLOOKUP($A27,보수일람표!$A:$M,4,FALSE),"")</f>
        <v/>
      </c>
      <c r="P27" s="236" t="str">
        <f>IFERROR(VLOOKUP($A27,보수일람표!$A:$M,5,FALSE),"")</f>
        <v/>
      </c>
      <c r="Q27" s="923" t="str">
        <f>IFERROR(VLOOKUP($A27,보수일람표!$A:$M,6,FALSE),"")</f>
        <v/>
      </c>
      <c r="R27" s="236" t="str">
        <f>IFERROR(VLOOKUP($A27,보수일람표!$A:$M,7,FALSE),"")</f>
        <v>간접</v>
      </c>
      <c r="S27" s="236"/>
      <c r="T27" s="237">
        <f>IFERROR(VLOOKUP($A27,보수일람표!$A:$M,9,FALSE),"")</f>
        <v>0</v>
      </c>
      <c r="U27" s="237">
        <f>IFERROR(VLOOKUP($A27,보수일람표!$A:$M,10,FALSE),"")</f>
        <v>0</v>
      </c>
      <c r="V27" s="237">
        <f>IFERROR(VLOOKUP($A27,보수일람표!$A:$M,11,FALSE),"")</f>
        <v>0</v>
      </c>
      <c r="W27" s="237">
        <f>IFERROR(VLOOKUP($A27,보수일람표!$A:$M,12,FALSE),"")</f>
        <v>0</v>
      </c>
      <c r="X27" s="237">
        <f>IFERROR(VLOOKUP($A27,보수일람표!$A:$M,13,FALSE),"")</f>
        <v>0</v>
      </c>
    </row>
    <row r="28" spans="1:24">
      <c r="A28" s="225">
        <v>26</v>
      </c>
      <c r="B28" s="233" t="str">
        <f>IFERROR(IF(F28="06",데이터입력!$AB$8,IF(F28="07",데이터입력!$AD$8,IF(F28="05",데이터입력!$AF$8,데이터입력!$AB$8))),데이터입력!$AB$8)</f>
        <v>00</v>
      </c>
      <c r="C28" s="684" t="str">
        <f>데이터입력!$AC$9</f>
        <v>일반사업[일반]</v>
      </c>
      <c r="D28" s="238">
        <f>IFERROR(VLOOKUP($A28,데이터입력!$A:$H,4,FALSE),"")</f>
        <v>503010401</v>
      </c>
      <c r="E28" s="238" t="str">
        <f>IFERROR(VLOOKUP($A28,데이터입력!$A:$H,2,FALSE),"")</f>
        <v>의료비</v>
      </c>
      <c r="F28" s="238" t="str">
        <f>IFERROR(VLOOKUP($A28,데이터입력!$A:$H,5,FALSE),"")</f>
        <v>06</v>
      </c>
      <c r="G28" s="238" t="str">
        <f>IFERROR(VLOOKUP($A28,데이터입력!$A:$H,6,FALSE),"")</f>
        <v>수익사업</v>
      </c>
      <c r="H28" s="239">
        <f>IFERROR(VLOOKUP($A28,데이터입력!$A:$L,8,FALSE)+VLOOKUP($A28,데이터입력!$A:$L,9,FALSE)+VLOOKUP($A28,데이터입력!$A:$L,10,FALSE),"")</f>
        <v>1800000</v>
      </c>
      <c r="I28" s="240" t="s">
        <v>136</v>
      </c>
      <c r="J28" s="240" t="s">
        <v>136</v>
      </c>
      <c r="K28" s="240" t="s">
        <v>136</v>
      </c>
      <c r="M28" s="235" t="str">
        <f>데이터입력!$AB$8</f>
        <v>00</v>
      </c>
      <c r="N28" s="238" t="str">
        <f>데이터입력!$AC$9</f>
        <v>일반사업[일반]</v>
      </c>
      <c r="O28" s="236" t="str">
        <f>IFERROR(VLOOKUP($A28,보수일람표!$A:$M,4,FALSE),"")</f>
        <v/>
      </c>
      <c r="P28" s="236" t="str">
        <f>IFERROR(VLOOKUP($A28,보수일람표!$A:$M,5,FALSE),"")</f>
        <v/>
      </c>
      <c r="Q28" s="923" t="str">
        <f>IFERROR(VLOOKUP($A28,보수일람표!$A:$M,6,FALSE),"")</f>
        <v/>
      </c>
      <c r="R28" s="236" t="str">
        <f>IFERROR(VLOOKUP($A28,보수일람표!$A:$M,7,FALSE),"")</f>
        <v>간접</v>
      </c>
      <c r="S28" s="236"/>
      <c r="T28" s="237">
        <f>IFERROR(VLOOKUP($A28,보수일람표!$A:$M,9,FALSE),"")</f>
        <v>0</v>
      </c>
      <c r="U28" s="237">
        <f>IFERROR(VLOOKUP($A28,보수일람표!$A:$M,10,FALSE),"")</f>
        <v>0</v>
      </c>
      <c r="V28" s="237">
        <f>IFERROR(VLOOKUP($A28,보수일람표!$A:$M,11,FALSE),"")</f>
        <v>0</v>
      </c>
      <c r="W28" s="237">
        <f>IFERROR(VLOOKUP($A28,보수일람표!$A:$M,12,FALSE),"")</f>
        <v>0</v>
      </c>
      <c r="X28" s="237">
        <f>IFERROR(VLOOKUP($A28,보수일람표!$A:$M,13,FALSE),"")</f>
        <v>0</v>
      </c>
    </row>
    <row r="29" spans="1:24">
      <c r="A29" s="225">
        <v>27</v>
      </c>
      <c r="B29" s="233" t="str">
        <f>IFERROR(IF(F29="06",데이터입력!$AB$8,IF(F29="07",데이터입력!$AD$8,IF(F29="05",데이터입력!$AF$8,데이터입력!$AB$8))),데이터입력!$AB$8)</f>
        <v>00</v>
      </c>
      <c r="C29" s="684" t="str">
        <f>데이터입력!$AC$9</f>
        <v>일반사업[일반]</v>
      </c>
      <c r="D29" s="238">
        <f>IFERROR(VLOOKUP($A29,데이터입력!$A:$H,4,FALSE),"")</f>
        <v>503030101</v>
      </c>
      <c r="E29" s="238" t="str">
        <f>IFERROR(VLOOKUP($A29,데이터입력!$A:$H,2,FALSE),"")</f>
        <v>프로그램 사업비</v>
      </c>
      <c r="F29" s="238" t="str">
        <f>IFERROR(VLOOKUP($A29,데이터입력!$A:$H,5,FALSE),"")</f>
        <v>06</v>
      </c>
      <c r="G29" s="238" t="str">
        <f>IFERROR(VLOOKUP($A29,데이터입력!$A:$H,6,FALSE),"")</f>
        <v>수익사업</v>
      </c>
      <c r="H29" s="239">
        <f>IFERROR(VLOOKUP($A29,데이터입력!$A:$L,8,FALSE)+VLOOKUP($A29,데이터입력!$A:$L,9,FALSE)+VLOOKUP($A29,데이터입력!$A:$L,10,FALSE),"")</f>
        <v>8396000</v>
      </c>
      <c r="I29" s="234" t="s">
        <v>136</v>
      </c>
      <c r="J29" s="234" t="s">
        <v>136</v>
      </c>
      <c r="K29" s="234" t="s">
        <v>136</v>
      </c>
      <c r="M29" s="235" t="str">
        <f>데이터입력!$AB$8</f>
        <v>00</v>
      </c>
      <c r="N29" s="238" t="str">
        <f>데이터입력!$AC$9</f>
        <v>일반사업[일반]</v>
      </c>
      <c r="O29" s="236" t="str">
        <f>IFERROR(VLOOKUP($A29,보수일람표!$A:$M,4,FALSE),"")</f>
        <v/>
      </c>
      <c r="P29" s="236" t="str">
        <f>IFERROR(VLOOKUP($A29,보수일람표!$A:$M,5,FALSE),"")</f>
        <v/>
      </c>
      <c r="Q29" s="923" t="str">
        <f>IFERROR(VLOOKUP($A29,보수일람표!$A:$M,6,FALSE),"")</f>
        <v/>
      </c>
      <c r="R29" s="236" t="str">
        <f>IFERROR(VLOOKUP($A29,보수일람표!$A:$M,7,FALSE),"")</f>
        <v>간접</v>
      </c>
      <c r="S29" s="236"/>
      <c r="T29" s="237">
        <f>IFERROR(VLOOKUP($A29,보수일람표!$A:$M,9,FALSE),"")</f>
        <v>0</v>
      </c>
      <c r="U29" s="237">
        <f>IFERROR(VLOOKUP($A29,보수일람표!$A:$M,10,FALSE),"")</f>
        <v>0</v>
      </c>
      <c r="V29" s="237">
        <f>IFERROR(VLOOKUP($A29,보수일람표!$A:$M,11,FALSE),"")</f>
        <v>0</v>
      </c>
      <c r="W29" s="237">
        <f>IFERROR(VLOOKUP($A29,보수일람표!$A:$M,12,FALSE),"")</f>
        <v>0</v>
      </c>
      <c r="X29" s="237">
        <f>IFERROR(VLOOKUP($A29,보수일람표!$A:$M,13,FALSE),"")</f>
        <v>0</v>
      </c>
    </row>
    <row r="30" spans="1:24">
      <c r="A30" s="225">
        <v>28</v>
      </c>
      <c r="B30" s="233" t="str">
        <f>IFERROR(IF(F30="06",데이터입력!$AB$8,IF(F30="07",데이터입력!$AD$8,IF(F30="05",데이터입력!$AF$8,데이터입력!$AB$8))),데이터입력!$AB$8)</f>
        <v>00</v>
      </c>
      <c r="C30" s="684" t="str">
        <f>데이터입력!$AC$9</f>
        <v>일반사업[일반]</v>
      </c>
      <c r="D30" s="238">
        <f>IFERROR(VLOOKUP($A30,데이터입력!$A:$H,4,FALSE),"")</f>
        <v>504010201</v>
      </c>
      <c r="E30" s="238" t="str">
        <f>IFERROR(VLOOKUP($A30,데이터입력!$A:$H,2,FALSE),"")</f>
        <v>기타전출금</v>
      </c>
      <c r="F30" s="238" t="str">
        <f>IFERROR(VLOOKUP($A30,데이터입력!$A:$H,5,FALSE),"")</f>
        <v>06</v>
      </c>
      <c r="G30" s="238" t="str">
        <f>IFERROR(VLOOKUP($A30,데이터입력!$A:$H,6,FALSE),"")</f>
        <v>수익사업</v>
      </c>
      <c r="H30" s="239">
        <f>IFERROR(VLOOKUP($A30,데이터입력!$A:$L,8,FALSE)+VLOOKUP($A30,데이터입력!$A:$L,9,FALSE)+VLOOKUP($A30,데이터입력!$A:$L,10,FALSE),"")</f>
        <v>30000000</v>
      </c>
      <c r="I30" s="240" t="s">
        <v>136</v>
      </c>
      <c r="J30" s="240" t="s">
        <v>136</v>
      </c>
      <c r="K30" s="240" t="s">
        <v>136</v>
      </c>
      <c r="M30" s="235" t="str">
        <f>데이터입력!$AB$8</f>
        <v>00</v>
      </c>
      <c r="N30" s="238" t="str">
        <f>데이터입력!$AC$9</f>
        <v>일반사업[일반]</v>
      </c>
      <c r="O30" s="236" t="str">
        <f>IFERROR(VLOOKUP($A30,보수일람표!$A:$M,4,FALSE),"")</f>
        <v/>
      </c>
      <c r="P30" s="236" t="str">
        <f>IFERROR(VLOOKUP($A30,보수일람표!$A:$M,5,FALSE),"")</f>
        <v/>
      </c>
      <c r="Q30" s="923" t="str">
        <f>IFERROR(VLOOKUP($A30,보수일람표!$A:$M,6,FALSE),"")</f>
        <v/>
      </c>
      <c r="R30" s="236" t="str">
        <f>IFERROR(VLOOKUP($A30,보수일람표!$A:$M,7,FALSE),"")</f>
        <v>간접</v>
      </c>
      <c r="S30" s="236"/>
      <c r="T30" s="237">
        <f>IFERROR(VLOOKUP($A30,보수일람표!$A:$M,9,FALSE),"")</f>
        <v>0</v>
      </c>
      <c r="U30" s="237">
        <f>IFERROR(VLOOKUP($A30,보수일람표!$A:$M,10,FALSE),"")</f>
        <v>0</v>
      </c>
      <c r="V30" s="237">
        <f>IFERROR(VLOOKUP($A30,보수일람표!$A:$M,11,FALSE),"")</f>
        <v>0</v>
      </c>
      <c r="W30" s="237">
        <f>IFERROR(VLOOKUP($A30,보수일람표!$A:$M,12,FALSE),"")</f>
        <v>0</v>
      </c>
      <c r="X30" s="237">
        <f>IFERROR(VLOOKUP($A30,보수일람표!$A:$M,13,FALSE),"")</f>
        <v>0</v>
      </c>
    </row>
    <row r="31" spans="1:24">
      <c r="A31" s="225">
        <v>29</v>
      </c>
      <c r="B31" s="233" t="str">
        <f>IFERROR(IF(F31="06",데이터입력!$AB$8,IF(F31="07",데이터입력!$AD$8,IF(F31="05",데이터입력!$AF$8,데이터입력!$AB$8))),데이터입력!$AB$8)</f>
        <v>00</v>
      </c>
      <c r="C31" s="684" t="str">
        <f>데이터입력!$AC$9</f>
        <v>일반사업[일반]</v>
      </c>
      <c r="D31" s="238">
        <f>IFERROR(VLOOKUP($A31,데이터입력!$A:$H,4,FALSE),"")</f>
        <v>507010101</v>
      </c>
      <c r="E31" s="238" t="str">
        <f>IFERROR(VLOOKUP($A31,데이터입력!$A:$H,2,FALSE),"")</f>
        <v>잡지출</v>
      </c>
      <c r="F31" s="238" t="str">
        <f>IFERROR(VLOOKUP($A31,데이터입력!$A:$H,5,FALSE),"")</f>
        <v>06</v>
      </c>
      <c r="G31" s="238" t="str">
        <f>IFERROR(VLOOKUP($A31,데이터입력!$A:$H,6,FALSE),"")</f>
        <v>수익사업</v>
      </c>
      <c r="H31" s="239">
        <f>IFERROR(VLOOKUP($A31,데이터입력!$A:$L,8,FALSE)+VLOOKUP($A31,데이터입력!$A:$L,9,FALSE)+VLOOKUP($A31,데이터입력!$A:$L,10,FALSE),"")</f>
        <v>3912994</v>
      </c>
      <c r="I31" s="234" t="s">
        <v>136</v>
      </c>
      <c r="J31" s="234" t="s">
        <v>136</v>
      </c>
      <c r="K31" s="234" t="s">
        <v>136</v>
      </c>
      <c r="M31" s="235" t="str">
        <f>데이터입력!$AB$8</f>
        <v>00</v>
      </c>
      <c r="N31" s="238" t="str">
        <f>데이터입력!$AC$9</f>
        <v>일반사업[일반]</v>
      </c>
      <c r="O31" s="236" t="str">
        <f>IFERROR(VLOOKUP($A31,보수일람표!$A:$M,4,FALSE),"")</f>
        <v/>
      </c>
      <c r="P31" s="236" t="str">
        <f>IFERROR(VLOOKUP($A31,보수일람표!$A:$M,5,FALSE),"")</f>
        <v/>
      </c>
      <c r="Q31" s="923" t="str">
        <f>IFERROR(VLOOKUP($A31,보수일람표!$A:$M,6,FALSE),"")</f>
        <v/>
      </c>
      <c r="R31" s="236" t="str">
        <f>IFERROR(VLOOKUP($A31,보수일람표!$A:$M,7,FALSE),"")</f>
        <v>간접</v>
      </c>
      <c r="S31" s="236"/>
      <c r="T31" s="237">
        <f>IFERROR(VLOOKUP($A31,보수일람표!$A:$M,9,FALSE),"")</f>
        <v>0</v>
      </c>
      <c r="U31" s="237">
        <f>IFERROR(VLOOKUP($A31,보수일람표!$A:$M,10,FALSE),"")</f>
        <v>0</v>
      </c>
      <c r="V31" s="237">
        <f>IFERROR(VLOOKUP($A31,보수일람표!$A:$M,11,FALSE),"")</f>
        <v>0</v>
      </c>
      <c r="W31" s="237">
        <f>IFERROR(VLOOKUP($A31,보수일람표!$A:$M,12,FALSE),"")</f>
        <v>0</v>
      </c>
      <c r="X31" s="237">
        <f>IFERROR(VLOOKUP($A31,보수일람표!$A:$M,13,FALSE),"")</f>
        <v>0</v>
      </c>
    </row>
    <row r="32" spans="1:24">
      <c r="A32" s="225">
        <v>30</v>
      </c>
      <c r="B32" s="233" t="str">
        <f>IFERROR(IF(F32="06",데이터입력!$AB$8,IF(F32="07",데이터입력!$AD$8,IF(F32="05",데이터입력!$AF$8,데이터입력!$AB$8))),데이터입력!$AB$8)</f>
        <v>00</v>
      </c>
      <c r="C32" s="684" t="str">
        <f>데이터입력!$AC$9</f>
        <v>일반사업[일반]</v>
      </c>
      <c r="D32" s="238">
        <f>IFERROR(VLOOKUP($A32,데이터입력!$A:$H,4,FALSE),"")</f>
        <v>508010101</v>
      </c>
      <c r="E32" s="238" t="str">
        <f>IFERROR(VLOOKUP($A32,데이터입력!$A:$H,2,FALSE),"")</f>
        <v>예비비</v>
      </c>
      <c r="F32" s="238" t="str">
        <f>IFERROR(VLOOKUP($A32,데이터입력!$A:$H,5,FALSE),"")</f>
        <v>06</v>
      </c>
      <c r="G32" s="238" t="str">
        <f>IFERROR(VLOOKUP($A32,데이터입력!$A:$H,6,FALSE),"")</f>
        <v>수익사업</v>
      </c>
      <c r="H32" s="239">
        <f>IFERROR(VLOOKUP($A32,데이터입력!$A:$L,8,FALSE)+VLOOKUP($A32,데이터입력!$A:$L,9,FALSE)+VLOOKUP($A32,데이터입력!$A:$L,10,FALSE),"")</f>
        <v>0</v>
      </c>
      <c r="I32" s="240" t="s">
        <v>136</v>
      </c>
      <c r="J32" s="240" t="s">
        <v>136</v>
      </c>
      <c r="K32" s="240" t="s">
        <v>136</v>
      </c>
      <c r="M32" s="235" t="str">
        <f>데이터입력!$AB$8</f>
        <v>00</v>
      </c>
      <c r="N32" s="238" t="str">
        <f>데이터입력!$AC$9</f>
        <v>일반사업[일반]</v>
      </c>
      <c r="O32" s="236" t="str">
        <f>IFERROR(VLOOKUP($A32,보수일람표!$A:$M,4,FALSE),"")</f>
        <v/>
      </c>
      <c r="P32" s="236" t="str">
        <f>IFERROR(VLOOKUP($A32,보수일람표!$A:$M,5,FALSE),"")</f>
        <v/>
      </c>
      <c r="Q32" s="923" t="str">
        <f>IFERROR(VLOOKUP($A32,보수일람표!$A:$M,6,FALSE),"")</f>
        <v/>
      </c>
      <c r="R32" s="236" t="str">
        <f>IFERROR(VLOOKUP($A32,보수일람표!$A:$M,7,FALSE),"")</f>
        <v>간접</v>
      </c>
      <c r="S32" s="236"/>
      <c r="T32" s="237">
        <f>IFERROR(VLOOKUP($A32,보수일람표!$A:$M,9,FALSE),"")</f>
        <v>0</v>
      </c>
      <c r="U32" s="237">
        <f>IFERROR(VLOOKUP($A32,보수일람표!$A:$M,10,FALSE),"")</f>
        <v>0</v>
      </c>
      <c r="V32" s="237">
        <f>IFERROR(VLOOKUP($A32,보수일람표!$A:$M,11,FALSE),"")</f>
        <v>0</v>
      </c>
      <c r="W32" s="237">
        <f>IFERROR(VLOOKUP($A32,보수일람표!$A:$M,12,FALSE),"")</f>
        <v>0</v>
      </c>
      <c r="X32" s="237">
        <f>IFERROR(VLOOKUP($A32,보수일람표!$A:$M,13,FALSE),"")</f>
        <v>0</v>
      </c>
    </row>
    <row r="33" spans="1:24">
      <c r="A33" s="225">
        <v>31</v>
      </c>
      <c r="B33" s="233" t="str">
        <f>IFERROR(IF(F33="06",데이터입력!$AB$8,IF(F33="07",데이터입력!$AD$8,IF(F33="05",데이터입력!$AF$8,데이터입력!$AB$8))),데이터입력!$AB$8)</f>
        <v>00</v>
      </c>
      <c r="C33" s="684" t="str">
        <f>데이터입력!$AC$9</f>
        <v>일반사업[일반]</v>
      </c>
      <c r="D33" s="238" t="str">
        <f>IFERROR(VLOOKUP($A33,데이터입력!$A:$H,4,FALSE),"")</f>
        <v/>
      </c>
      <c r="E33" s="238" t="str">
        <f>IFERROR(VLOOKUP($A33,데이터입력!$A:$H,2,FALSE),"")</f>
        <v/>
      </c>
      <c r="F33" s="238" t="str">
        <f>IFERROR(VLOOKUP($A33,데이터입력!$A:$H,5,FALSE),"")</f>
        <v/>
      </c>
      <c r="G33" s="238" t="str">
        <f>IFERROR(VLOOKUP($A33,데이터입력!$A:$H,6,FALSE),"")</f>
        <v/>
      </c>
      <c r="H33" s="239" t="str">
        <f>IFERROR(VLOOKUP($A33,데이터입력!$A:$L,8,FALSE)+VLOOKUP($A33,데이터입력!$A:$L,9,FALSE)+VLOOKUP($A33,데이터입력!$A:$L,10,FALSE),"")</f>
        <v/>
      </c>
      <c r="I33" s="234" t="s">
        <v>136</v>
      </c>
      <c r="J33" s="234" t="s">
        <v>136</v>
      </c>
      <c r="K33" s="234" t="s">
        <v>136</v>
      </c>
      <c r="M33" s="235" t="str">
        <f>데이터입력!$AB$8</f>
        <v>00</v>
      </c>
      <c r="N33" s="238" t="str">
        <f>데이터입력!$AC$9</f>
        <v>일반사업[일반]</v>
      </c>
      <c r="O33" s="236" t="str">
        <f>IFERROR(VLOOKUP($A33,보수일람표!$A:$M,4,FALSE),"")</f>
        <v/>
      </c>
      <c r="P33" s="236" t="str">
        <f>IFERROR(VLOOKUP($A33,보수일람표!$A:$M,5,FALSE),"")</f>
        <v/>
      </c>
      <c r="Q33" s="923" t="str">
        <f>IFERROR(VLOOKUP($A33,보수일람표!$A:$M,6,FALSE),"")</f>
        <v/>
      </c>
      <c r="R33" s="236" t="str">
        <f>IFERROR(VLOOKUP($A33,보수일람표!$A:$M,7,FALSE),"")</f>
        <v>간접</v>
      </c>
      <c r="S33" s="236"/>
      <c r="T33" s="237">
        <f>IFERROR(VLOOKUP($A33,보수일람표!$A:$M,9,FALSE),"")</f>
        <v>0</v>
      </c>
      <c r="U33" s="237">
        <f>IFERROR(VLOOKUP($A33,보수일람표!$A:$M,10,FALSE),"")</f>
        <v>0</v>
      </c>
      <c r="V33" s="237">
        <f>IFERROR(VLOOKUP($A33,보수일람표!$A:$M,11,FALSE),"")</f>
        <v>0</v>
      </c>
      <c r="W33" s="237">
        <f>IFERROR(VLOOKUP($A33,보수일람표!$A:$M,12,FALSE),"")</f>
        <v>0</v>
      </c>
      <c r="X33" s="237">
        <f>IFERROR(VLOOKUP($A33,보수일람표!$A:$M,13,FALSE),"")</f>
        <v>0</v>
      </c>
    </row>
    <row r="34" spans="1:24">
      <c r="A34" s="225">
        <v>32</v>
      </c>
      <c r="B34" s="233" t="str">
        <f>IFERROR(IF(F34="06",데이터입력!$AB$8,IF(F34="07",데이터입력!$AD$8,IF(F34="05",데이터입력!$AF$8,데이터입력!$AB$8))),데이터입력!$AB$8)</f>
        <v>00</v>
      </c>
      <c r="C34" s="684" t="str">
        <f>데이터입력!$AC$9</f>
        <v>일반사업[일반]</v>
      </c>
      <c r="D34" s="238" t="str">
        <f>IFERROR(VLOOKUP($A34,데이터입력!$A:$H,4,FALSE),"")</f>
        <v/>
      </c>
      <c r="E34" s="238" t="str">
        <f>IFERROR(VLOOKUP($A34,데이터입력!$A:$H,2,FALSE),"")</f>
        <v/>
      </c>
      <c r="F34" s="238" t="str">
        <f>IFERROR(VLOOKUP($A34,데이터입력!$A:$H,5,FALSE),"")</f>
        <v/>
      </c>
      <c r="G34" s="238" t="str">
        <f>IFERROR(VLOOKUP($A34,데이터입력!$A:$H,6,FALSE),"")</f>
        <v/>
      </c>
      <c r="H34" s="239" t="str">
        <f>IFERROR(VLOOKUP($A34,데이터입력!$A:$L,8,FALSE)+VLOOKUP($A34,데이터입력!$A:$L,9,FALSE)+VLOOKUP($A34,데이터입력!$A:$L,10,FALSE),"")</f>
        <v/>
      </c>
      <c r="I34" s="240" t="s">
        <v>136</v>
      </c>
      <c r="J34" s="240" t="s">
        <v>136</v>
      </c>
      <c r="K34" s="240" t="s">
        <v>136</v>
      </c>
      <c r="M34" s="235" t="str">
        <f>데이터입력!$AB$8</f>
        <v>00</v>
      </c>
      <c r="N34" s="238" t="str">
        <f>데이터입력!$AC$9</f>
        <v>일반사업[일반]</v>
      </c>
      <c r="O34" s="236" t="str">
        <f>IFERROR(VLOOKUP($A34,보수일람표!$A:$M,4,FALSE),"")</f>
        <v/>
      </c>
      <c r="P34" s="236" t="str">
        <f>IFERROR(VLOOKUP($A34,보수일람표!$A:$M,5,FALSE),"")</f>
        <v/>
      </c>
      <c r="Q34" s="923" t="str">
        <f>IFERROR(VLOOKUP($A34,보수일람표!$A:$M,6,FALSE),"")</f>
        <v/>
      </c>
      <c r="R34" s="236" t="str">
        <f>IFERROR(VLOOKUP($A34,보수일람표!$A:$M,7,FALSE),"")</f>
        <v>간접</v>
      </c>
      <c r="S34" s="236"/>
      <c r="T34" s="237">
        <f>IFERROR(VLOOKUP($A34,보수일람표!$A:$M,9,FALSE),"")</f>
        <v>0</v>
      </c>
      <c r="U34" s="237">
        <f>IFERROR(VLOOKUP($A34,보수일람표!$A:$M,10,FALSE),"")</f>
        <v>0</v>
      </c>
      <c r="V34" s="237">
        <f>IFERROR(VLOOKUP($A34,보수일람표!$A:$M,11,FALSE),"")</f>
        <v>0</v>
      </c>
      <c r="W34" s="237">
        <f>IFERROR(VLOOKUP($A34,보수일람표!$A:$M,12,FALSE),"")</f>
        <v>0</v>
      </c>
      <c r="X34" s="237">
        <f>IFERROR(VLOOKUP($A34,보수일람표!$A:$M,13,FALSE),"")</f>
        <v>0</v>
      </c>
    </row>
    <row r="35" spans="1:24">
      <c r="A35" s="225">
        <v>33</v>
      </c>
      <c r="B35" s="233" t="str">
        <f>IFERROR(IF(F35="06",데이터입력!$AB$8,IF(F35="07",데이터입력!$AD$8,IF(F35="05",데이터입력!$AF$8,데이터입력!$AB$8))),데이터입력!$AB$8)</f>
        <v>00</v>
      </c>
      <c r="C35" s="684" t="str">
        <f>데이터입력!$AC$9</f>
        <v>일반사업[일반]</v>
      </c>
      <c r="D35" s="238" t="str">
        <f>IFERROR(VLOOKUP($A35,데이터입력!$A:$H,4,FALSE),"")</f>
        <v/>
      </c>
      <c r="E35" s="238" t="str">
        <f>IFERROR(VLOOKUP($A35,데이터입력!$A:$H,2,FALSE),"")</f>
        <v/>
      </c>
      <c r="F35" s="238" t="str">
        <f>IFERROR(VLOOKUP($A35,데이터입력!$A:$H,5,FALSE),"")</f>
        <v/>
      </c>
      <c r="G35" s="238" t="str">
        <f>IFERROR(VLOOKUP($A35,데이터입력!$A:$H,6,FALSE),"")</f>
        <v/>
      </c>
      <c r="H35" s="239" t="str">
        <f>IFERROR(VLOOKUP($A35,데이터입력!$A:$L,8,FALSE)+VLOOKUP($A35,데이터입력!$A:$L,9,FALSE)+VLOOKUP($A35,데이터입력!$A:$L,10,FALSE),"")</f>
        <v/>
      </c>
      <c r="I35" s="240" t="s">
        <v>136</v>
      </c>
      <c r="J35" s="240" t="s">
        <v>136</v>
      </c>
      <c r="K35" s="240" t="s">
        <v>136</v>
      </c>
      <c r="M35" s="235" t="str">
        <f>데이터입력!$AB$8</f>
        <v>00</v>
      </c>
      <c r="N35" s="238" t="str">
        <f>데이터입력!$AC$9</f>
        <v>일반사업[일반]</v>
      </c>
      <c r="O35" s="236" t="str">
        <f>IFERROR(VLOOKUP($A35,보수일람표!$A:$M,4,FALSE),"")</f>
        <v/>
      </c>
      <c r="P35" s="236" t="str">
        <f>IFERROR(VLOOKUP($A35,보수일람표!$A:$M,5,FALSE),"")</f>
        <v/>
      </c>
      <c r="Q35" s="923" t="str">
        <f>IFERROR(VLOOKUP($A35,보수일람표!$A:$M,6,FALSE),"")</f>
        <v/>
      </c>
      <c r="R35" s="236" t="str">
        <f>IFERROR(VLOOKUP($A35,보수일람표!$A:$M,7,FALSE),"")</f>
        <v>간접</v>
      </c>
      <c r="S35" s="236"/>
      <c r="T35" s="237">
        <f>IFERROR(VLOOKUP($A35,보수일람표!$A:$M,9,FALSE),"")</f>
        <v>0</v>
      </c>
      <c r="U35" s="237">
        <f>IFERROR(VLOOKUP($A35,보수일람표!$A:$M,10,FALSE),"")</f>
        <v>0</v>
      </c>
      <c r="V35" s="237">
        <f>IFERROR(VLOOKUP($A35,보수일람표!$A:$M,11,FALSE),"")</f>
        <v>0</v>
      </c>
      <c r="W35" s="237">
        <f>IFERROR(VLOOKUP($A35,보수일람표!$A:$M,12,FALSE),"")</f>
        <v>0</v>
      </c>
      <c r="X35" s="237">
        <f>IFERROR(VLOOKUP($A35,보수일람표!$A:$M,13,FALSE),"")</f>
        <v>0</v>
      </c>
    </row>
    <row r="36" spans="1:24">
      <c r="A36" s="225">
        <v>34</v>
      </c>
      <c r="B36" s="233" t="str">
        <f>IFERROR(IF(F36="06",데이터입력!$AB$8,IF(F36="07",데이터입력!$AD$8,IF(F36="05",데이터입력!$AF$8,데이터입력!$AB$8))),데이터입력!$AB$8)</f>
        <v>00</v>
      </c>
      <c r="C36" s="684" t="str">
        <f>데이터입력!$AC$9</f>
        <v>일반사업[일반]</v>
      </c>
      <c r="D36" s="238" t="str">
        <f>IFERROR(VLOOKUP($A36,데이터입력!$A:$H,4,FALSE),"")</f>
        <v/>
      </c>
      <c r="E36" s="238" t="str">
        <f>IFERROR(VLOOKUP($A36,데이터입력!$A:$H,2,FALSE),"")</f>
        <v/>
      </c>
      <c r="F36" s="238" t="str">
        <f>IFERROR(VLOOKUP($A36,데이터입력!$A:$H,5,FALSE),"")</f>
        <v/>
      </c>
      <c r="G36" s="238" t="str">
        <f>IFERROR(VLOOKUP($A36,데이터입력!$A:$H,6,FALSE),"")</f>
        <v/>
      </c>
      <c r="H36" s="239" t="str">
        <f>IFERROR(VLOOKUP($A36,데이터입력!$A:$L,8,FALSE)+VLOOKUP($A36,데이터입력!$A:$L,9,FALSE)+VLOOKUP($A36,데이터입력!$A:$L,10,FALSE),"")</f>
        <v/>
      </c>
      <c r="I36" s="240" t="s">
        <v>136</v>
      </c>
      <c r="J36" s="240" t="s">
        <v>136</v>
      </c>
      <c r="K36" s="240" t="s">
        <v>136</v>
      </c>
      <c r="M36" s="235" t="str">
        <f>데이터입력!$AB$8</f>
        <v>00</v>
      </c>
      <c r="N36" s="238" t="str">
        <f>데이터입력!$AC$9</f>
        <v>일반사업[일반]</v>
      </c>
      <c r="O36" s="236" t="str">
        <f>IFERROR(VLOOKUP($A36,보수일람표!$A:$M,4,FALSE),"")</f>
        <v/>
      </c>
      <c r="P36" s="236" t="str">
        <f>IFERROR(VLOOKUP($A36,보수일람표!$A:$M,5,FALSE),"")</f>
        <v/>
      </c>
      <c r="Q36" s="923" t="str">
        <f>IFERROR(VLOOKUP($A36,보수일람표!$A:$M,6,FALSE),"")</f>
        <v/>
      </c>
      <c r="R36" s="236" t="str">
        <f>IFERROR(VLOOKUP($A36,보수일람표!$A:$M,7,FALSE),"")</f>
        <v>간접</v>
      </c>
      <c r="S36" s="236"/>
      <c r="T36" s="237">
        <f>IFERROR(VLOOKUP($A36,보수일람표!$A:$M,9,FALSE),"")</f>
        <v>0</v>
      </c>
      <c r="U36" s="237">
        <f>IFERROR(VLOOKUP($A36,보수일람표!$A:$M,10,FALSE),"")</f>
        <v>0</v>
      </c>
      <c r="V36" s="237">
        <f>IFERROR(VLOOKUP($A36,보수일람표!$A:$M,11,FALSE),"")</f>
        <v>0</v>
      </c>
      <c r="W36" s="237">
        <f>IFERROR(VLOOKUP($A36,보수일람표!$A:$M,12,FALSE),"")</f>
        <v>0</v>
      </c>
      <c r="X36" s="237">
        <f>IFERROR(VLOOKUP($A36,보수일람표!$A:$M,13,FALSE),"")</f>
        <v>0</v>
      </c>
    </row>
    <row r="37" spans="1:24">
      <c r="A37" s="225">
        <v>35</v>
      </c>
      <c r="B37" s="233" t="str">
        <f>IFERROR(IF(F37="06",데이터입력!$AB$8,IF(F37="07",데이터입력!$AD$8,IF(F37="05",데이터입력!$AF$8,데이터입력!$AB$8))),데이터입력!$AB$8)</f>
        <v>00</v>
      </c>
      <c r="C37" s="684" t="str">
        <f>데이터입력!$AC$9</f>
        <v>일반사업[일반]</v>
      </c>
      <c r="D37" s="238" t="str">
        <f>IFERROR(VLOOKUP($A37,데이터입력!$A:$H,4,FALSE),"")</f>
        <v/>
      </c>
      <c r="E37" s="238" t="str">
        <f>IFERROR(VLOOKUP($A37,데이터입력!$A:$H,2,FALSE),"")</f>
        <v/>
      </c>
      <c r="F37" s="238" t="str">
        <f>IFERROR(VLOOKUP($A37,데이터입력!$A:$H,5,FALSE),"")</f>
        <v/>
      </c>
      <c r="G37" s="238" t="str">
        <f>IFERROR(VLOOKUP($A37,데이터입력!$A:$H,6,FALSE),"")</f>
        <v/>
      </c>
      <c r="H37" s="239" t="str">
        <f>IFERROR(VLOOKUP($A37,데이터입력!$A:$L,8,FALSE)+VLOOKUP($A37,데이터입력!$A:$L,9,FALSE)+VLOOKUP($A37,데이터입력!$A:$L,10,FALSE),"")</f>
        <v/>
      </c>
      <c r="I37" s="240" t="s">
        <v>136</v>
      </c>
      <c r="J37" s="240" t="s">
        <v>136</v>
      </c>
      <c r="K37" s="240" t="s">
        <v>136</v>
      </c>
      <c r="M37" s="235" t="str">
        <f>데이터입력!$AB$8</f>
        <v>00</v>
      </c>
      <c r="N37" s="238" t="str">
        <f>데이터입력!$AC$9</f>
        <v>일반사업[일반]</v>
      </c>
      <c r="O37" s="236" t="str">
        <f>IFERROR(VLOOKUP($A37,보수일람표!$A:$M,4,FALSE),"")</f>
        <v/>
      </c>
      <c r="P37" s="236" t="str">
        <f>IFERROR(VLOOKUP($A37,보수일람표!$A:$M,5,FALSE),"")</f>
        <v/>
      </c>
      <c r="Q37" s="923" t="str">
        <f>IFERROR(VLOOKUP($A37,보수일람표!$A:$M,6,FALSE),"")</f>
        <v/>
      </c>
      <c r="R37" s="236" t="str">
        <f>IFERROR(VLOOKUP($A37,보수일람표!$A:$M,7,FALSE),"")</f>
        <v>간접</v>
      </c>
      <c r="S37" s="236"/>
      <c r="T37" s="237">
        <f>IFERROR(VLOOKUP($A37,보수일람표!$A:$M,9,FALSE),"")</f>
        <v>0</v>
      </c>
      <c r="U37" s="237">
        <f>IFERROR(VLOOKUP($A37,보수일람표!$A:$M,10,FALSE),"")</f>
        <v>0</v>
      </c>
      <c r="V37" s="237">
        <f>IFERROR(VLOOKUP($A37,보수일람표!$A:$M,11,FALSE),"")</f>
        <v>0</v>
      </c>
      <c r="W37" s="237">
        <f>IFERROR(VLOOKUP($A37,보수일람표!$A:$M,12,FALSE),"")</f>
        <v>0</v>
      </c>
      <c r="X37" s="237">
        <f>IFERROR(VLOOKUP($A37,보수일람표!$A:$M,13,FALSE),"")</f>
        <v>0</v>
      </c>
    </row>
    <row r="38" spans="1:24">
      <c r="A38" s="225">
        <v>36</v>
      </c>
      <c r="B38" s="233" t="str">
        <f>IFERROR(IF(F38="06",데이터입력!$AB$8,IF(F38="07",데이터입력!$AD$8,IF(F38="05",데이터입력!$AF$8,데이터입력!$AB$8))),데이터입력!$AB$8)</f>
        <v>00</v>
      </c>
      <c r="C38" s="684" t="str">
        <f>데이터입력!$AC$9</f>
        <v>일반사업[일반]</v>
      </c>
      <c r="D38" s="238" t="str">
        <f>IFERROR(VLOOKUP($A38,데이터입력!$A:$H,4,FALSE),"")</f>
        <v/>
      </c>
      <c r="E38" s="238" t="str">
        <f>IFERROR(VLOOKUP($A38,데이터입력!$A:$H,2,FALSE),"")</f>
        <v/>
      </c>
      <c r="F38" s="238" t="str">
        <f>IFERROR(VLOOKUP($A38,데이터입력!$A:$H,5,FALSE),"")</f>
        <v/>
      </c>
      <c r="G38" s="238" t="str">
        <f>IFERROR(VLOOKUP($A38,데이터입력!$A:$H,6,FALSE),"")</f>
        <v/>
      </c>
      <c r="H38" s="239" t="str">
        <f>IFERROR(VLOOKUP($A38,데이터입력!$A:$L,8,FALSE)+VLOOKUP($A38,데이터입력!$A:$L,9,FALSE)+VLOOKUP($A38,데이터입력!$A:$L,10,FALSE),"")</f>
        <v/>
      </c>
      <c r="I38" s="240" t="s">
        <v>136</v>
      </c>
      <c r="J38" s="240" t="s">
        <v>136</v>
      </c>
      <c r="K38" s="240" t="s">
        <v>136</v>
      </c>
      <c r="M38" s="235" t="str">
        <f>데이터입력!$AB$8</f>
        <v>00</v>
      </c>
      <c r="N38" s="238" t="str">
        <f>데이터입력!$AC$9</f>
        <v>일반사업[일반]</v>
      </c>
      <c r="O38" s="236" t="str">
        <f>IFERROR(VLOOKUP($A38,보수일람표!$A:$M,4,FALSE),"")</f>
        <v/>
      </c>
      <c r="P38" s="236" t="str">
        <f>IFERROR(VLOOKUP($A38,보수일람표!$A:$M,5,FALSE),"")</f>
        <v/>
      </c>
      <c r="Q38" s="923" t="str">
        <f>IFERROR(VLOOKUP($A38,보수일람표!$A:$M,6,FALSE),"")</f>
        <v/>
      </c>
      <c r="R38" s="236" t="str">
        <f>IFERROR(VLOOKUP($A38,보수일람표!$A:$M,7,FALSE),"")</f>
        <v>간접</v>
      </c>
      <c r="S38" s="236"/>
      <c r="T38" s="237">
        <f>IFERROR(VLOOKUP($A38,보수일람표!$A:$M,9,FALSE),"")</f>
        <v>0</v>
      </c>
      <c r="U38" s="237">
        <f>IFERROR(VLOOKUP($A38,보수일람표!$A:$M,10,FALSE),"")</f>
        <v>0</v>
      </c>
      <c r="V38" s="237">
        <f>IFERROR(VLOOKUP($A38,보수일람표!$A:$M,11,FALSE),"")</f>
        <v>0</v>
      </c>
      <c r="W38" s="237">
        <f>IFERROR(VLOOKUP($A38,보수일람표!$A:$M,12,FALSE),"")</f>
        <v>0</v>
      </c>
      <c r="X38" s="237">
        <f>IFERROR(VLOOKUP($A38,보수일람표!$A:$M,13,FALSE),"")</f>
        <v>0</v>
      </c>
    </row>
    <row r="39" spans="1:24">
      <c r="A39" s="225">
        <v>37</v>
      </c>
      <c r="B39" s="233" t="str">
        <f>IFERROR(IF(F39="06",데이터입력!$AB$8,IF(F39="07",데이터입력!$AD$8,IF(F39="05",데이터입력!$AF$8,데이터입력!$AB$8))),데이터입력!$AB$8)</f>
        <v>00</v>
      </c>
      <c r="C39" s="684" t="str">
        <f>데이터입력!$AC$9</f>
        <v>일반사업[일반]</v>
      </c>
      <c r="D39" s="238" t="str">
        <f>IFERROR(VLOOKUP($A39,데이터입력!$A:$H,4,FALSE),"")</f>
        <v/>
      </c>
      <c r="E39" s="238" t="str">
        <f>IFERROR(VLOOKUP($A39,데이터입력!$A:$H,2,FALSE),"")</f>
        <v/>
      </c>
      <c r="F39" s="238" t="str">
        <f>IFERROR(VLOOKUP($A39,데이터입력!$A:$H,5,FALSE),"")</f>
        <v/>
      </c>
      <c r="G39" s="238" t="str">
        <f>IFERROR(VLOOKUP($A39,데이터입력!$A:$H,6,FALSE),"")</f>
        <v/>
      </c>
      <c r="H39" s="239" t="str">
        <f>IFERROR(VLOOKUP($A39,데이터입력!$A:$L,8,FALSE)+VLOOKUP($A39,데이터입력!$A:$L,9,FALSE)+VLOOKUP($A39,데이터입력!$A:$L,10,FALSE),"")</f>
        <v/>
      </c>
      <c r="I39" s="240" t="s">
        <v>136</v>
      </c>
      <c r="J39" s="240" t="s">
        <v>136</v>
      </c>
      <c r="K39" s="240" t="s">
        <v>136</v>
      </c>
      <c r="M39" s="235" t="str">
        <f>데이터입력!$AB$8</f>
        <v>00</v>
      </c>
      <c r="N39" s="238" t="str">
        <f>데이터입력!$AC$9</f>
        <v>일반사업[일반]</v>
      </c>
      <c r="O39" s="236" t="str">
        <f>IFERROR(VLOOKUP($A39,보수일람표!$A:$M,4,FALSE),"")</f>
        <v/>
      </c>
      <c r="P39" s="236" t="str">
        <f>IFERROR(VLOOKUP($A39,보수일람표!$A:$M,5,FALSE),"")</f>
        <v/>
      </c>
      <c r="Q39" s="923" t="str">
        <f>IFERROR(VLOOKUP($A39,보수일람표!$A:$M,6,FALSE),"")</f>
        <v/>
      </c>
      <c r="R39" s="236" t="str">
        <f>IFERROR(VLOOKUP($A39,보수일람표!$A:$M,7,FALSE),"")</f>
        <v>간접</v>
      </c>
      <c r="S39" s="236"/>
      <c r="T39" s="237">
        <f>IFERROR(VLOOKUP($A39,보수일람표!$A:$M,9,FALSE),"")</f>
        <v>0</v>
      </c>
      <c r="U39" s="237">
        <f>IFERROR(VLOOKUP($A39,보수일람표!$A:$M,10,FALSE),"")</f>
        <v>0</v>
      </c>
      <c r="V39" s="237">
        <f>IFERROR(VLOOKUP($A39,보수일람표!$A:$M,11,FALSE),"")</f>
        <v>0</v>
      </c>
      <c r="W39" s="237">
        <f>IFERROR(VLOOKUP($A39,보수일람표!$A:$M,12,FALSE),"")</f>
        <v>0</v>
      </c>
      <c r="X39" s="237">
        <f>IFERROR(VLOOKUP($A39,보수일람표!$A:$M,13,FALSE),"")</f>
        <v>0</v>
      </c>
    </row>
    <row r="40" spans="1:24">
      <c r="A40" s="225">
        <v>38</v>
      </c>
      <c r="B40" s="233" t="str">
        <f>IFERROR(IF(F40="06",데이터입력!$AB$8,IF(F40="07",데이터입력!$AD$8,IF(F40="05",데이터입력!$AF$8,데이터입력!$AB$8))),데이터입력!$AB$8)</f>
        <v>00</v>
      </c>
      <c r="C40" s="684" t="str">
        <f>데이터입력!$AC$9</f>
        <v>일반사업[일반]</v>
      </c>
      <c r="D40" s="238" t="str">
        <f>IFERROR(VLOOKUP($A40,데이터입력!$A:$H,4,FALSE),"")</f>
        <v/>
      </c>
      <c r="E40" s="238" t="str">
        <f>IFERROR(VLOOKUP($A40,데이터입력!$A:$H,2,FALSE),"")</f>
        <v/>
      </c>
      <c r="F40" s="238" t="str">
        <f>IFERROR(VLOOKUP($A40,데이터입력!$A:$H,5,FALSE),"")</f>
        <v/>
      </c>
      <c r="G40" s="238" t="str">
        <f>IFERROR(VLOOKUP($A40,데이터입력!$A:$H,6,FALSE),"")</f>
        <v/>
      </c>
      <c r="H40" s="239" t="str">
        <f>IFERROR(VLOOKUP($A40,데이터입력!$A:$L,8,FALSE)+VLOOKUP($A40,데이터입력!$A:$L,9,FALSE)+VLOOKUP($A40,데이터입력!$A:$L,10,FALSE),"")</f>
        <v/>
      </c>
      <c r="I40" s="240" t="s">
        <v>136</v>
      </c>
      <c r="J40" s="240" t="s">
        <v>136</v>
      </c>
      <c r="K40" s="240" t="s">
        <v>136</v>
      </c>
      <c r="M40" s="235" t="str">
        <f>데이터입력!$AB$8</f>
        <v>00</v>
      </c>
      <c r="N40" s="238" t="str">
        <f>데이터입력!$AC$9</f>
        <v>일반사업[일반]</v>
      </c>
      <c r="O40" s="236" t="str">
        <f>IFERROR(VLOOKUP($A40,보수일람표!$A:$M,4,FALSE),"")</f>
        <v/>
      </c>
      <c r="P40" s="236" t="str">
        <f>IFERROR(VLOOKUP($A40,보수일람표!$A:$M,5,FALSE),"")</f>
        <v/>
      </c>
      <c r="Q40" s="923" t="str">
        <f>IFERROR(VLOOKUP($A40,보수일람표!$A:$M,6,FALSE),"")</f>
        <v/>
      </c>
      <c r="R40" s="236" t="str">
        <f>IFERROR(VLOOKUP($A40,보수일람표!$A:$M,7,FALSE),"")</f>
        <v>간접</v>
      </c>
      <c r="S40" s="236"/>
      <c r="T40" s="237">
        <f>IFERROR(VLOOKUP($A40,보수일람표!$A:$M,9,FALSE),"")</f>
        <v>0</v>
      </c>
      <c r="U40" s="237">
        <f>IFERROR(VLOOKUP($A40,보수일람표!$A:$M,10,FALSE),"")</f>
        <v>0</v>
      </c>
      <c r="V40" s="237">
        <f>IFERROR(VLOOKUP($A40,보수일람표!$A:$M,11,FALSE),"")</f>
        <v>0</v>
      </c>
      <c r="W40" s="237">
        <f>IFERROR(VLOOKUP($A40,보수일람표!$A:$M,12,FALSE),"")</f>
        <v>0</v>
      </c>
      <c r="X40" s="237">
        <f>IFERROR(VLOOKUP($A40,보수일람표!$A:$M,13,FALSE),"")</f>
        <v>0</v>
      </c>
    </row>
    <row r="41" spans="1:24">
      <c r="A41" s="225">
        <v>39</v>
      </c>
      <c r="B41" s="233" t="str">
        <f>IFERROR(IF(F41="06",데이터입력!$AB$8,IF(F41="07",데이터입력!$AD$8,IF(F41="05",데이터입력!$AF$8,데이터입력!$AB$8))),데이터입력!$AB$8)</f>
        <v>00</v>
      </c>
      <c r="C41" s="684" t="str">
        <f>데이터입력!$AC$9</f>
        <v>일반사업[일반]</v>
      </c>
      <c r="D41" s="238" t="str">
        <f>IFERROR(VLOOKUP($A41,데이터입력!$A:$H,4,FALSE),"")</f>
        <v/>
      </c>
      <c r="E41" s="238" t="str">
        <f>IFERROR(VLOOKUP($A41,데이터입력!$A:$H,2,FALSE),"")</f>
        <v/>
      </c>
      <c r="F41" s="238" t="str">
        <f>IFERROR(VLOOKUP($A41,데이터입력!$A:$H,5,FALSE),"")</f>
        <v/>
      </c>
      <c r="G41" s="238" t="str">
        <f>IFERROR(VLOOKUP($A41,데이터입력!$A:$H,6,FALSE),"")</f>
        <v/>
      </c>
      <c r="H41" s="239" t="str">
        <f>IFERROR(VLOOKUP($A41,데이터입력!$A:$L,8,FALSE)+VLOOKUP($A41,데이터입력!$A:$L,9,FALSE)+VLOOKUP($A41,데이터입력!$A:$L,10,FALSE),"")</f>
        <v/>
      </c>
      <c r="I41" s="234" t="s">
        <v>136</v>
      </c>
      <c r="J41" s="234" t="s">
        <v>136</v>
      </c>
      <c r="K41" s="234" t="s">
        <v>136</v>
      </c>
      <c r="M41" s="235" t="str">
        <f>데이터입력!$AB$8</f>
        <v>00</v>
      </c>
      <c r="N41" s="238" t="str">
        <f>데이터입력!$AC$9</f>
        <v>일반사업[일반]</v>
      </c>
      <c r="O41" s="236" t="str">
        <f>IFERROR(VLOOKUP($A41,보수일람표!$A:$M,4,FALSE),"")</f>
        <v/>
      </c>
      <c r="P41" s="236" t="str">
        <f>IFERROR(VLOOKUP($A41,보수일람표!$A:$M,5,FALSE),"")</f>
        <v/>
      </c>
      <c r="Q41" s="923" t="str">
        <f>IFERROR(VLOOKUP($A41,보수일람표!$A:$M,6,FALSE),"")</f>
        <v/>
      </c>
      <c r="R41" s="236" t="str">
        <f>IFERROR(VLOOKUP($A41,보수일람표!$A:$M,7,FALSE),"")</f>
        <v>간접</v>
      </c>
      <c r="S41" s="236"/>
      <c r="T41" s="237">
        <f>IFERROR(VLOOKUP($A41,보수일람표!$A:$M,9,FALSE),"")</f>
        <v>0</v>
      </c>
      <c r="U41" s="237">
        <f>IFERROR(VLOOKUP($A41,보수일람표!$A:$M,10,FALSE),"")</f>
        <v>0</v>
      </c>
      <c r="V41" s="237">
        <f>IFERROR(VLOOKUP($A41,보수일람표!$A:$M,11,FALSE),"")</f>
        <v>0</v>
      </c>
      <c r="W41" s="237">
        <f>IFERROR(VLOOKUP($A41,보수일람표!$A:$M,12,FALSE),"")</f>
        <v>0</v>
      </c>
      <c r="X41" s="237">
        <f>IFERROR(VLOOKUP($A41,보수일람표!$A:$M,13,FALSE),"")</f>
        <v>0</v>
      </c>
    </row>
    <row r="42" spans="1:24">
      <c r="A42" s="225">
        <v>40</v>
      </c>
      <c r="B42" s="233" t="str">
        <f>IFERROR(IF(F42="06",데이터입력!$AB$8,IF(F42="07",데이터입력!$AD$8,IF(F42="05",데이터입력!$AF$8,데이터입력!$AB$8))),데이터입력!$AB$8)</f>
        <v>00</v>
      </c>
      <c r="C42" s="684" t="str">
        <f>데이터입력!$AC$9</f>
        <v>일반사업[일반]</v>
      </c>
      <c r="D42" s="238" t="str">
        <f>IFERROR(VLOOKUP($A42,데이터입력!$A:$H,4,FALSE),"")</f>
        <v/>
      </c>
      <c r="E42" s="238" t="str">
        <f>IFERROR(VLOOKUP($A42,데이터입력!$A:$H,2,FALSE),"")</f>
        <v/>
      </c>
      <c r="F42" s="238" t="str">
        <f>IFERROR(VLOOKUP($A42,데이터입력!$A:$H,5,FALSE),"")</f>
        <v/>
      </c>
      <c r="G42" s="238" t="str">
        <f>IFERROR(VLOOKUP($A42,데이터입력!$A:$H,6,FALSE),"")</f>
        <v/>
      </c>
      <c r="H42" s="239" t="str">
        <f>IFERROR(VLOOKUP($A42,데이터입력!$A:$L,8,FALSE)+VLOOKUP($A42,데이터입력!$A:$L,9,FALSE)+VLOOKUP($A42,데이터입력!$A:$L,10,FALSE),"")</f>
        <v/>
      </c>
      <c r="I42" s="240" t="s">
        <v>136</v>
      </c>
      <c r="J42" s="240" t="s">
        <v>136</v>
      </c>
      <c r="K42" s="240" t="s">
        <v>136</v>
      </c>
      <c r="M42" s="235" t="str">
        <f>데이터입력!$AB$8</f>
        <v>00</v>
      </c>
      <c r="N42" s="238" t="str">
        <f>데이터입력!$AC$9</f>
        <v>일반사업[일반]</v>
      </c>
      <c r="O42" s="236" t="str">
        <f>IFERROR(VLOOKUP($A42,보수일람표!$A:$M,4,FALSE),"")</f>
        <v/>
      </c>
      <c r="P42" s="236" t="str">
        <f>IFERROR(VLOOKUP($A42,보수일람표!$A:$M,5,FALSE),"")</f>
        <v/>
      </c>
      <c r="Q42" s="923" t="str">
        <f>IFERROR(VLOOKUP($A42,보수일람표!$A:$M,6,FALSE),"")</f>
        <v/>
      </c>
      <c r="R42" s="236" t="str">
        <f>IFERROR(VLOOKUP($A42,보수일람표!$A:$M,7,FALSE),"")</f>
        <v>간접</v>
      </c>
      <c r="S42" s="236"/>
      <c r="T42" s="237">
        <f>IFERROR(VLOOKUP($A42,보수일람표!$A:$M,9,FALSE),"")</f>
        <v>0</v>
      </c>
      <c r="U42" s="237">
        <f>IFERROR(VLOOKUP($A42,보수일람표!$A:$M,10,FALSE),"")</f>
        <v>0</v>
      </c>
      <c r="V42" s="237">
        <f>IFERROR(VLOOKUP($A42,보수일람표!$A:$M,11,FALSE),"")</f>
        <v>0</v>
      </c>
      <c r="W42" s="237">
        <f>IFERROR(VLOOKUP($A42,보수일람표!$A:$M,12,FALSE),"")</f>
        <v>0</v>
      </c>
      <c r="X42" s="237">
        <f>IFERROR(VLOOKUP($A42,보수일람표!$A:$M,13,FALSE),"")</f>
        <v>0</v>
      </c>
    </row>
    <row r="43" spans="1:24">
      <c r="A43" s="225">
        <v>41</v>
      </c>
      <c r="B43" s="233" t="str">
        <f>IFERROR(IF(F43="06",데이터입력!$AB$8,IF(F43="07",데이터입력!$AD$8,IF(F43="05",데이터입력!$AF$8,데이터입력!$AB$8))),데이터입력!$AB$8)</f>
        <v>00</v>
      </c>
      <c r="C43" s="684" t="str">
        <f>데이터입력!$AC$9</f>
        <v>일반사업[일반]</v>
      </c>
      <c r="D43" s="238" t="str">
        <f>IFERROR(VLOOKUP($A43,데이터입력!$A:$H,4,FALSE),"")</f>
        <v/>
      </c>
      <c r="E43" s="238" t="str">
        <f>IFERROR(VLOOKUP($A43,데이터입력!$A:$H,2,FALSE),"")</f>
        <v/>
      </c>
      <c r="F43" s="238" t="str">
        <f>IFERROR(VLOOKUP($A43,데이터입력!$A:$H,5,FALSE),"")</f>
        <v/>
      </c>
      <c r="G43" s="238" t="str">
        <f>IFERROR(VLOOKUP($A43,데이터입력!$A:$H,6,FALSE),"")</f>
        <v/>
      </c>
      <c r="H43" s="239" t="str">
        <f>IFERROR(VLOOKUP($A43,데이터입력!$A:$L,8,FALSE)+VLOOKUP($A43,데이터입력!$A:$L,9,FALSE)+VLOOKUP($A43,데이터입력!$A:$L,10,FALSE),"")</f>
        <v/>
      </c>
      <c r="I43" s="234" t="s">
        <v>136</v>
      </c>
      <c r="J43" s="234" t="s">
        <v>136</v>
      </c>
      <c r="K43" s="234" t="s">
        <v>136</v>
      </c>
      <c r="M43" s="235" t="str">
        <f>데이터입력!$AB$8</f>
        <v>00</v>
      </c>
      <c r="N43" s="238" t="str">
        <f>데이터입력!$AC$9</f>
        <v>일반사업[일반]</v>
      </c>
      <c r="O43" s="236" t="str">
        <f>IFERROR(VLOOKUP($A43,보수일람표!$A:$M,4,FALSE),"")</f>
        <v/>
      </c>
      <c r="P43" s="236" t="str">
        <f>IFERROR(VLOOKUP($A43,보수일람표!$A:$M,5,FALSE),"")</f>
        <v/>
      </c>
      <c r="Q43" s="923" t="str">
        <f>IFERROR(VLOOKUP($A43,보수일람표!$A:$M,6,FALSE),"")</f>
        <v/>
      </c>
      <c r="R43" s="236" t="str">
        <f>IFERROR(VLOOKUP($A43,보수일람표!$A:$M,7,FALSE),"")</f>
        <v>간접</v>
      </c>
      <c r="S43" s="236"/>
      <c r="T43" s="237">
        <f>IFERROR(VLOOKUP($A43,보수일람표!$A:$M,9,FALSE),"")</f>
        <v>0</v>
      </c>
      <c r="U43" s="237">
        <f>IFERROR(VLOOKUP($A43,보수일람표!$A:$M,10,FALSE),"")</f>
        <v>0</v>
      </c>
      <c r="V43" s="237">
        <f>IFERROR(VLOOKUP($A43,보수일람표!$A:$M,11,FALSE),"")</f>
        <v>0</v>
      </c>
      <c r="W43" s="237">
        <f>IFERROR(VLOOKUP($A43,보수일람표!$A:$M,12,FALSE),"")</f>
        <v>0</v>
      </c>
      <c r="X43" s="237">
        <f>IFERROR(VLOOKUP($A43,보수일람표!$A:$M,13,FALSE),"")</f>
        <v>0</v>
      </c>
    </row>
    <row r="44" spans="1:24">
      <c r="A44" s="225">
        <v>42</v>
      </c>
      <c r="B44" s="233" t="str">
        <f>IFERROR(IF(F44="06",데이터입력!$AB$8,IF(F44="07",데이터입력!$AD$8,IF(F44="05",데이터입력!$AF$8,데이터입력!$AB$8))),데이터입력!$AB$8)</f>
        <v>00</v>
      </c>
      <c r="C44" s="684" t="str">
        <f>데이터입력!$AC$9</f>
        <v>일반사업[일반]</v>
      </c>
      <c r="D44" s="238" t="str">
        <f>IFERROR(VLOOKUP($A44,데이터입력!$A:$H,4,FALSE),"")</f>
        <v/>
      </c>
      <c r="E44" s="238" t="str">
        <f>IFERROR(VLOOKUP($A44,데이터입력!$A:$H,2,FALSE),"")</f>
        <v/>
      </c>
      <c r="F44" s="238" t="str">
        <f>IFERROR(VLOOKUP($A44,데이터입력!$A:$H,5,FALSE),"")</f>
        <v/>
      </c>
      <c r="G44" s="238" t="str">
        <f>IFERROR(VLOOKUP($A44,데이터입력!$A:$H,6,FALSE),"")</f>
        <v/>
      </c>
      <c r="H44" s="239" t="str">
        <f>IFERROR(VLOOKUP($A44,데이터입력!$A:$L,8,FALSE)+VLOOKUP($A44,데이터입력!$A:$L,9,FALSE)+VLOOKUP($A44,데이터입력!$A:$L,10,FALSE),"")</f>
        <v/>
      </c>
      <c r="I44" s="240" t="s">
        <v>136</v>
      </c>
      <c r="J44" s="240" t="s">
        <v>136</v>
      </c>
      <c r="K44" s="240" t="s">
        <v>136</v>
      </c>
      <c r="M44" s="235" t="str">
        <f>데이터입력!$AB$8</f>
        <v>00</v>
      </c>
      <c r="N44" s="238" t="str">
        <f>데이터입력!$AC$9</f>
        <v>일반사업[일반]</v>
      </c>
      <c r="O44" s="236" t="str">
        <f>IFERROR(VLOOKUP($A44,보수일람표!$A:$M,4,FALSE),"")</f>
        <v/>
      </c>
      <c r="P44" s="236" t="str">
        <f>IFERROR(VLOOKUP($A44,보수일람표!$A:$M,5,FALSE),"")</f>
        <v/>
      </c>
      <c r="Q44" s="923" t="str">
        <f>IFERROR(VLOOKUP($A44,보수일람표!$A:$M,6,FALSE),"")</f>
        <v/>
      </c>
      <c r="R44" s="236" t="str">
        <f>IFERROR(VLOOKUP($A44,보수일람표!$A:$M,7,FALSE),"")</f>
        <v>간접</v>
      </c>
      <c r="S44" s="236"/>
      <c r="T44" s="237">
        <f>IFERROR(VLOOKUP($A44,보수일람표!$A:$M,9,FALSE),"")</f>
        <v>0</v>
      </c>
      <c r="U44" s="237">
        <f>IFERROR(VLOOKUP($A44,보수일람표!$A:$M,10,FALSE),"")</f>
        <v>0</v>
      </c>
      <c r="V44" s="237">
        <f>IFERROR(VLOOKUP($A44,보수일람표!$A:$M,11,FALSE),"")</f>
        <v>0</v>
      </c>
      <c r="W44" s="237">
        <f>IFERROR(VLOOKUP($A44,보수일람표!$A:$M,12,FALSE),"")</f>
        <v>0</v>
      </c>
      <c r="X44" s="237">
        <f>IFERROR(VLOOKUP($A44,보수일람표!$A:$M,13,FALSE),"")</f>
        <v>0</v>
      </c>
    </row>
    <row r="45" spans="1:24">
      <c r="A45" s="225">
        <v>43</v>
      </c>
      <c r="B45" s="233" t="str">
        <f>IFERROR(IF(F45="06",데이터입력!$AB$8,IF(F45="07",데이터입력!$AD$8,IF(F45="05",데이터입력!$AF$8,데이터입력!$AB$8))),데이터입력!$AB$8)</f>
        <v>00</v>
      </c>
      <c r="C45" s="684" t="str">
        <f>데이터입력!$AC$9</f>
        <v>일반사업[일반]</v>
      </c>
      <c r="D45" s="238" t="str">
        <f>IFERROR(VLOOKUP($A45,데이터입력!$A:$H,4,FALSE),"")</f>
        <v/>
      </c>
      <c r="E45" s="238" t="str">
        <f>IFERROR(VLOOKUP($A45,데이터입력!$A:$H,2,FALSE),"")</f>
        <v/>
      </c>
      <c r="F45" s="238" t="str">
        <f>IFERROR(VLOOKUP($A45,데이터입력!$A:$H,5,FALSE),"")</f>
        <v/>
      </c>
      <c r="G45" s="238" t="str">
        <f>IFERROR(VLOOKUP($A45,데이터입력!$A:$H,6,FALSE),"")</f>
        <v/>
      </c>
      <c r="H45" s="239" t="str">
        <f>IFERROR(VLOOKUP($A45,데이터입력!$A:$L,8,FALSE)+VLOOKUP($A45,데이터입력!$A:$L,9,FALSE)+VLOOKUP($A45,데이터입력!$A:$L,10,FALSE),"")</f>
        <v/>
      </c>
      <c r="I45" s="234" t="s">
        <v>136</v>
      </c>
      <c r="J45" s="234" t="s">
        <v>136</v>
      </c>
      <c r="K45" s="234" t="s">
        <v>136</v>
      </c>
      <c r="M45" s="235" t="str">
        <f>데이터입력!$AB$8</f>
        <v>00</v>
      </c>
      <c r="N45" s="238" t="str">
        <f>데이터입력!$AC$9</f>
        <v>일반사업[일반]</v>
      </c>
      <c r="O45" s="236" t="str">
        <f>IFERROR(VLOOKUP($A45,보수일람표!$A:$M,4,FALSE),"")</f>
        <v/>
      </c>
      <c r="P45" s="236" t="str">
        <f>IFERROR(VLOOKUP($A45,보수일람표!$A:$M,5,FALSE),"")</f>
        <v/>
      </c>
      <c r="Q45" s="923" t="str">
        <f>IFERROR(VLOOKUP($A45,보수일람표!$A:$M,6,FALSE),"")</f>
        <v/>
      </c>
      <c r="R45" s="236" t="str">
        <f>IFERROR(VLOOKUP($A45,보수일람표!$A:$M,7,FALSE),"")</f>
        <v>간접</v>
      </c>
      <c r="S45" s="236"/>
      <c r="T45" s="237">
        <f>IFERROR(VLOOKUP($A45,보수일람표!$A:$M,9,FALSE),"")</f>
        <v>0</v>
      </c>
      <c r="U45" s="237">
        <f>IFERROR(VLOOKUP($A45,보수일람표!$A:$M,10,FALSE),"")</f>
        <v>0</v>
      </c>
      <c r="V45" s="237">
        <f>IFERROR(VLOOKUP($A45,보수일람표!$A:$M,11,FALSE),"")</f>
        <v>0</v>
      </c>
      <c r="W45" s="237">
        <f>IFERROR(VLOOKUP($A45,보수일람표!$A:$M,12,FALSE),"")</f>
        <v>0</v>
      </c>
      <c r="X45" s="237">
        <f>IFERROR(VLOOKUP($A45,보수일람표!$A:$M,13,FALSE),"")</f>
        <v>0</v>
      </c>
    </row>
    <row r="46" spans="1:24">
      <c r="A46" s="225">
        <v>44</v>
      </c>
      <c r="B46" s="233" t="str">
        <f>IFERROR(IF(F46="06",데이터입력!$AB$8,IF(F46="07",데이터입력!$AD$8,IF(F46="05",데이터입력!$AF$8,데이터입력!$AB$8))),데이터입력!$AB$8)</f>
        <v>00</v>
      </c>
      <c r="C46" s="684" t="str">
        <f>데이터입력!$AC$9</f>
        <v>일반사업[일반]</v>
      </c>
      <c r="D46" s="238" t="str">
        <f>IFERROR(VLOOKUP($A46,데이터입력!$A:$H,4,FALSE),"")</f>
        <v/>
      </c>
      <c r="E46" s="238" t="str">
        <f>IFERROR(VLOOKUP($A46,데이터입력!$A:$H,2,FALSE),"")</f>
        <v/>
      </c>
      <c r="F46" s="238" t="str">
        <f>IFERROR(VLOOKUP($A46,데이터입력!$A:$H,5,FALSE),"")</f>
        <v/>
      </c>
      <c r="G46" s="238" t="str">
        <f>IFERROR(VLOOKUP($A46,데이터입력!$A:$H,6,FALSE),"")</f>
        <v/>
      </c>
      <c r="H46" s="239" t="str">
        <f>IFERROR(VLOOKUP($A46,데이터입력!$A:$L,8,FALSE)+VLOOKUP($A46,데이터입력!$A:$L,9,FALSE)+VLOOKUP($A46,데이터입력!$A:$L,10,FALSE),"")</f>
        <v/>
      </c>
      <c r="I46" s="240" t="s">
        <v>136</v>
      </c>
      <c r="J46" s="240" t="s">
        <v>136</v>
      </c>
      <c r="K46" s="240" t="s">
        <v>136</v>
      </c>
      <c r="M46" s="235" t="str">
        <f>데이터입력!$AB$8</f>
        <v>00</v>
      </c>
      <c r="N46" s="238" t="str">
        <f>데이터입력!$AC$9</f>
        <v>일반사업[일반]</v>
      </c>
      <c r="O46" s="236" t="str">
        <f>IFERROR(VLOOKUP($A46,보수일람표!$A:$M,4,FALSE),"")</f>
        <v/>
      </c>
      <c r="P46" s="236" t="str">
        <f>IFERROR(VLOOKUP($A46,보수일람표!$A:$M,5,FALSE),"")</f>
        <v/>
      </c>
      <c r="Q46" s="923" t="str">
        <f>IFERROR(VLOOKUP($A46,보수일람표!$A:$M,6,FALSE),"")</f>
        <v/>
      </c>
      <c r="R46" s="236" t="str">
        <f>IFERROR(VLOOKUP($A46,보수일람표!$A:$M,7,FALSE),"")</f>
        <v>간접</v>
      </c>
      <c r="S46" s="236"/>
      <c r="T46" s="237">
        <f>IFERROR(VLOOKUP($A46,보수일람표!$A:$M,9,FALSE),"")</f>
        <v>0</v>
      </c>
      <c r="U46" s="237">
        <f>IFERROR(VLOOKUP($A46,보수일람표!$A:$M,10,FALSE),"")</f>
        <v>0</v>
      </c>
      <c r="V46" s="237">
        <f>IFERROR(VLOOKUP($A46,보수일람표!$A:$M,11,FALSE),"")</f>
        <v>0</v>
      </c>
      <c r="W46" s="237">
        <f>IFERROR(VLOOKUP($A46,보수일람표!$A:$M,12,FALSE),"")</f>
        <v>0</v>
      </c>
      <c r="X46" s="237">
        <f>IFERROR(VLOOKUP($A46,보수일람표!$A:$M,13,FALSE),"")</f>
        <v>0</v>
      </c>
    </row>
    <row r="47" spans="1:24">
      <c r="A47" s="225">
        <v>45</v>
      </c>
      <c r="B47" s="233" t="str">
        <f>IFERROR(IF(F47="06",데이터입력!$AB$8,IF(F47="07",데이터입력!$AD$8,IF(F47="05",데이터입력!$AF$8,데이터입력!$AB$8))),데이터입력!$AB$8)</f>
        <v>00</v>
      </c>
      <c r="C47" s="684" t="str">
        <f>데이터입력!$AC$9</f>
        <v>일반사업[일반]</v>
      </c>
      <c r="D47" s="238" t="str">
        <f>IFERROR(VLOOKUP($A47,데이터입력!$A:$H,4,FALSE),"")</f>
        <v/>
      </c>
      <c r="E47" s="238" t="str">
        <f>IFERROR(VLOOKUP($A47,데이터입력!$A:$H,2,FALSE),"")</f>
        <v/>
      </c>
      <c r="F47" s="238" t="str">
        <f>IFERROR(VLOOKUP($A47,데이터입력!$A:$H,5,FALSE),"")</f>
        <v/>
      </c>
      <c r="G47" s="238" t="str">
        <f>IFERROR(VLOOKUP($A47,데이터입력!$A:$H,6,FALSE),"")</f>
        <v/>
      </c>
      <c r="H47" s="239" t="str">
        <f>IFERROR(VLOOKUP($A47,데이터입력!$A:$L,8,FALSE)+VLOOKUP($A47,데이터입력!$A:$L,9,FALSE)+VLOOKUP($A47,데이터입력!$A:$L,10,FALSE),"")</f>
        <v/>
      </c>
      <c r="I47" s="234" t="s">
        <v>136</v>
      </c>
      <c r="J47" s="234" t="s">
        <v>136</v>
      </c>
      <c r="K47" s="234" t="s">
        <v>136</v>
      </c>
      <c r="M47" s="235" t="str">
        <f>데이터입력!$AB$8</f>
        <v>00</v>
      </c>
      <c r="N47" s="238" t="str">
        <f>데이터입력!$AC$9</f>
        <v>일반사업[일반]</v>
      </c>
      <c r="O47" s="236" t="str">
        <f>IFERROR(VLOOKUP($A47,보수일람표!$A:$M,4,FALSE),"")</f>
        <v/>
      </c>
      <c r="P47" s="236" t="str">
        <f>IFERROR(VLOOKUP($A47,보수일람표!$A:$M,5,FALSE),"")</f>
        <v/>
      </c>
      <c r="Q47" s="923" t="str">
        <f>IFERROR(VLOOKUP($A47,보수일람표!$A:$M,6,FALSE),"")</f>
        <v/>
      </c>
      <c r="R47" s="236" t="str">
        <f>IFERROR(VLOOKUP($A47,보수일람표!$A:$M,7,FALSE),"")</f>
        <v>간접</v>
      </c>
      <c r="S47" s="236"/>
      <c r="T47" s="237">
        <f>IFERROR(VLOOKUP($A47,보수일람표!$A:$M,9,FALSE),"")</f>
        <v>0</v>
      </c>
      <c r="U47" s="237">
        <f>IFERROR(VLOOKUP($A47,보수일람표!$A:$M,10,FALSE),"")</f>
        <v>0</v>
      </c>
      <c r="V47" s="237">
        <f>IFERROR(VLOOKUP($A47,보수일람표!$A:$M,11,FALSE),"")</f>
        <v>0</v>
      </c>
      <c r="W47" s="237">
        <f>IFERROR(VLOOKUP($A47,보수일람표!$A:$M,12,FALSE),"")</f>
        <v>0</v>
      </c>
      <c r="X47" s="237">
        <f>IFERROR(VLOOKUP($A47,보수일람표!$A:$M,13,FALSE),"")</f>
        <v>0</v>
      </c>
    </row>
    <row r="48" spans="1:24">
      <c r="A48" s="225">
        <v>46</v>
      </c>
      <c r="B48" s="233" t="str">
        <f>IFERROR(IF(F48="06",데이터입력!$AB$8,IF(F48="07",데이터입력!$AD$8,IF(F48="05",데이터입력!$AF$8,데이터입력!$AB$8))),데이터입력!$AB$8)</f>
        <v>00</v>
      </c>
      <c r="C48" s="684" t="str">
        <f>데이터입력!$AC$9</f>
        <v>일반사업[일반]</v>
      </c>
      <c r="D48" s="238" t="str">
        <f>IFERROR(VLOOKUP($A48,데이터입력!$A:$H,4,FALSE),"")</f>
        <v/>
      </c>
      <c r="E48" s="238" t="str">
        <f>IFERROR(VLOOKUP($A48,데이터입력!$A:$H,2,FALSE),"")</f>
        <v/>
      </c>
      <c r="F48" s="238" t="str">
        <f>IFERROR(VLOOKUP($A48,데이터입력!$A:$H,5,FALSE),"")</f>
        <v/>
      </c>
      <c r="G48" s="238" t="str">
        <f>IFERROR(VLOOKUP($A48,데이터입력!$A:$H,6,FALSE),"")</f>
        <v/>
      </c>
      <c r="H48" s="239" t="str">
        <f>IFERROR(VLOOKUP($A48,데이터입력!$A:$L,8,FALSE)+VLOOKUP($A48,데이터입력!$A:$L,9,FALSE)+VLOOKUP($A48,데이터입력!$A:$L,10,FALSE),"")</f>
        <v/>
      </c>
      <c r="I48" s="240" t="s">
        <v>136</v>
      </c>
      <c r="J48" s="240" t="s">
        <v>136</v>
      </c>
      <c r="K48" s="240" t="s">
        <v>136</v>
      </c>
      <c r="M48" s="235" t="str">
        <f>데이터입력!$AB$8</f>
        <v>00</v>
      </c>
      <c r="N48" s="238" t="str">
        <f>데이터입력!$AC$9</f>
        <v>일반사업[일반]</v>
      </c>
      <c r="O48" s="236" t="str">
        <f>IFERROR(VLOOKUP($A48,보수일람표!$A:$M,4,FALSE),"")</f>
        <v/>
      </c>
      <c r="P48" s="236" t="str">
        <f>IFERROR(VLOOKUP($A48,보수일람표!$A:$M,5,FALSE),"")</f>
        <v/>
      </c>
      <c r="Q48" s="923" t="str">
        <f>IFERROR(VLOOKUP($A48,보수일람표!$A:$M,6,FALSE),"")</f>
        <v/>
      </c>
      <c r="R48" s="236" t="str">
        <f>IFERROR(VLOOKUP($A48,보수일람표!$A:$M,7,FALSE),"")</f>
        <v>간접</v>
      </c>
      <c r="S48" s="236"/>
      <c r="T48" s="237">
        <f>IFERROR(VLOOKUP($A48,보수일람표!$A:$M,9,FALSE),"")</f>
        <v>0</v>
      </c>
      <c r="U48" s="237">
        <f>IFERROR(VLOOKUP($A48,보수일람표!$A:$M,10,FALSE),"")</f>
        <v>0</v>
      </c>
      <c r="V48" s="237">
        <f>IFERROR(VLOOKUP($A48,보수일람표!$A:$M,11,FALSE),"")</f>
        <v>0</v>
      </c>
      <c r="W48" s="237">
        <f>IFERROR(VLOOKUP($A48,보수일람표!$A:$M,12,FALSE),"")</f>
        <v>0</v>
      </c>
      <c r="X48" s="237">
        <f>IFERROR(VLOOKUP($A48,보수일람표!$A:$M,13,FALSE),"")</f>
        <v>0</v>
      </c>
    </row>
    <row r="49" spans="1:24">
      <c r="A49" s="225">
        <v>47</v>
      </c>
      <c r="B49" s="233" t="str">
        <f>IFERROR(IF(F49="06",데이터입력!$AB$8,IF(F49="07",데이터입력!$AD$8,IF(F49="05",데이터입력!$AF$8,데이터입력!$AB$8))),데이터입력!$AB$8)</f>
        <v>00</v>
      </c>
      <c r="C49" s="684" t="str">
        <f>데이터입력!$AC$9</f>
        <v>일반사업[일반]</v>
      </c>
      <c r="D49" s="238" t="str">
        <f>IFERROR(VLOOKUP($A49,데이터입력!$A:$H,4,FALSE),"")</f>
        <v/>
      </c>
      <c r="E49" s="238" t="str">
        <f>IFERROR(VLOOKUP($A49,데이터입력!$A:$H,2,FALSE),"")</f>
        <v/>
      </c>
      <c r="F49" s="238" t="str">
        <f>IFERROR(VLOOKUP($A49,데이터입력!$A:$H,5,FALSE),"")</f>
        <v/>
      </c>
      <c r="G49" s="238" t="str">
        <f>IFERROR(VLOOKUP($A49,데이터입력!$A:$H,6,FALSE),"")</f>
        <v/>
      </c>
      <c r="H49" s="239" t="str">
        <f>IFERROR(VLOOKUP($A49,데이터입력!$A:$L,8,FALSE)+VLOOKUP($A49,데이터입력!$A:$L,9,FALSE)+VLOOKUP($A49,데이터입력!$A:$L,10,FALSE),"")</f>
        <v/>
      </c>
      <c r="I49" s="234" t="s">
        <v>136</v>
      </c>
      <c r="J49" s="234" t="s">
        <v>136</v>
      </c>
      <c r="K49" s="234" t="s">
        <v>136</v>
      </c>
      <c r="M49" s="235" t="str">
        <f>데이터입력!$AB$8</f>
        <v>00</v>
      </c>
      <c r="N49" s="238" t="str">
        <f>데이터입력!$AC$9</f>
        <v>일반사업[일반]</v>
      </c>
      <c r="O49" s="236" t="str">
        <f>IFERROR(VLOOKUP($A49,보수일람표!$A:$M,4,FALSE),"")</f>
        <v/>
      </c>
      <c r="P49" s="236" t="str">
        <f>IFERROR(VLOOKUP($A49,보수일람표!$A:$M,5,FALSE),"")</f>
        <v/>
      </c>
      <c r="Q49" s="923" t="str">
        <f>IFERROR(VLOOKUP($A49,보수일람표!$A:$M,6,FALSE),"")</f>
        <v/>
      </c>
      <c r="R49" s="236" t="str">
        <f>IFERROR(VLOOKUP($A49,보수일람표!$A:$M,7,FALSE),"")</f>
        <v>간접</v>
      </c>
      <c r="S49" s="236"/>
      <c r="T49" s="237">
        <f>IFERROR(VLOOKUP($A49,보수일람표!$A:$M,9,FALSE),"")</f>
        <v>0</v>
      </c>
      <c r="U49" s="237">
        <f>IFERROR(VLOOKUP($A49,보수일람표!$A:$M,10,FALSE),"")</f>
        <v>0</v>
      </c>
      <c r="V49" s="237">
        <f>IFERROR(VLOOKUP($A49,보수일람표!$A:$M,11,FALSE),"")</f>
        <v>0</v>
      </c>
      <c r="W49" s="237">
        <f>IFERROR(VLOOKUP($A49,보수일람표!$A:$M,12,FALSE),"")</f>
        <v>0</v>
      </c>
      <c r="X49" s="237">
        <f>IFERROR(VLOOKUP($A49,보수일람표!$A:$M,13,FALSE),"")</f>
        <v>0</v>
      </c>
    </row>
    <row r="50" spans="1:24">
      <c r="A50" s="225">
        <v>48</v>
      </c>
      <c r="B50" s="233" t="str">
        <f>IFERROR(IF(F50="06",데이터입력!$AB$8,IF(F50="07",데이터입력!$AD$8,IF(F50="05",데이터입력!$AF$8,데이터입력!$AB$8))),데이터입력!$AB$8)</f>
        <v>00</v>
      </c>
      <c r="C50" s="684" t="str">
        <f>데이터입력!$AC$9</f>
        <v>일반사업[일반]</v>
      </c>
      <c r="D50" s="238" t="str">
        <f>IFERROR(VLOOKUP($A50,데이터입력!$A:$H,4,FALSE),"")</f>
        <v/>
      </c>
      <c r="E50" s="238" t="str">
        <f>IFERROR(VLOOKUP($A50,데이터입력!$A:$H,2,FALSE),"")</f>
        <v/>
      </c>
      <c r="F50" s="238" t="str">
        <f>IFERROR(VLOOKUP($A50,데이터입력!$A:$H,5,FALSE),"")</f>
        <v/>
      </c>
      <c r="G50" s="238" t="str">
        <f>IFERROR(VLOOKUP($A50,데이터입력!$A:$H,6,FALSE),"")</f>
        <v/>
      </c>
      <c r="H50" s="239" t="str">
        <f>IFERROR(VLOOKUP($A50,데이터입력!$A:$L,8,FALSE)+VLOOKUP($A50,데이터입력!$A:$L,9,FALSE)+VLOOKUP($A50,데이터입력!$A:$L,10,FALSE),"")</f>
        <v/>
      </c>
      <c r="I50" s="240" t="s">
        <v>136</v>
      </c>
      <c r="J50" s="240" t="s">
        <v>136</v>
      </c>
      <c r="K50" s="240" t="s">
        <v>136</v>
      </c>
      <c r="M50" s="235" t="str">
        <f>데이터입력!$AB$8</f>
        <v>00</v>
      </c>
      <c r="N50" s="238" t="str">
        <f>데이터입력!$AC$9</f>
        <v>일반사업[일반]</v>
      </c>
      <c r="O50" s="236" t="str">
        <f>IFERROR(VLOOKUP($A50,보수일람표!$A:$M,4,FALSE),"")</f>
        <v/>
      </c>
      <c r="P50" s="236" t="str">
        <f>IFERROR(VLOOKUP($A50,보수일람표!$A:$M,5,FALSE),"")</f>
        <v/>
      </c>
      <c r="Q50" s="923" t="str">
        <f>IFERROR(VLOOKUP($A50,보수일람표!$A:$M,6,FALSE),"")</f>
        <v/>
      </c>
      <c r="R50" s="236" t="str">
        <f>IFERROR(VLOOKUP($A50,보수일람표!$A:$M,7,FALSE),"")</f>
        <v>간접</v>
      </c>
      <c r="S50" s="236"/>
      <c r="T50" s="237">
        <f>IFERROR(VLOOKUP($A50,보수일람표!$A:$M,9,FALSE),"")</f>
        <v>0</v>
      </c>
      <c r="U50" s="237">
        <f>IFERROR(VLOOKUP($A50,보수일람표!$A:$M,10,FALSE),"")</f>
        <v>0</v>
      </c>
      <c r="V50" s="237">
        <f>IFERROR(VLOOKUP($A50,보수일람표!$A:$M,11,FALSE),"")</f>
        <v>0</v>
      </c>
      <c r="W50" s="237">
        <f>IFERROR(VLOOKUP($A50,보수일람표!$A:$M,12,FALSE),"")</f>
        <v>0</v>
      </c>
      <c r="X50" s="237">
        <f>IFERROR(VLOOKUP($A50,보수일람표!$A:$M,13,FALSE),"")</f>
        <v>0</v>
      </c>
    </row>
    <row r="51" spans="1:24">
      <c r="A51" s="225">
        <v>49</v>
      </c>
      <c r="B51" s="233" t="str">
        <f>IFERROR(IF(F51="06",데이터입력!$AB$8,IF(F51="07",데이터입력!$AD$8,IF(F51="05",데이터입력!$AF$8,데이터입력!$AB$8))),데이터입력!$AB$8)</f>
        <v>00</v>
      </c>
      <c r="C51" s="684" t="str">
        <f>데이터입력!$AC$9</f>
        <v>일반사업[일반]</v>
      </c>
      <c r="D51" s="238" t="str">
        <f>IFERROR(VLOOKUP($A51,데이터입력!$A:$H,4,FALSE),"")</f>
        <v/>
      </c>
      <c r="E51" s="238" t="str">
        <f>IFERROR(VLOOKUP($A51,데이터입력!$A:$H,2,FALSE),"")</f>
        <v/>
      </c>
      <c r="F51" s="238" t="str">
        <f>IFERROR(VLOOKUP($A51,데이터입력!$A:$H,5,FALSE),"")</f>
        <v/>
      </c>
      <c r="G51" s="238" t="str">
        <f>IFERROR(VLOOKUP($A51,데이터입력!$A:$H,6,FALSE),"")</f>
        <v/>
      </c>
      <c r="H51" s="239" t="str">
        <f>IFERROR(VLOOKUP($A51,데이터입력!$A:$L,8,FALSE)+VLOOKUP($A51,데이터입력!$A:$L,9,FALSE)+VLOOKUP($A51,데이터입력!$A:$L,10,FALSE),"")</f>
        <v/>
      </c>
      <c r="I51" s="234" t="s">
        <v>136</v>
      </c>
      <c r="J51" s="234" t="s">
        <v>136</v>
      </c>
      <c r="K51" s="234" t="s">
        <v>136</v>
      </c>
      <c r="M51" s="235" t="str">
        <f>데이터입력!$AB$8</f>
        <v>00</v>
      </c>
      <c r="N51" s="238" t="str">
        <f>데이터입력!$AC$9</f>
        <v>일반사업[일반]</v>
      </c>
      <c r="O51" s="236" t="str">
        <f>IFERROR(VLOOKUP($A51,보수일람표!$A:$M,4,FALSE),"")</f>
        <v/>
      </c>
      <c r="P51" s="236" t="str">
        <f>IFERROR(VLOOKUP($A51,보수일람표!$A:$M,5,FALSE),"")</f>
        <v/>
      </c>
      <c r="Q51" s="923" t="str">
        <f>IFERROR(VLOOKUP($A51,보수일람표!$A:$M,6,FALSE),"")</f>
        <v/>
      </c>
      <c r="R51" s="236" t="str">
        <f>IFERROR(VLOOKUP($A51,보수일람표!$A:$M,7,FALSE),"")</f>
        <v>간접</v>
      </c>
      <c r="S51" s="236"/>
      <c r="T51" s="237">
        <f>IFERROR(VLOOKUP($A51,보수일람표!$A:$M,9,FALSE),"")</f>
        <v>0</v>
      </c>
      <c r="U51" s="237">
        <f>IFERROR(VLOOKUP($A51,보수일람표!$A:$M,10,FALSE),"")</f>
        <v>0</v>
      </c>
      <c r="V51" s="237">
        <f>IFERROR(VLOOKUP($A51,보수일람표!$A:$M,11,FALSE),"")</f>
        <v>0</v>
      </c>
      <c r="W51" s="237">
        <f>IFERROR(VLOOKUP($A51,보수일람표!$A:$M,12,FALSE),"")</f>
        <v>0</v>
      </c>
      <c r="X51" s="237">
        <f>IFERROR(VLOOKUP($A51,보수일람표!$A:$M,13,FALSE),"")</f>
        <v>0</v>
      </c>
    </row>
    <row r="52" spans="1:24">
      <c r="A52" s="225">
        <v>50</v>
      </c>
      <c r="B52" s="233" t="str">
        <f>IFERROR(IF(F52="06",데이터입력!$AB$8,IF(F52="07",데이터입력!$AD$8,IF(F52="05",데이터입력!$AF$8,데이터입력!$AB$8))),데이터입력!$AB$8)</f>
        <v>00</v>
      </c>
      <c r="C52" s="684" t="str">
        <f>데이터입력!$AC$9</f>
        <v>일반사업[일반]</v>
      </c>
      <c r="D52" s="238" t="str">
        <f>IFERROR(VLOOKUP($A52,데이터입력!$A:$H,4,FALSE),"")</f>
        <v/>
      </c>
      <c r="E52" s="238" t="str">
        <f>IFERROR(VLOOKUP($A52,데이터입력!$A:$H,2,FALSE),"")</f>
        <v/>
      </c>
      <c r="F52" s="238" t="str">
        <f>IFERROR(VLOOKUP($A52,데이터입력!$A:$H,5,FALSE),"")</f>
        <v/>
      </c>
      <c r="G52" s="238" t="str">
        <f>IFERROR(VLOOKUP($A52,데이터입력!$A:$H,6,FALSE),"")</f>
        <v/>
      </c>
      <c r="H52" s="239" t="str">
        <f>IFERROR(VLOOKUP($A52,데이터입력!$A:$L,8,FALSE)+VLOOKUP($A52,데이터입력!$A:$L,9,FALSE)+VLOOKUP($A52,데이터입력!$A:$L,10,FALSE),"")</f>
        <v/>
      </c>
      <c r="I52" s="240" t="s">
        <v>136</v>
      </c>
      <c r="J52" s="240" t="s">
        <v>136</v>
      </c>
      <c r="K52" s="240" t="s">
        <v>136</v>
      </c>
      <c r="M52" s="235" t="str">
        <f>데이터입력!$AB$8</f>
        <v>00</v>
      </c>
      <c r="N52" s="238" t="str">
        <f>데이터입력!$AC$9</f>
        <v>일반사업[일반]</v>
      </c>
      <c r="O52" s="236" t="str">
        <f>IFERROR(VLOOKUP($A52,보수일람표!$A:$M,4,FALSE),"")</f>
        <v/>
      </c>
      <c r="P52" s="236" t="str">
        <f>IFERROR(VLOOKUP($A52,보수일람표!$A:$M,5,FALSE),"")</f>
        <v/>
      </c>
      <c r="Q52" s="923" t="str">
        <f>IFERROR(VLOOKUP($A52,보수일람표!$A:$M,6,FALSE),"")</f>
        <v/>
      </c>
      <c r="R52" s="236" t="str">
        <f>IFERROR(VLOOKUP($A52,보수일람표!$A:$M,7,FALSE),"")</f>
        <v>간접</v>
      </c>
      <c r="S52" s="236"/>
      <c r="T52" s="237">
        <f>IFERROR(VLOOKUP($A52,보수일람표!$A:$M,9,FALSE),"")</f>
        <v>0</v>
      </c>
      <c r="U52" s="237">
        <f>IFERROR(VLOOKUP($A52,보수일람표!$A:$M,10,FALSE),"")</f>
        <v>0</v>
      </c>
      <c r="V52" s="237">
        <f>IFERROR(VLOOKUP($A52,보수일람표!$A:$M,11,FALSE),"")</f>
        <v>0</v>
      </c>
      <c r="W52" s="237">
        <f>IFERROR(VLOOKUP($A52,보수일람표!$A:$M,12,FALSE),"")</f>
        <v>0</v>
      </c>
      <c r="X52" s="237">
        <f>IFERROR(VLOOKUP($A52,보수일람표!$A:$M,13,FALSE),"")</f>
        <v>0</v>
      </c>
    </row>
    <row r="53" spans="1:24">
      <c r="A53" s="225">
        <v>51</v>
      </c>
      <c r="B53" s="233" t="str">
        <f>IFERROR(IF(F53="06",데이터입력!$AB$8,IF(F53="07",데이터입력!$AD$8,IF(F53="05",데이터입력!$AF$8,데이터입력!$AB$8))),데이터입력!$AB$8)</f>
        <v>00</v>
      </c>
      <c r="C53" s="684" t="str">
        <f>데이터입력!$AC$9</f>
        <v>일반사업[일반]</v>
      </c>
      <c r="D53" s="238" t="str">
        <f>IFERROR(VLOOKUP($A53,데이터입력!$A:$H,4,FALSE),"")</f>
        <v/>
      </c>
      <c r="E53" s="238" t="str">
        <f>IFERROR(VLOOKUP($A53,데이터입력!$A:$H,2,FALSE),"")</f>
        <v/>
      </c>
      <c r="F53" s="238" t="str">
        <f>IFERROR(VLOOKUP($A53,데이터입력!$A:$H,5,FALSE),"")</f>
        <v/>
      </c>
      <c r="G53" s="238" t="str">
        <f>IFERROR(VLOOKUP($A53,데이터입력!$A:$H,6,FALSE),"")</f>
        <v/>
      </c>
      <c r="H53" s="239" t="str">
        <f>IFERROR(VLOOKUP($A53,데이터입력!$A:$L,8,FALSE)+VLOOKUP($A53,데이터입력!$A:$L,9,FALSE)+VLOOKUP($A53,데이터입력!$A:$L,10,FALSE),"")</f>
        <v/>
      </c>
      <c r="I53" s="234" t="s">
        <v>136</v>
      </c>
      <c r="J53" s="234" t="s">
        <v>136</v>
      </c>
      <c r="K53" s="234" t="s">
        <v>136</v>
      </c>
      <c r="M53" s="235" t="str">
        <f>데이터입력!$AB$8</f>
        <v>00</v>
      </c>
      <c r="N53" s="238" t="str">
        <f>데이터입력!$AC$9</f>
        <v>일반사업[일반]</v>
      </c>
      <c r="O53" s="236" t="str">
        <f>IFERROR(VLOOKUP($A53,보수일람표!$A:$M,4,FALSE),"")</f>
        <v>신정숙</v>
      </c>
      <c r="P53" s="236" t="str">
        <f>IFERROR(VLOOKUP($A53,보수일람표!$A:$M,5,FALSE),"")</f>
        <v>사회복지사</v>
      </c>
      <c r="Q53" s="923" t="str">
        <f>IFERROR(VLOOKUP($A53,보수일람표!$A:$M,6,FALSE),"")</f>
        <v>재가노인복지시설 주야간보호</v>
      </c>
      <c r="R53" s="236" t="str">
        <f>IFERROR(VLOOKUP($A53,보수일람표!$A:$M,7,FALSE),"")</f>
        <v>직접</v>
      </c>
      <c r="S53" s="236"/>
      <c r="T53" s="237">
        <f>IFERROR(VLOOKUP($A53,보수일람표!$A:$M,9,FALSE),"")</f>
        <v>25200000</v>
      </c>
      <c r="U53" s="237">
        <f>IFERROR(VLOOKUP($A53,보수일람표!$A:$M,10,FALSE),"")</f>
        <v>0</v>
      </c>
      <c r="V53" s="237">
        <f>IFERROR(VLOOKUP($A53,보수일람표!$A:$M,11,FALSE),"")</f>
        <v>0</v>
      </c>
      <c r="W53" s="237">
        <f>IFERROR(VLOOKUP($A53,보수일람표!$A:$M,12,FALSE),"")</f>
        <v>2100000</v>
      </c>
      <c r="X53" s="237">
        <f>IFERROR(VLOOKUP($A53,보수일람표!$A:$M,13,FALSE),"")</f>
        <v>2635730</v>
      </c>
    </row>
    <row r="54" spans="1:24">
      <c r="A54" s="225">
        <v>52</v>
      </c>
      <c r="B54" s="233" t="str">
        <f>IFERROR(IF(F54="06",데이터입력!$AB$8,IF(F54="07",데이터입력!$AD$8,IF(F54="05",데이터입력!$AF$8,데이터입력!$AB$8))),데이터입력!$AB$8)</f>
        <v>00</v>
      </c>
      <c r="C54" s="684" t="str">
        <f>데이터입력!$AC$9</f>
        <v>일반사업[일반]</v>
      </c>
      <c r="D54" s="238" t="str">
        <f>IFERROR(VLOOKUP($A54,데이터입력!$A:$H,4,FALSE),"")</f>
        <v/>
      </c>
      <c r="E54" s="238" t="str">
        <f>IFERROR(VLOOKUP($A54,데이터입력!$A:$H,2,FALSE),"")</f>
        <v/>
      </c>
      <c r="F54" s="238" t="str">
        <f>IFERROR(VLOOKUP($A54,데이터입력!$A:$H,5,FALSE),"")</f>
        <v/>
      </c>
      <c r="G54" s="238" t="str">
        <f>IFERROR(VLOOKUP($A54,데이터입력!$A:$H,6,FALSE),"")</f>
        <v/>
      </c>
      <c r="H54" s="239" t="str">
        <f>IFERROR(VLOOKUP($A54,데이터입력!$A:$L,8,FALSE)+VLOOKUP($A54,데이터입력!$A:$L,9,FALSE)+VLOOKUP($A54,데이터입력!$A:$L,10,FALSE),"")</f>
        <v/>
      </c>
      <c r="I54" s="240" t="s">
        <v>136</v>
      </c>
      <c r="J54" s="240" t="s">
        <v>136</v>
      </c>
      <c r="K54" s="240" t="s">
        <v>136</v>
      </c>
      <c r="M54" s="235" t="str">
        <f>데이터입력!$AB$8</f>
        <v>00</v>
      </c>
      <c r="N54" s="238" t="str">
        <f>데이터입력!$AC$9</f>
        <v>일반사업[일반]</v>
      </c>
      <c r="O54" s="236" t="str">
        <f>IFERROR(VLOOKUP($A54,보수일람표!$A:$M,4,FALSE),"")</f>
        <v>최선옥</v>
      </c>
      <c r="P54" s="236" t="str">
        <f>IFERROR(VLOOKUP($A54,보수일람표!$A:$M,5,FALSE),"")</f>
        <v>간호조무사</v>
      </c>
      <c r="Q54" s="923" t="str">
        <f>IFERROR(VLOOKUP($A54,보수일람표!$A:$M,6,FALSE),"")</f>
        <v>재가노인복지시설 주야간보호</v>
      </c>
      <c r="R54" s="236" t="str">
        <f>IFERROR(VLOOKUP($A54,보수일람표!$A:$M,7,FALSE),"")</f>
        <v>직접</v>
      </c>
      <c r="S54" s="236"/>
      <c r="T54" s="237">
        <f>IFERROR(VLOOKUP($A54,보수일람표!$A:$M,9,FALSE),"")</f>
        <v>25200000</v>
      </c>
      <c r="U54" s="237">
        <f>IFERROR(VLOOKUP($A54,보수일람표!$A:$M,10,FALSE),"")</f>
        <v>0</v>
      </c>
      <c r="V54" s="237">
        <f>IFERROR(VLOOKUP($A54,보수일람표!$A:$M,11,FALSE),"")</f>
        <v>0</v>
      </c>
      <c r="W54" s="237">
        <f>IFERROR(VLOOKUP($A54,보수일람표!$A:$M,12,FALSE),"")</f>
        <v>2100000</v>
      </c>
      <c r="X54" s="237">
        <f>IFERROR(VLOOKUP($A54,보수일람표!$A:$M,13,FALSE),"")</f>
        <v>2635680</v>
      </c>
    </row>
    <row r="55" spans="1:24" ht="24">
      <c r="A55" s="225">
        <v>53</v>
      </c>
      <c r="B55" s="233" t="str">
        <f>IFERROR(IF(F55="06",데이터입력!$AB$8,IF(F55="07",데이터입력!$AD$8,IF(F55="05",데이터입력!$AF$8,데이터입력!$AB$8))),데이터입력!$AB$8)</f>
        <v>00</v>
      </c>
      <c r="C55" s="684" t="str">
        <f>데이터입력!$AC$9</f>
        <v>일반사업[일반]</v>
      </c>
      <c r="D55" s="238" t="str">
        <f>IFERROR(VLOOKUP($A55,데이터입력!$A:$H,4,FALSE),"")</f>
        <v/>
      </c>
      <c r="E55" s="238" t="str">
        <f>IFERROR(VLOOKUP($A55,데이터입력!$A:$H,2,FALSE),"")</f>
        <v/>
      </c>
      <c r="F55" s="238" t="str">
        <f>IFERROR(VLOOKUP($A55,데이터입력!$A:$H,5,FALSE),"")</f>
        <v/>
      </c>
      <c r="G55" s="238" t="str">
        <f>IFERROR(VLOOKUP($A55,데이터입력!$A:$H,6,FALSE),"")</f>
        <v/>
      </c>
      <c r="H55" s="239" t="str">
        <f>IFERROR(VLOOKUP($A55,데이터입력!$A:$L,8,FALSE)+VLOOKUP($A55,데이터입력!$A:$L,9,FALSE)+VLOOKUP($A55,데이터입력!$A:$L,10,FALSE),"")</f>
        <v/>
      </c>
      <c r="I55" s="234" t="s">
        <v>136</v>
      </c>
      <c r="J55" s="234" t="s">
        <v>136</v>
      </c>
      <c r="K55" s="234" t="s">
        <v>136</v>
      </c>
      <c r="M55" s="235" t="str">
        <f>데이터입력!$AB$8</f>
        <v>00</v>
      </c>
      <c r="N55" s="238" t="str">
        <f>데이터입력!$AC$9</f>
        <v>일반사업[일반]</v>
      </c>
      <c r="O55" s="236" t="str">
        <f>IFERROR(VLOOKUP($A55,보수일람표!$A:$M,4,FALSE),"")</f>
        <v>강태술</v>
      </c>
      <c r="P55" s="236" t="str">
        <f>IFERROR(VLOOKUP($A55,보수일람표!$A:$M,5,FALSE),"")</f>
        <v>요양보호사 1급</v>
      </c>
      <c r="Q55" s="923" t="str">
        <f>IFERROR(VLOOKUP($A55,보수일람표!$A:$M,6,FALSE),"")</f>
        <v>재가노인복지시설 주야간보호</v>
      </c>
      <c r="R55" s="236" t="str">
        <f>IFERROR(VLOOKUP($A55,보수일람표!$A:$M,7,FALSE),"")</f>
        <v>직접</v>
      </c>
      <c r="S55" s="236"/>
      <c r="T55" s="237">
        <f>IFERROR(VLOOKUP($A55,보수일람표!$A:$M,9,FALSE),"")</f>
        <v>25512000</v>
      </c>
      <c r="U55" s="237">
        <f>IFERROR(VLOOKUP($A55,보수일람표!$A:$M,10,FALSE),"")</f>
        <v>0</v>
      </c>
      <c r="V55" s="237">
        <f>IFERROR(VLOOKUP($A55,보수일람표!$A:$M,11,FALSE),"")</f>
        <v>0</v>
      </c>
      <c r="W55" s="237">
        <f>IFERROR(VLOOKUP($A55,보수일람표!$A:$M,12,FALSE),"")</f>
        <v>2126004</v>
      </c>
      <c r="X55" s="237">
        <f>IFERROR(VLOOKUP($A55,보수일람표!$A:$M,13,FALSE),"")</f>
        <v>2668320</v>
      </c>
    </row>
    <row r="56" spans="1:24" ht="24">
      <c r="A56" s="225">
        <v>54</v>
      </c>
      <c r="B56" s="233" t="str">
        <f>IFERROR(IF(F56="06",데이터입력!$AB$8,IF(F56="07",데이터입력!$AD$8,IF(F56="05",데이터입력!$AF$8,데이터입력!$AB$8))),데이터입력!$AB$8)</f>
        <v>00</v>
      </c>
      <c r="C56" s="684" t="str">
        <f>데이터입력!$AC$9</f>
        <v>일반사업[일반]</v>
      </c>
      <c r="D56" s="238" t="str">
        <f>IFERROR(VLOOKUP($A56,데이터입력!$A:$H,4,FALSE),"")</f>
        <v/>
      </c>
      <c r="E56" s="238" t="str">
        <f>IFERROR(VLOOKUP($A56,데이터입력!$A:$H,2,FALSE),"")</f>
        <v/>
      </c>
      <c r="F56" s="238" t="str">
        <f>IFERROR(VLOOKUP($A56,데이터입력!$A:$H,5,FALSE),"")</f>
        <v/>
      </c>
      <c r="G56" s="238" t="str">
        <f>IFERROR(VLOOKUP($A56,데이터입력!$A:$H,6,FALSE),"")</f>
        <v/>
      </c>
      <c r="H56" s="239" t="str">
        <f>IFERROR(VLOOKUP($A56,데이터입력!$A:$L,8,FALSE)+VLOOKUP($A56,데이터입력!$A:$L,9,FALSE)+VLOOKUP($A56,데이터입력!$A:$L,10,FALSE),"")</f>
        <v/>
      </c>
      <c r="I56" s="240" t="s">
        <v>136</v>
      </c>
      <c r="J56" s="240" t="s">
        <v>136</v>
      </c>
      <c r="K56" s="240" t="s">
        <v>136</v>
      </c>
      <c r="M56" s="235" t="str">
        <f>데이터입력!$AB$8</f>
        <v>00</v>
      </c>
      <c r="N56" s="238" t="str">
        <f>데이터입력!$AC$9</f>
        <v>일반사업[일반]</v>
      </c>
      <c r="O56" s="236" t="str">
        <f>IFERROR(VLOOKUP($A56,보수일람표!$A:$M,4,FALSE),"")</f>
        <v>김수연</v>
      </c>
      <c r="P56" s="236" t="str">
        <f>IFERROR(VLOOKUP($A56,보수일람표!$A:$M,5,FALSE),"")</f>
        <v>요양보호사 1급</v>
      </c>
      <c r="Q56" s="923" t="str">
        <f>IFERROR(VLOOKUP($A56,보수일람표!$A:$M,6,FALSE),"")</f>
        <v>재가노인복지시설 주야간보호</v>
      </c>
      <c r="R56" s="236" t="str">
        <f>IFERROR(VLOOKUP($A56,보수일람표!$A:$M,7,FALSE),"")</f>
        <v>직접</v>
      </c>
      <c r="S56" s="236"/>
      <c r="T56" s="237">
        <f>IFERROR(VLOOKUP($A56,보수일람표!$A:$M,9,FALSE),"")</f>
        <v>25512000</v>
      </c>
      <c r="U56" s="237">
        <f>IFERROR(VLOOKUP($A56,보수일람표!$A:$M,10,FALSE),"")</f>
        <v>0</v>
      </c>
      <c r="V56" s="237">
        <f>IFERROR(VLOOKUP($A56,보수일람표!$A:$M,11,FALSE),"")</f>
        <v>0</v>
      </c>
      <c r="W56" s="237">
        <f>IFERROR(VLOOKUP($A56,보수일람표!$A:$M,12,FALSE),"")</f>
        <v>2126004</v>
      </c>
      <c r="X56" s="237">
        <f>IFERROR(VLOOKUP($A56,보수일람표!$A:$M,13,FALSE),"")</f>
        <v>2668320</v>
      </c>
    </row>
    <row r="57" spans="1:24" ht="24">
      <c r="A57" s="225">
        <v>55</v>
      </c>
      <c r="B57" s="233" t="str">
        <f>IFERROR(IF(F57="06",데이터입력!$AB$8,IF(F57="07",데이터입력!$AD$8,IF(F57="05",데이터입력!$AF$8,데이터입력!$AB$8))),데이터입력!$AB$8)</f>
        <v>00</v>
      </c>
      <c r="C57" s="684" t="str">
        <f>데이터입력!$AC$9</f>
        <v>일반사업[일반]</v>
      </c>
      <c r="D57" s="238" t="str">
        <f>IFERROR(VLOOKUP($A57,데이터입력!$A:$H,4,FALSE),"")</f>
        <v/>
      </c>
      <c r="E57" s="238" t="str">
        <f>IFERROR(VLOOKUP($A57,데이터입력!$A:$H,2,FALSE),"")</f>
        <v/>
      </c>
      <c r="F57" s="238" t="str">
        <f>IFERROR(VLOOKUP($A57,데이터입력!$A:$H,5,FALSE),"")</f>
        <v/>
      </c>
      <c r="G57" s="238" t="str">
        <f>IFERROR(VLOOKUP($A57,데이터입력!$A:$H,6,FALSE),"")</f>
        <v/>
      </c>
      <c r="H57" s="239" t="str">
        <f>IFERROR(VLOOKUP($A57,데이터입력!$A:$L,8,FALSE)+VLOOKUP($A57,데이터입력!$A:$L,9,FALSE)+VLOOKUP($A57,데이터입력!$A:$L,10,FALSE),"")</f>
        <v/>
      </c>
      <c r="I57" s="234" t="s">
        <v>136</v>
      </c>
      <c r="J57" s="234" t="s">
        <v>136</v>
      </c>
      <c r="K57" s="234" t="s">
        <v>136</v>
      </c>
      <c r="M57" s="235" t="str">
        <f>데이터입력!$AB$8</f>
        <v>00</v>
      </c>
      <c r="N57" s="238" t="str">
        <f>데이터입력!$AC$9</f>
        <v>일반사업[일반]</v>
      </c>
      <c r="O57" s="236" t="str">
        <f>IFERROR(VLOOKUP($A57,보수일람표!$A:$M,4,FALSE),"")</f>
        <v>신규2</v>
      </c>
      <c r="P57" s="236" t="str">
        <f>IFERROR(VLOOKUP($A57,보수일람표!$A:$M,5,FALSE),"")</f>
        <v>요양보호사 1급</v>
      </c>
      <c r="Q57" s="923" t="str">
        <f>IFERROR(VLOOKUP($A57,보수일람표!$A:$M,6,FALSE),"")</f>
        <v>재가노인복지시설 주야간보호</v>
      </c>
      <c r="R57" s="236" t="str">
        <f>IFERROR(VLOOKUP($A57,보수일람표!$A:$M,7,FALSE),"")</f>
        <v>직접</v>
      </c>
      <c r="S57" s="236"/>
      <c r="T57" s="237">
        <f>IFERROR(VLOOKUP($A57,보수일람표!$A:$M,9,FALSE),"")</f>
        <v>25512000</v>
      </c>
      <c r="U57" s="237">
        <f>IFERROR(VLOOKUP($A57,보수일람표!$A:$M,10,FALSE),"")</f>
        <v>0</v>
      </c>
      <c r="V57" s="237">
        <f>IFERROR(VLOOKUP($A57,보수일람표!$A:$M,11,FALSE),"")</f>
        <v>0</v>
      </c>
      <c r="W57" s="237">
        <f>IFERROR(VLOOKUP($A57,보수일람표!$A:$M,12,FALSE),"")</f>
        <v>2126004</v>
      </c>
      <c r="X57" s="237">
        <f>IFERROR(VLOOKUP($A57,보수일람표!$A:$M,13,FALSE),"")</f>
        <v>2668320</v>
      </c>
    </row>
    <row r="58" spans="1:24">
      <c r="A58" s="225">
        <v>56</v>
      </c>
      <c r="B58" s="233" t="str">
        <f>IFERROR(IF(F58="06",데이터입력!$AB$8,IF(F58="07",데이터입력!$AD$8,IF(F58="05",데이터입력!$AF$8,데이터입력!$AB$8))),데이터입력!$AB$8)</f>
        <v>00</v>
      </c>
      <c r="C58" s="684" t="str">
        <f>데이터입력!$AC$9</f>
        <v>일반사업[일반]</v>
      </c>
      <c r="D58" s="238" t="str">
        <f>IFERROR(VLOOKUP($A58,데이터입력!$A:$H,4,FALSE),"")</f>
        <v/>
      </c>
      <c r="E58" s="238" t="str">
        <f>IFERROR(VLOOKUP($A58,데이터입력!$A:$H,2,FALSE),"")</f>
        <v/>
      </c>
      <c r="F58" s="238" t="str">
        <f>IFERROR(VLOOKUP($A58,데이터입력!$A:$H,5,FALSE),"")</f>
        <v/>
      </c>
      <c r="G58" s="238" t="str">
        <f>IFERROR(VLOOKUP($A58,데이터입력!$A:$H,6,FALSE),"")</f>
        <v/>
      </c>
      <c r="H58" s="239" t="str">
        <f>IFERROR(VLOOKUP($A58,데이터입력!$A:$L,8,FALSE)+VLOOKUP($A58,데이터입력!$A:$L,9,FALSE)+VLOOKUP($A58,데이터입력!$A:$L,10,FALSE),"")</f>
        <v/>
      </c>
      <c r="I58" s="240" t="s">
        <v>136</v>
      </c>
      <c r="J58" s="240" t="s">
        <v>136</v>
      </c>
      <c r="K58" s="240" t="s">
        <v>136</v>
      </c>
      <c r="M58" s="235" t="str">
        <f>데이터입력!$AB$8</f>
        <v>00</v>
      </c>
      <c r="N58" s="238" t="str">
        <f>데이터입력!$AC$9</f>
        <v>일반사업[일반]</v>
      </c>
      <c r="O58" s="236" t="str">
        <f>IFERROR(VLOOKUP($A58,보수일람표!$A:$M,4,FALSE),"")</f>
        <v/>
      </c>
      <c r="P58" s="236" t="str">
        <f>IFERROR(VLOOKUP($A58,보수일람표!$A:$M,5,FALSE),"")</f>
        <v/>
      </c>
      <c r="Q58" s="923" t="str">
        <f>IFERROR(VLOOKUP($A58,보수일람표!$A:$M,6,FALSE),"")</f>
        <v/>
      </c>
      <c r="R58" s="236" t="str">
        <f>IFERROR(VLOOKUP($A58,보수일람표!$A:$M,7,FALSE),"")</f>
        <v>직접</v>
      </c>
      <c r="S58" s="236"/>
      <c r="T58" s="237">
        <f>IFERROR(VLOOKUP($A58,보수일람표!$A:$M,9,FALSE),"")</f>
        <v>0</v>
      </c>
      <c r="U58" s="237">
        <f>IFERROR(VLOOKUP($A58,보수일람표!$A:$M,10,FALSE),"")</f>
        <v>0</v>
      </c>
      <c r="V58" s="237">
        <f>IFERROR(VLOOKUP($A58,보수일람표!$A:$M,11,FALSE),"")</f>
        <v>0</v>
      </c>
      <c r="W58" s="237">
        <f>IFERROR(VLOOKUP($A58,보수일람표!$A:$M,12,FALSE),"")</f>
        <v>0</v>
      </c>
      <c r="X58" s="237">
        <f>IFERROR(VLOOKUP($A58,보수일람표!$A:$M,13,FALSE),"")</f>
        <v>0</v>
      </c>
    </row>
    <row r="59" spans="1:24">
      <c r="A59" s="225">
        <v>57</v>
      </c>
      <c r="B59" s="233" t="str">
        <f>IFERROR(IF(F59="06",데이터입력!$AB$8,IF(F59="07",데이터입력!$AD$8,IF(F59="05",데이터입력!$AF$8,데이터입력!$AB$8))),데이터입력!$AB$8)</f>
        <v>00</v>
      </c>
      <c r="C59" s="684" t="str">
        <f>데이터입력!$AC$9</f>
        <v>일반사업[일반]</v>
      </c>
      <c r="D59" s="238" t="str">
        <f>IFERROR(VLOOKUP($A59,데이터입력!$A:$H,4,FALSE),"")</f>
        <v/>
      </c>
      <c r="E59" s="238" t="str">
        <f>IFERROR(VLOOKUP($A59,데이터입력!$A:$H,2,FALSE),"")</f>
        <v/>
      </c>
      <c r="F59" s="238" t="str">
        <f>IFERROR(VLOOKUP($A59,데이터입력!$A:$H,5,FALSE),"")</f>
        <v/>
      </c>
      <c r="G59" s="238" t="str">
        <f>IFERROR(VLOOKUP($A59,데이터입력!$A:$H,6,FALSE),"")</f>
        <v/>
      </c>
      <c r="H59" s="239" t="str">
        <f>IFERROR(VLOOKUP($A59,데이터입력!$A:$L,8,FALSE)+VLOOKUP($A59,데이터입력!$A:$L,9,FALSE)+VLOOKUP($A59,데이터입력!$A:$L,10,FALSE),"")</f>
        <v/>
      </c>
      <c r="I59" s="234" t="s">
        <v>136</v>
      </c>
      <c r="J59" s="234" t="s">
        <v>136</v>
      </c>
      <c r="K59" s="234" t="s">
        <v>136</v>
      </c>
      <c r="M59" s="235" t="str">
        <f>데이터입력!$AB$8</f>
        <v>00</v>
      </c>
      <c r="N59" s="238" t="str">
        <f>데이터입력!$AC$9</f>
        <v>일반사업[일반]</v>
      </c>
      <c r="O59" s="236" t="str">
        <f>IFERROR(VLOOKUP($A59,보수일람표!$A:$M,4,FALSE),"")</f>
        <v/>
      </c>
      <c r="P59" s="236" t="str">
        <f>IFERROR(VLOOKUP($A59,보수일람표!$A:$M,5,FALSE),"")</f>
        <v/>
      </c>
      <c r="Q59" s="923" t="str">
        <f>IFERROR(VLOOKUP($A59,보수일람표!$A:$M,6,FALSE),"")</f>
        <v/>
      </c>
      <c r="R59" s="236" t="str">
        <f>IFERROR(VLOOKUP($A59,보수일람표!$A:$M,7,FALSE),"")</f>
        <v>직접</v>
      </c>
      <c r="S59" s="236"/>
      <c r="T59" s="237">
        <f>IFERROR(VLOOKUP($A59,보수일람표!$A:$M,9,FALSE),"")</f>
        <v>0</v>
      </c>
      <c r="U59" s="237">
        <f>IFERROR(VLOOKUP($A59,보수일람표!$A:$M,10,FALSE),"")</f>
        <v>0</v>
      </c>
      <c r="V59" s="237">
        <f>IFERROR(VLOOKUP($A59,보수일람표!$A:$M,11,FALSE),"")</f>
        <v>0</v>
      </c>
      <c r="W59" s="237">
        <f>IFERROR(VLOOKUP($A59,보수일람표!$A:$M,12,FALSE),"")</f>
        <v>0</v>
      </c>
      <c r="X59" s="237">
        <f>IFERROR(VLOOKUP($A59,보수일람표!$A:$M,13,FALSE),"")</f>
        <v>0</v>
      </c>
    </row>
    <row r="60" spans="1:24">
      <c r="A60" s="225">
        <v>58</v>
      </c>
      <c r="B60" s="233" t="str">
        <f>IFERROR(IF(F60="06",데이터입력!$AB$8,IF(F60="07",데이터입력!$AD$8,IF(F60="05",데이터입력!$AF$8,데이터입력!$AB$8))),데이터입력!$AB$8)</f>
        <v>00</v>
      </c>
      <c r="C60" s="684" t="str">
        <f>데이터입력!$AC$9</f>
        <v>일반사업[일반]</v>
      </c>
      <c r="D60" s="238" t="str">
        <f>IFERROR(VLOOKUP($A60,데이터입력!$A:$H,4,FALSE),"")</f>
        <v/>
      </c>
      <c r="E60" s="238" t="str">
        <f>IFERROR(VLOOKUP($A60,데이터입력!$A:$H,2,FALSE),"")</f>
        <v/>
      </c>
      <c r="F60" s="238" t="str">
        <f>IFERROR(VLOOKUP($A60,데이터입력!$A:$H,5,FALSE),"")</f>
        <v/>
      </c>
      <c r="G60" s="238" t="str">
        <f>IFERROR(VLOOKUP($A60,데이터입력!$A:$H,6,FALSE),"")</f>
        <v/>
      </c>
      <c r="H60" s="239" t="str">
        <f>IFERROR(VLOOKUP($A60,데이터입력!$A:$L,8,FALSE)+VLOOKUP($A60,데이터입력!$A:$L,9,FALSE)+VLOOKUP($A60,데이터입력!$A:$L,10,FALSE),"")</f>
        <v/>
      </c>
      <c r="I60" s="240" t="s">
        <v>136</v>
      </c>
      <c r="J60" s="240" t="s">
        <v>136</v>
      </c>
      <c r="K60" s="240" t="s">
        <v>136</v>
      </c>
      <c r="M60" s="235" t="str">
        <f>데이터입력!$AB$8</f>
        <v>00</v>
      </c>
      <c r="N60" s="238" t="str">
        <f>데이터입력!$AC$9</f>
        <v>일반사업[일반]</v>
      </c>
      <c r="O60" s="236" t="str">
        <f>IFERROR(VLOOKUP($A60,보수일람표!$A:$M,4,FALSE),"")</f>
        <v/>
      </c>
      <c r="P60" s="236" t="str">
        <f>IFERROR(VLOOKUP($A60,보수일람표!$A:$M,5,FALSE),"")</f>
        <v/>
      </c>
      <c r="Q60" s="923" t="str">
        <f>IFERROR(VLOOKUP($A60,보수일람표!$A:$M,6,FALSE),"")</f>
        <v/>
      </c>
      <c r="R60" s="236" t="str">
        <f>IFERROR(VLOOKUP($A60,보수일람표!$A:$M,7,FALSE),"")</f>
        <v>직접</v>
      </c>
      <c r="S60" s="236"/>
      <c r="T60" s="237">
        <f>IFERROR(VLOOKUP($A60,보수일람표!$A:$M,9,FALSE),"")</f>
        <v>0</v>
      </c>
      <c r="U60" s="237">
        <f>IFERROR(VLOOKUP($A60,보수일람표!$A:$M,10,FALSE),"")</f>
        <v>0</v>
      </c>
      <c r="V60" s="237">
        <f>IFERROR(VLOOKUP($A60,보수일람표!$A:$M,11,FALSE),"")</f>
        <v>0</v>
      </c>
      <c r="W60" s="237">
        <f>IFERROR(VLOOKUP($A60,보수일람표!$A:$M,12,FALSE),"")</f>
        <v>0</v>
      </c>
      <c r="X60" s="237">
        <f>IFERROR(VLOOKUP($A60,보수일람표!$A:$M,13,FALSE),"")</f>
        <v>0</v>
      </c>
    </row>
    <row r="61" spans="1:24">
      <c r="A61" s="225">
        <v>59</v>
      </c>
      <c r="B61" s="233" t="str">
        <f>IFERROR(IF(F61="06",데이터입력!$AB$8,IF(F61="07",데이터입력!$AD$8,IF(F61="05",데이터입력!$AF$8,데이터입력!$AB$8))),데이터입력!$AB$8)</f>
        <v>00</v>
      </c>
      <c r="C61" s="684" t="str">
        <f>데이터입력!$AC$9</f>
        <v>일반사업[일반]</v>
      </c>
      <c r="D61" s="238" t="str">
        <f>IFERROR(VLOOKUP($A61,데이터입력!$A:$H,4,FALSE),"")</f>
        <v/>
      </c>
      <c r="E61" s="238" t="str">
        <f>IFERROR(VLOOKUP($A61,데이터입력!$A:$H,2,FALSE),"")</f>
        <v/>
      </c>
      <c r="F61" s="238" t="str">
        <f>IFERROR(VLOOKUP($A61,데이터입력!$A:$H,5,FALSE),"")</f>
        <v/>
      </c>
      <c r="G61" s="238" t="str">
        <f>IFERROR(VLOOKUP($A61,데이터입력!$A:$H,6,FALSE),"")</f>
        <v/>
      </c>
      <c r="H61" s="239" t="str">
        <f>IFERROR(VLOOKUP($A61,데이터입력!$A:$L,8,FALSE)+VLOOKUP($A61,데이터입력!$A:$L,9,FALSE)+VLOOKUP($A61,데이터입력!$A:$L,10,FALSE),"")</f>
        <v/>
      </c>
      <c r="I61" s="234" t="s">
        <v>136</v>
      </c>
      <c r="J61" s="234" t="s">
        <v>136</v>
      </c>
      <c r="K61" s="234" t="s">
        <v>136</v>
      </c>
      <c r="M61" s="235" t="str">
        <f>데이터입력!$AB$8</f>
        <v>00</v>
      </c>
      <c r="N61" s="238" t="str">
        <f>데이터입력!$AC$9</f>
        <v>일반사업[일반]</v>
      </c>
      <c r="O61" s="236" t="str">
        <f>IFERROR(VLOOKUP($A61,보수일람표!$A:$M,4,FALSE),"")</f>
        <v/>
      </c>
      <c r="P61" s="236" t="str">
        <f>IFERROR(VLOOKUP($A61,보수일람표!$A:$M,5,FALSE),"")</f>
        <v/>
      </c>
      <c r="Q61" s="923" t="str">
        <f>IFERROR(VLOOKUP($A61,보수일람표!$A:$M,6,FALSE),"")</f>
        <v/>
      </c>
      <c r="R61" s="236" t="str">
        <f>IFERROR(VLOOKUP($A61,보수일람표!$A:$M,7,FALSE),"")</f>
        <v>직접</v>
      </c>
      <c r="S61" s="236"/>
      <c r="T61" s="237">
        <f>IFERROR(VLOOKUP($A61,보수일람표!$A:$M,9,FALSE),"")</f>
        <v>0</v>
      </c>
      <c r="U61" s="237">
        <f>IFERROR(VLOOKUP($A61,보수일람표!$A:$M,10,FALSE),"")</f>
        <v>0</v>
      </c>
      <c r="V61" s="237">
        <f>IFERROR(VLOOKUP($A61,보수일람표!$A:$M,11,FALSE),"")</f>
        <v>0</v>
      </c>
      <c r="W61" s="237">
        <f>IFERROR(VLOOKUP($A61,보수일람표!$A:$M,12,FALSE),"")</f>
        <v>0</v>
      </c>
      <c r="X61" s="237">
        <f>IFERROR(VLOOKUP($A61,보수일람표!$A:$M,13,FALSE),"")</f>
        <v>0</v>
      </c>
    </row>
    <row r="62" spans="1:24">
      <c r="A62" s="225">
        <v>60</v>
      </c>
      <c r="B62" s="233" t="str">
        <f>IFERROR(IF(F62="06",데이터입력!$AB$8,IF(F62="07",데이터입력!$AD$8,IF(F62="05",데이터입력!$AF$8,데이터입력!$AB$8))),데이터입력!$AB$8)</f>
        <v>00</v>
      </c>
      <c r="C62" s="684" t="str">
        <f>데이터입력!$AC$9</f>
        <v>일반사업[일반]</v>
      </c>
      <c r="D62" s="238" t="str">
        <f>IFERROR(VLOOKUP($A62,데이터입력!$A:$H,4,FALSE),"")</f>
        <v/>
      </c>
      <c r="E62" s="238" t="str">
        <f>IFERROR(VLOOKUP($A62,데이터입력!$A:$H,2,FALSE),"")</f>
        <v/>
      </c>
      <c r="F62" s="238" t="str">
        <f>IFERROR(VLOOKUP($A62,데이터입력!$A:$H,5,FALSE),"")</f>
        <v/>
      </c>
      <c r="G62" s="238" t="str">
        <f>IFERROR(VLOOKUP($A62,데이터입력!$A:$H,6,FALSE),"")</f>
        <v/>
      </c>
      <c r="H62" s="239" t="str">
        <f>IFERROR(VLOOKUP($A62,데이터입력!$A:$L,8,FALSE)+VLOOKUP($A62,데이터입력!$A:$L,9,FALSE)+VLOOKUP($A62,데이터입력!$A:$L,10,FALSE),"")</f>
        <v/>
      </c>
      <c r="I62" s="240" t="s">
        <v>136</v>
      </c>
      <c r="J62" s="240" t="s">
        <v>136</v>
      </c>
      <c r="K62" s="240" t="s">
        <v>136</v>
      </c>
      <c r="M62" s="235" t="str">
        <f>데이터입력!$AB$8</f>
        <v>00</v>
      </c>
      <c r="N62" s="238" t="str">
        <f>데이터입력!$AC$9</f>
        <v>일반사업[일반]</v>
      </c>
      <c r="O62" s="236" t="str">
        <f>IFERROR(VLOOKUP($A62,보수일람표!$A:$M,4,FALSE),"")</f>
        <v/>
      </c>
      <c r="P62" s="236" t="str">
        <f>IFERROR(VLOOKUP($A62,보수일람표!$A:$M,5,FALSE),"")</f>
        <v/>
      </c>
      <c r="Q62" s="923" t="str">
        <f>IFERROR(VLOOKUP($A62,보수일람표!$A:$M,6,FALSE),"")</f>
        <v/>
      </c>
      <c r="R62" s="236" t="str">
        <f>IFERROR(VLOOKUP($A62,보수일람표!$A:$M,7,FALSE),"")</f>
        <v>직접</v>
      </c>
      <c r="S62" s="236"/>
      <c r="T62" s="237">
        <f>IFERROR(VLOOKUP($A62,보수일람표!$A:$M,9,FALSE),"")</f>
        <v>0</v>
      </c>
      <c r="U62" s="237">
        <f>IFERROR(VLOOKUP($A62,보수일람표!$A:$M,10,FALSE),"")</f>
        <v>0</v>
      </c>
      <c r="V62" s="237">
        <f>IFERROR(VLOOKUP($A62,보수일람표!$A:$M,11,FALSE),"")</f>
        <v>0</v>
      </c>
      <c r="W62" s="237">
        <f>IFERROR(VLOOKUP($A62,보수일람표!$A:$M,12,FALSE),"")</f>
        <v>0</v>
      </c>
      <c r="X62" s="237">
        <f>IFERROR(VLOOKUP($A62,보수일람표!$A:$M,13,FALSE),"")</f>
        <v>0</v>
      </c>
    </row>
    <row r="63" spans="1:24">
      <c r="A63" s="225">
        <v>61</v>
      </c>
      <c r="B63" s="233" t="str">
        <f>IFERROR(IF(F63="06",데이터입력!$AB$8,IF(F63="07",데이터입력!$AD$8,IF(F63="05",데이터입력!$AF$8,데이터입력!$AB$8))),데이터입력!$AB$8)</f>
        <v>00</v>
      </c>
      <c r="C63" s="684" t="str">
        <f>데이터입력!$AC$9</f>
        <v>일반사업[일반]</v>
      </c>
      <c r="D63" s="238" t="str">
        <f>IFERROR(VLOOKUP($A63,데이터입력!$A:$H,4,FALSE),"")</f>
        <v/>
      </c>
      <c r="E63" s="238" t="str">
        <f>IFERROR(VLOOKUP($A63,데이터입력!$A:$H,2,FALSE),"")</f>
        <v/>
      </c>
      <c r="F63" s="238" t="str">
        <f>IFERROR(VLOOKUP($A63,데이터입력!$A:$H,5,FALSE),"")</f>
        <v/>
      </c>
      <c r="G63" s="238" t="str">
        <f>IFERROR(VLOOKUP($A63,데이터입력!$A:$H,6,FALSE),"")</f>
        <v/>
      </c>
      <c r="H63" s="239" t="str">
        <f>IFERROR(VLOOKUP($A63,데이터입력!$A:$L,8,FALSE)+VLOOKUP($A63,데이터입력!$A:$L,9,FALSE)+VLOOKUP($A63,데이터입력!$A:$L,10,FALSE),"")</f>
        <v/>
      </c>
      <c r="I63" s="234" t="s">
        <v>136</v>
      </c>
      <c r="J63" s="234" t="s">
        <v>136</v>
      </c>
      <c r="K63" s="234" t="s">
        <v>136</v>
      </c>
      <c r="M63" s="235" t="str">
        <f>데이터입력!$AB$8</f>
        <v>00</v>
      </c>
      <c r="N63" s="238" t="str">
        <f>데이터입력!$AC$9</f>
        <v>일반사업[일반]</v>
      </c>
      <c r="O63" s="236" t="str">
        <f>IFERROR(VLOOKUP($A63,보수일람표!$A:$M,4,FALSE),"")</f>
        <v/>
      </c>
      <c r="P63" s="236" t="str">
        <f>IFERROR(VLOOKUP($A63,보수일람표!$A:$M,5,FALSE),"")</f>
        <v/>
      </c>
      <c r="Q63" s="923" t="str">
        <f>IFERROR(VLOOKUP($A63,보수일람표!$A:$M,6,FALSE),"")</f>
        <v/>
      </c>
      <c r="R63" s="236" t="str">
        <f>IFERROR(VLOOKUP($A63,보수일람표!$A:$M,7,FALSE),"")</f>
        <v>직접</v>
      </c>
      <c r="S63" s="236"/>
      <c r="T63" s="237">
        <f>IFERROR(VLOOKUP($A63,보수일람표!$A:$M,9,FALSE),"")</f>
        <v>0</v>
      </c>
      <c r="U63" s="237">
        <f>IFERROR(VLOOKUP($A63,보수일람표!$A:$M,10,FALSE),"")</f>
        <v>0</v>
      </c>
      <c r="V63" s="237">
        <f>IFERROR(VLOOKUP($A63,보수일람표!$A:$M,11,FALSE),"")</f>
        <v>0</v>
      </c>
      <c r="W63" s="237">
        <f>IFERROR(VLOOKUP($A63,보수일람표!$A:$M,12,FALSE),"")</f>
        <v>0</v>
      </c>
      <c r="X63" s="237">
        <f>IFERROR(VLOOKUP($A63,보수일람표!$A:$M,13,FALSE),"")</f>
        <v>0</v>
      </c>
    </row>
    <row r="64" spans="1:24">
      <c r="A64" s="225">
        <v>62</v>
      </c>
      <c r="B64" s="233" t="str">
        <f>IFERROR(IF(F64="06",데이터입력!$AB$8,IF(F64="07",데이터입력!$AD$8,IF(F64="05",데이터입력!$AF$8,데이터입력!$AB$8))),데이터입력!$AB$8)</f>
        <v>00</v>
      </c>
      <c r="C64" s="684" t="str">
        <f>데이터입력!$AC$9</f>
        <v>일반사업[일반]</v>
      </c>
      <c r="D64" s="238" t="str">
        <f>IFERROR(VLOOKUP($A64,데이터입력!$A:$H,4,FALSE),"")</f>
        <v/>
      </c>
      <c r="E64" s="238" t="str">
        <f>IFERROR(VLOOKUP($A64,데이터입력!$A:$H,2,FALSE),"")</f>
        <v/>
      </c>
      <c r="F64" s="238" t="str">
        <f>IFERROR(VLOOKUP($A64,데이터입력!$A:$H,5,FALSE),"")</f>
        <v/>
      </c>
      <c r="G64" s="238" t="str">
        <f>IFERROR(VLOOKUP($A64,데이터입력!$A:$H,6,FALSE),"")</f>
        <v/>
      </c>
      <c r="H64" s="239" t="str">
        <f>IFERROR(VLOOKUP($A64,데이터입력!$A:$L,8,FALSE)+VLOOKUP($A64,데이터입력!$A:$L,9,FALSE)+VLOOKUP($A64,데이터입력!$A:$L,10,FALSE),"")</f>
        <v/>
      </c>
      <c r="I64" s="240" t="s">
        <v>136</v>
      </c>
      <c r="J64" s="240" t="s">
        <v>136</v>
      </c>
      <c r="K64" s="240" t="s">
        <v>136</v>
      </c>
      <c r="M64" s="235" t="str">
        <f>데이터입력!$AB$8</f>
        <v>00</v>
      </c>
      <c r="N64" s="238" t="str">
        <f>데이터입력!$AC$9</f>
        <v>일반사업[일반]</v>
      </c>
      <c r="O64" s="236" t="str">
        <f>IFERROR(VLOOKUP($A64,보수일람표!$A:$M,4,FALSE),"")</f>
        <v/>
      </c>
      <c r="P64" s="236" t="str">
        <f>IFERROR(VLOOKUP($A64,보수일람표!$A:$M,5,FALSE),"")</f>
        <v/>
      </c>
      <c r="Q64" s="923" t="str">
        <f>IFERROR(VLOOKUP($A64,보수일람표!$A:$M,6,FALSE),"")</f>
        <v/>
      </c>
      <c r="R64" s="236" t="str">
        <f>IFERROR(VLOOKUP($A64,보수일람표!$A:$M,7,FALSE),"")</f>
        <v>직접</v>
      </c>
      <c r="S64" s="236"/>
      <c r="T64" s="237">
        <f>IFERROR(VLOOKUP($A64,보수일람표!$A:$M,9,FALSE),"")</f>
        <v>0</v>
      </c>
      <c r="U64" s="237">
        <f>IFERROR(VLOOKUP($A64,보수일람표!$A:$M,10,FALSE),"")</f>
        <v>0</v>
      </c>
      <c r="V64" s="237">
        <f>IFERROR(VLOOKUP($A64,보수일람표!$A:$M,11,FALSE),"")</f>
        <v>0</v>
      </c>
      <c r="W64" s="237">
        <f>IFERROR(VLOOKUP($A64,보수일람표!$A:$M,12,FALSE),"")</f>
        <v>0</v>
      </c>
      <c r="X64" s="237">
        <f>IFERROR(VLOOKUP($A64,보수일람표!$A:$M,13,FALSE),"")</f>
        <v>0</v>
      </c>
    </row>
    <row r="65" spans="1:24">
      <c r="A65" s="225">
        <v>63</v>
      </c>
      <c r="B65" s="233" t="str">
        <f>IFERROR(IF(F65="06",데이터입력!$AB$8,IF(F65="07",데이터입력!$AD$8,IF(F65="05",데이터입력!$AF$8,데이터입력!$AB$8))),데이터입력!$AB$8)</f>
        <v>00</v>
      </c>
      <c r="C65" s="684" t="str">
        <f>데이터입력!$AC$9</f>
        <v>일반사업[일반]</v>
      </c>
      <c r="D65" s="238" t="str">
        <f>IFERROR(VLOOKUP($A65,데이터입력!$A:$H,4,FALSE),"")</f>
        <v/>
      </c>
      <c r="E65" s="238" t="str">
        <f>IFERROR(VLOOKUP($A65,데이터입력!$A:$H,2,FALSE),"")</f>
        <v/>
      </c>
      <c r="F65" s="238" t="str">
        <f>IFERROR(VLOOKUP($A65,데이터입력!$A:$H,5,FALSE),"")</f>
        <v/>
      </c>
      <c r="G65" s="238" t="str">
        <f>IFERROR(VLOOKUP($A65,데이터입력!$A:$H,6,FALSE),"")</f>
        <v/>
      </c>
      <c r="H65" s="239" t="str">
        <f>IFERROR(VLOOKUP($A65,데이터입력!$A:$L,8,FALSE)+VLOOKUP($A65,데이터입력!$A:$L,9,FALSE)+VLOOKUP($A65,데이터입력!$A:$L,10,FALSE),"")</f>
        <v/>
      </c>
      <c r="I65" s="234" t="s">
        <v>136</v>
      </c>
      <c r="J65" s="234" t="s">
        <v>136</v>
      </c>
      <c r="K65" s="234" t="s">
        <v>136</v>
      </c>
      <c r="M65" s="235" t="str">
        <f>데이터입력!$AB$8</f>
        <v>00</v>
      </c>
      <c r="N65" s="238" t="str">
        <f>데이터입력!$AC$9</f>
        <v>일반사업[일반]</v>
      </c>
      <c r="O65" s="236" t="str">
        <f>IFERROR(VLOOKUP($A65,보수일람표!$A:$M,4,FALSE),"")</f>
        <v/>
      </c>
      <c r="P65" s="236" t="str">
        <f>IFERROR(VLOOKUP($A65,보수일람표!$A:$M,5,FALSE),"")</f>
        <v/>
      </c>
      <c r="Q65" s="923" t="str">
        <f>IFERROR(VLOOKUP($A65,보수일람표!$A:$M,6,FALSE),"")</f>
        <v/>
      </c>
      <c r="R65" s="236" t="str">
        <f>IFERROR(VLOOKUP($A65,보수일람표!$A:$M,7,FALSE),"")</f>
        <v>직접</v>
      </c>
      <c r="S65" s="236"/>
      <c r="T65" s="237">
        <f>IFERROR(VLOOKUP($A65,보수일람표!$A:$M,9,FALSE),"")</f>
        <v>0</v>
      </c>
      <c r="U65" s="237">
        <f>IFERROR(VLOOKUP($A65,보수일람표!$A:$M,10,FALSE),"")</f>
        <v>0</v>
      </c>
      <c r="V65" s="237">
        <f>IFERROR(VLOOKUP($A65,보수일람표!$A:$M,11,FALSE),"")</f>
        <v>0</v>
      </c>
      <c r="W65" s="237">
        <f>IFERROR(VLOOKUP($A65,보수일람표!$A:$M,12,FALSE),"")</f>
        <v>0</v>
      </c>
      <c r="X65" s="237">
        <f>IFERROR(VLOOKUP($A65,보수일람표!$A:$M,13,FALSE),"")</f>
        <v>0</v>
      </c>
    </row>
    <row r="66" spans="1:24">
      <c r="A66" s="225">
        <v>64</v>
      </c>
      <c r="B66" s="233" t="str">
        <f>IFERROR(IF(F66="06",데이터입력!$AB$8,IF(F66="07",데이터입력!$AD$8,IF(F66="05",데이터입력!$AF$8,데이터입력!$AB$8))),데이터입력!$AB$8)</f>
        <v>00</v>
      </c>
      <c r="C66" s="684" t="str">
        <f>데이터입력!$AC$9</f>
        <v>일반사업[일반]</v>
      </c>
      <c r="D66" s="238" t="str">
        <f>IFERROR(VLOOKUP($A66,데이터입력!$A:$H,4,FALSE),"")</f>
        <v/>
      </c>
      <c r="E66" s="238" t="str">
        <f>IFERROR(VLOOKUP($A66,데이터입력!$A:$H,2,FALSE),"")</f>
        <v/>
      </c>
      <c r="F66" s="238" t="str">
        <f>IFERROR(VLOOKUP($A66,데이터입력!$A:$H,5,FALSE),"")</f>
        <v/>
      </c>
      <c r="G66" s="238" t="str">
        <f>IFERROR(VLOOKUP($A66,데이터입력!$A:$H,6,FALSE),"")</f>
        <v/>
      </c>
      <c r="H66" s="239" t="str">
        <f>IFERROR(VLOOKUP($A66,데이터입력!$A:$L,8,FALSE)+VLOOKUP($A66,데이터입력!$A:$L,9,FALSE)+VLOOKUP($A66,데이터입력!$A:$L,10,FALSE),"")</f>
        <v/>
      </c>
      <c r="I66" s="240" t="s">
        <v>136</v>
      </c>
      <c r="J66" s="240" t="s">
        <v>136</v>
      </c>
      <c r="K66" s="240" t="s">
        <v>136</v>
      </c>
      <c r="M66" s="235" t="str">
        <f>데이터입력!$AB$8</f>
        <v>00</v>
      </c>
      <c r="N66" s="238" t="str">
        <f>데이터입력!$AC$9</f>
        <v>일반사업[일반]</v>
      </c>
      <c r="O66" s="236" t="str">
        <f>IFERROR(VLOOKUP($A66,보수일람표!$A:$M,4,FALSE),"")</f>
        <v/>
      </c>
      <c r="P66" s="236" t="str">
        <f>IFERROR(VLOOKUP($A66,보수일람표!$A:$M,5,FALSE),"")</f>
        <v/>
      </c>
      <c r="Q66" s="923" t="str">
        <f>IFERROR(VLOOKUP($A66,보수일람표!$A:$M,6,FALSE),"")</f>
        <v/>
      </c>
      <c r="R66" s="236" t="str">
        <f>IFERROR(VLOOKUP($A66,보수일람표!$A:$M,7,FALSE),"")</f>
        <v>직접</v>
      </c>
      <c r="S66" s="236"/>
      <c r="T66" s="237">
        <f>IFERROR(VLOOKUP($A66,보수일람표!$A:$M,9,FALSE),"")</f>
        <v>0</v>
      </c>
      <c r="U66" s="237">
        <f>IFERROR(VLOOKUP($A66,보수일람표!$A:$M,10,FALSE),"")</f>
        <v>0</v>
      </c>
      <c r="V66" s="237">
        <f>IFERROR(VLOOKUP($A66,보수일람표!$A:$M,11,FALSE),"")</f>
        <v>0</v>
      </c>
      <c r="W66" s="237">
        <f>IFERROR(VLOOKUP($A66,보수일람표!$A:$M,12,FALSE),"")</f>
        <v>0</v>
      </c>
      <c r="X66" s="237">
        <f>IFERROR(VLOOKUP($A66,보수일람표!$A:$M,13,FALSE),"")</f>
        <v>0</v>
      </c>
    </row>
    <row r="67" spans="1:24">
      <c r="A67" s="225">
        <v>65</v>
      </c>
      <c r="B67" s="233" t="str">
        <f>IFERROR(IF(F67="06",데이터입력!$AB$8,IF(F67="07",데이터입력!$AD$8,IF(F67="05",데이터입력!$AF$8,데이터입력!$AB$8))),데이터입력!$AB$8)</f>
        <v>00</v>
      </c>
      <c r="C67" s="684" t="str">
        <f>데이터입력!$AC$9</f>
        <v>일반사업[일반]</v>
      </c>
      <c r="D67" s="238" t="str">
        <f>IFERROR(VLOOKUP($A67,데이터입력!$A:$H,4,FALSE),"")</f>
        <v/>
      </c>
      <c r="E67" s="238" t="str">
        <f>IFERROR(VLOOKUP($A67,데이터입력!$A:$H,2,FALSE),"")</f>
        <v/>
      </c>
      <c r="F67" s="238" t="str">
        <f>IFERROR(VLOOKUP($A67,데이터입력!$A:$H,5,FALSE),"")</f>
        <v/>
      </c>
      <c r="G67" s="238" t="str">
        <f>IFERROR(VLOOKUP($A67,데이터입력!$A:$H,6,FALSE),"")</f>
        <v/>
      </c>
      <c r="H67" s="239" t="str">
        <f>IFERROR(VLOOKUP($A67,데이터입력!$A:$L,8,FALSE)+VLOOKUP($A67,데이터입력!$A:$L,9,FALSE)+VLOOKUP($A67,데이터입력!$A:$L,10,FALSE),"")</f>
        <v/>
      </c>
      <c r="I67" s="234" t="s">
        <v>136</v>
      </c>
      <c r="J67" s="234" t="s">
        <v>136</v>
      </c>
      <c r="K67" s="234" t="s">
        <v>136</v>
      </c>
      <c r="M67" s="235" t="str">
        <f>데이터입력!$AB$8</f>
        <v>00</v>
      </c>
      <c r="N67" s="238" t="str">
        <f>데이터입력!$AC$9</f>
        <v>일반사업[일반]</v>
      </c>
      <c r="O67" s="236" t="str">
        <f>IFERROR(VLOOKUP($A67,보수일람표!$A:$M,4,FALSE),"")</f>
        <v/>
      </c>
      <c r="P67" s="236" t="str">
        <f>IFERROR(VLOOKUP($A67,보수일람표!$A:$M,5,FALSE),"")</f>
        <v/>
      </c>
      <c r="Q67" s="923" t="str">
        <f>IFERROR(VLOOKUP($A67,보수일람표!$A:$M,6,FALSE),"")</f>
        <v/>
      </c>
      <c r="R67" s="236" t="str">
        <f>IFERROR(VLOOKUP($A67,보수일람표!$A:$M,7,FALSE),"")</f>
        <v>직접</v>
      </c>
      <c r="S67" s="236"/>
      <c r="T67" s="237">
        <f>IFERROR(VLOOKUP($A67,보수일람표!$A:$M,9,FALSE),"")</f>
        <v>0</v>
      </c>
      <c r="U67" s="237">
        <f>IFERROR(VLOOKUP($A67,보수일람표!$A:$M,10,FALSE),"")</f>
        <v>0</v>
      </c>
      <c r="V67" s="237">
        <f>IFERROR(VLOOKUP($A67,보수일람표!$A:$M,11,FALSE),"")</f>
        <v>0</v>
      </c>
      <c r="W67" s="237">
        <f>IFERROR(VLOOKUP($A67,보수일람표!$A:$M,12,FALSE),"")</f>
        <v>0</v>
      </c>
      <c r="X67" s="237">
        <f>IFERROR(VLOOKUP($A67,보수일람표!$A:$M,13,FALSE),"")</f>
        <v>0</v>
      </c>
    </row>
    <row r="68" spans="1:24">
      <c r="A68" s="225">
        <v>66</v>
      </c>
      <c r="B68" s="233" t="str">
        <f>IFERROR(IF(F68="06",데이터입력!$AB$8,IF(F68="07",데이터입력!$AD$8,IF(F68="05",데이터입력!$AF$8,데이터입력!$AB$8))),데이터입력!$AB$8)</f>
        <v>00</v>
      </c>
      <c r="C68" s="684" t="str">
        <f>데이터입력!$AC$9</f>
        <v>일반사업[일반]</v>
      </c>
      <c r="D68" s="238" t="str">
        <f>IFERROR(VLOOKUP($A68,데이터입력!$A:$H,4,FALSE),"")</f>
        <v/>
      </c>
      <c r="E68" s="238" t="str">
        <f>IFERROR(VLOOKUP($A68,데이터입력!$A:$H,2,FALSE),"")</f>
        <v/>
      </c>
      <c r="F68" s="238" t="str">
        <f>IFERROR(VLOOKUP($A68,데이터입력!$A:$H,5,FALSE),"")</f>
        <v/>
      </c>
      <c r="G68" s="238" t="str">
        <f>IFERROR(VLOOKUP($A68,데이터입력!$A:$H,6,FALSE),"")</f>
        <v/>
      </c>
      <c r="H68" s="239" t="str">
        <f>IFERROR(VLOOKUP($A68,데이터입력!$A:$L,8,FALSE)+VLOOKUP($A68,데이터입력!$A:$L,9,FALSE)+VLOOKUP($A68,데이터입력!$A:$L,10,FALSE),"")</f>
        <v/>
      </c>
      <c r="I68" s="240" t="s">
        <v>136</v>
      </c>
      <c r="J68" s="240" t="s">
        <v>136</v>
      </c>
      <c r="K68" s="240" t="s">
        <v>136</v>
      </c>
      <c r="M68" s="235" t="str">
        <f>데이터입력!$AB$8</f>
        <v>00</v>
      </c>
      <c r="N68" s="238" t="str">
        <f>데이터입력!$AC$9</f>
        <v>일반사업[일반]</v>
      </c>
      <c r="O68" s="236" t="str">
        <f>IFERROR(VLOOKUP($A68,보수일람표!$A:$M,4,FALSE),"")</f>
        <v/>
      </c>
      <c r="P68" s="236" t="str">
        <f>IFERROR(VLOOKUP($A68,보수일람표!$A:$M,5,FALSE),"")</f>
        <v/>
      </c>
      <c r="Q68" s="923" t="str">
        <f>IFERROR(VLOOKUP($A68,보수일람표!$A:$M,6,FALSE),"")</f>
        <v/>
      </c>
      <c r="R68" s="236" t="str">
        <f>IFERROR(VLOOKUP($A68,보수일람표!$A:$M,7,FALSE),"")</f>
        <v>직접</v>
      </c>
      <c r="S68" s="236"/>
      <c r="T68" s="237">
        <f>IFERROR(VLOOKUP($A68,보수일람표!$A:$M,9,FALSE),"")</f>
        <v>0</v>
      </c>
      <c r="U68" s="237">
        <f>IFERROR(VLOOKUP($A68,보수일람표!$A:$M,10,FALSE),"")</f>
        <v>0</v>
      </c>
      <c r="V68" s="237">
        <f>IFERROR(VLOOKUP($A68,보수일람표!$A:$M,11,FALSE),"")</f>
        <v>0</v>
      </c>
      <c r="W68" s="237">
        <f>IFERROR(VLOOKUP($A68,보수일람표!$A:$M,12,FALSE),"")</f>
        <v>0</v>
      </c>
      <c r="X68" s="237">
        <f>IFERROR(VLOOKUP($A68,보수일람표!$A:$M,13,FALSE),"")</f>
        <v>0</v>
      </c>
    </row>
    <row r="69" spans="1:24">
      <c r="A69" s="225">
        <v>67</v>
      </c>
      <c r="B69" s="233" t="str">
        <f>IFERROR(IF(F69="06",데이터입력!$AB$8,IF(F69="07",데이터입력!$AD$8,IF(F69="05",데이터입력!$AF$8,데이터입력!$AB$8))),데이터입력!$AB$8)</f>
        <v>00</v>
      </c>
      <c r="C69" s="684" t="str">
        <f>데이터입력!$AC$9</f>
        <v>일반사업[일반]</v>
      </c>
      <c r="D69" s="238" t="str">
        <f>IFERROR(VLOOKUP($A69,데이터입력!$A:$H,4,FALSE),"")</f>
        <v/>
      </c>
      <c r="E69" s="238" t="str">
        <f>IFERROR(VLOOKUP($A69,데이터입력!$A:$H,2,FALSE),"")</f>
        <v/>
      </c>
      <c r="F69" s="238" t="str">
        <f>IFERROR(VLOOKUP($A69,데이터입력!$A:$H,5,FALSE),"")</f>
        <v/>
      </c>
      <c r="G69" s="238" t="str">
        <f>IFERROR(VLOOKUP($A69,데이터입력!$A:$H,6,FALSE),"")</f>
        <v/>
      </c>
      <c r="H69" s="239" t="str">
        <f>IFERROR(VLOOKUP($A69,데이터입력!$A:$L,8,FALSE)+VLOOKUP($A69,데이터입력!$A:$L,9,FALSE)+VLOOKUP($A69,데이터입력!$A:$L,10,FALSE),"")</f>
        <v/>
      </c>
      <c r="I69" s="234" t="s">
        <v>136</v>
      </c>
      <c r="J69" s="234" t="s">
        <v>136</v>
      </c>
      <c r="K69" s="234" t="s">
        <v>136</v>
      </c>
      <c r="M69" s="235" t="str">
        <f>데이터입력!$AB$8</f>
        <v>00</v>
      </c>
      <c r="N69" s="238" t="str">
        <f>데이터입력!$AC$9</f>
        <v>일반사업[일반]</v>
      </c>
      <c r="O69" s="236" t="str">
        <f>IFERROR(VLOOKUP($A69,보수일람표!$A:$M,4,FALSE),"")</f>
        <v/>
      </c>
      <c r="P69" s="236" t="str">
        <f>IFERROR(VLOOKUP($A69,보수일람표!$A:$M,5,FALSE),"")</f>
        <v/>
      </c>
      <c r="Q69" s="923" t="str">
        <f>IFERROR(VLOOKUP($A69,보수일람표!$A:$M,6,FALSE),"")</f>
        <v/>
      </c>
      <c r="R69" s="236" t="str">
        <f>IFERROR(VLOOKUP($A69,보수일람표!$A:$M,7,FALSE),"")</f>
        <v>직접</v>
      </c>
      <c r="S69" s="236"/>
      <c r="T69" s="237">
        <f>IFERROR(VLOOKUP($A69,보수일람표!$A:$M,9,FALSE),"")</f>
        <v>0</v>
      </c>
      <c r="U69" s="237">
        <f>IFERROR(VLOOKUP($A69,보수일람표!$A:$M,10,FALSE),"")</f>
        <v>0</v>
      </c>
      <c r="V69" s="237">
        <f>IFERROR(VLOOKUP($A69,보수일람표!$A:$M,11,FALSE),"")</f>
        <v>0</v>
      </c>
      <c r="W69" s="237">
        <f>IFERROR(VLOOKUP($A69,보수일람표!$A:$M,12,FALSE),"")</f>
        <v>0</v>
      </c>
      <c r="X69" s="237">
        <f>IFERROR(VLOOKUP($A69,보수일람표!$A:$M,13,FALSE),"")</f>
        <v>0</v>
      </c>
    </row>
    <row r="70" spans="1:24">
      <c r="A70" s="225">
        <v>68</v>
      </c>
      <c r="B70" s="233" t="str">
        <f>IFERROR(IF(F70="06",데이터입력!$AB$8,IF(F70="07",데이터입력!$AD$8,IF(F70="05",데이터입력!$AF$8,데이터입력!$AB$8))),데이터입력!$AB$8)</f>
        <v>00</v>
      </c>
      <c r="C70" s="684" t="str">
        <f>데이터입력!$AC$9</f>
        <v>일반사업[일반]</v>
      </c>
      <c r="D70" s="238" t="str">
        <f>IFERROR(VLOOKUP($A70,데이터입력!$A:$H,4,FALSE),"")</f>
        <v/>
      </c>
      <c r="E70" s="238" t="str">
        <f>IFERROR(VLOOKUP($A70,데이터입력!$A:$H,2,FALSE),"")</f>
        <v/>
      </c>
      <c r="F70" s="238" t="str">
        <f>IFERROR(VLOOKUP($A70,데이터입력!$A:$H,5,FALSE),"")</f>
        <v/>
      </c>
      <c r="G70" s="238" t="str">
        <f>IFERROR(VLOOKUP($A70,데이터입력!$A:$H,6,FALSE),"")</f>
        <v/>
      </c>
      <c r="H70" s="239" t="str">
        <f>IFERROR(VLOOKUP($A70,데이터입력!$A:$L,8,FALSE)+VLOOKUP($A70,데이터입력!$A:$L,9,FALSE)+VLOOKUP($A70,데이터입력!$A:$L,10,FALSE),"")</f>
        <v/>
      </c>
      <c r="I70" s="240" t="s">
        <v>136</v>
      </c>
      <c r="J70" s="240" t="s">
        <v>136</v>
      </c>
      <c r="K70" s="240" t="s">
        <v>136</v>
      </c>
      <c r="M70" s="235" t="str">
        <f>데이터입력!$AB$8</f>
        <v>00</v>
      </c>
      <c r="N70" s="238" t="str">
        <f>데이터입력!$AC$9</f>
        <v>일반사업[일반]</v>
      </c>
      <c r="O70" s="236" t="str">
        <f>IFERROR(VLOOKUP($A70,보수일람표!$A:$M,4,FALSE),"")</f>
        <v/>
      </c>
      <c r="P70" s="236" t="str">
        <f>IFERROR(VLOOKUP($A70,보수일람표!$A:$M,5,FALSE),"")</f>
        <v/>
      </c>
      <c r="Q70" s="923" t="str">
        <f>IFERROR(VLOOKUP($A70,보수일람표!$A:$M,6,FALSE),"")</f>
        <v/>
      </c>
      <c r="R70" s="236" t="str">
        <f>IFERROR(VLOOKUP($A70,보수일람표!$A:$M,7,FALSE),"")</f>
        <v>직접</v>
      </c>
      <c r="S70" s="236"/>
      <c r="T70" s="237">
        <f>IFERROR(VLOOKUP($A70,보수일람표!$A:$M,9,FALSE),"")</f>
        <v>0</v>
      </c>
      <c r="U70" s="237">
        <f>IFERROR(VLOOKUP($A70,보수일람표!$A:$M,10,FALSE),"")</f>
        <v>0</v>
      </c>
      <c r="V70" s="237">
        <f>IFERROR(VLOOKUP($A70,보수일람표!$A:$M,11,FALSE),"")</f>
        <v>0</v>
      </c>
      <c r="W70" s="237">
        <f>IFERROR(VLOOKUP($A70,보수일람표!$A:$M,12,FALSE),"")</f>
        <v>0</v>
      </c>
      <c r="X70" s="237">
        <f>IFERROR(VLOOKUP($A70,보수일람표!$A:$M,13,FALSE),"")</f>
        <v>0</v>
      </c>
    </row>
    <row r="71" spans="1:24">
      <c r="A71" s="225">
        <v>69</v>
      </c>
      <c r="B71" s="233" t="str">
        <f>IFERROR(IF(F71="06",데이터입력!$AB$8,IF(F71="07",데이터입력!$AD$8,IF(F71="05",데이터입력!$AF$8,데이터입력!$AB$8))),데이터입력!$AB$8)</f>
        <v>00</v>
      </c>
      <c r="C71" s="684" t="str">
        <f>데이터입력!$AC$9</f>
        <v>일반사업[일반]</v>
      </c>
      <c r="D71" s="238" t="str">
        <f>IFERROR(VLOOKUP($A71,데이터입력!$A:$H,4,FALSE),"")</f>
        <v/>
      </c>
      <c r="E71" s="238" t="str">
        <f>IFERROR(VLOOKUP($A71,데이터입력!$A:$H,2,FALSE),"")</f>
        <v/>
      </c>
      <c r="F71" s="238" t="str">
        <f>IFERROR(VLOOKUP($A71,데이터입력!$A:$H,5,FALSE),"")</f>
        <v/>
      </c>
      <c r="G71" s="238" t="str">
        <f>IFERROR(VLOOKUP($A71,데이터입력!$A:$H,6,FALSE),"")</f>
        <v/>
      </c>
      <c r="H71" s="239" t="str">
        <f>IFERROR(VLOOKUP($A71,데이터입력!$A:$L,8,FALSE)+VLOOKUP($A71,데이터입력!$A:$L,9,FALSE)+VLOOKUP($A71,데이터입력!$A:$L,10,FALSE),"")</f>
        <v/>
      </c>
      <c r="I71" s="234" t="s">
        <v>136</v>
      </c>
      <c r="J71" s="234" t="s">
        <v>136</v>
      </c>
      <c r="K71" s="234" t="s">
        <v>136</v>
      </c>
      <c r="M71" s="235" t="str">
        <f>데이터입력!$AB$8</f>
        <v>00</v>
      </c>
      <c r="N71" s="238" t="str">
        <f>데이터입력!$AC$9</f>
        <v>일반사업[일반]</v>
      </c>
      <c r="O71" s="236" t="str">
        <f>IFERROR(VLOOKUP($A71,보수일람표!$A:$M,4,FALSE),"")</f>
        <v/>
      </c>
      <c r="P71" s="236" t="str">
        <f>IFERROR(VLOOKUP($A71,보수일람표!$A:$M,5,FALSE),"")</f>
        <v/>
      </c>
      <c r="Q71" s="923" t="str">
        <f>IFERROR(VLOOKUP($A71,보수일람표!$A:$M,6,FALSE),"")</f>
        <v/>
      </c>
      <c r="R71" s="236" t="str">
        <f>IFERROR(VLOOKUP($A71,보수일람표!$A:$M,7,FALSE),"")</f>
        <v>직접</v>
      </c>
      <c r="S71" s="236"/>
      <c r="T71" s="237">
        <f>IFERROR(VLOOKUP($A71,보수일람표!$A:$M,9,FALSE),"")</f>
        <v>0</v>
      </c>
      <c r="U71" s="237">
        <f>IFERROR(VLOOKUP($A71,보수일람표!$A:$M,10,FALSE),"")</f>
        <v>0</v>
      </c>
      <c r="V71" s="237">
        <f>IFERROR(VLOOKUP($A71,보수일람표!$A:$M,11,FALSE),"")</f>
        <v>0</v>
      </c>
      <c r="W71" s="237">
        <f>IFERROR(VLOOKUP($A71,보수일람표!$A:$M,12,FALSE),"")</f>
        <v>0</v>
      </c>
      <c r="X71" s="237">
        <f>IFERROR(VLOOKUP($A71,보수일람표!$A:$M,13,FALSE),"")</f>
        <v>0</v>
      </c>
    </row>
    <row r="72" spans="1:24">
      <c r="A72" s="225">
        <v>70</v>
      </c>
      <c r="B72" s="233" t="str">
        <f>IFERROR(IF(F72="06",데이터입력!$AB$8,IF(F72="07",데이터입력!$AD$8,IF(F72="05",데이터입력!$AF$8,데이터입력!$AB$8))),데이터입력!$AB$8)</f>
        <v>00</v>
      </c>
      <c r="C72" s="684" t="str">
        <f>데이터입력!$AC$9</f>
        <v>일반사업[일반]</v>
      </c>
      <c r="D72" s="238" t="str">
        <f>IFERROR(VLOOKUP($A72,데이터입력!$A:$H,4,FALSE),"")</f>
        <v/>
      </c>
      <c r="E72" s="238" t="str">
        <f>IFERROR(VLOOKUP($A72,데이터입력!$A:$H,2,FALSE),"")</f>
        <v/>
      </c>
      <c r="F72" s="238" t="str">
        <f>IFERROR(VLOOKUP($A72,데이터입력!$A:$H,5,FALSE),"")</f>
        <v/>
      </c>
      <c r="G72" s="238" t="str">
        <f>IFERROR(VLOOKUP($A72,데이터입력!$A:$H,6,FALSE),"")</f>
        <v/>
      </c>
      <c r="H72" s="239" t="str">
        <f>IFERROR(VLOOKUP($A72,데이터입력!$A:$L,8,FALSE)+VLOOKUP($A72,데이터입력!$A:$L,9,FALSE)+VLOOKUP($A72,데이터입력!$A:$L,10,FALSE),"")</f>
        <v/>
      </c>
      <c r="I72" s="234" t="s">
        <v>136</v>
      </c>
      <c r="J72" s="234" t="s">
        <v>136</v>
      </c>
      <c r="K72" s="234" t="s">
        <v>136</v>
      </c>
      <c r="M72" s="235" t="str">
        <f>데이터입력!$AB$8</f>
        <v>00</v>
      </c>
      <c r="N72" s="238" t="str">
        <f>데이터입력!$AC$9</f>
        <v>일반사업[일반]</v>
      </c>
      <c r="O72" s="236" t="str">
        <f>IFERROR(VLOOKUP($A72,보수일람표!$A:$M,4,FALSE),"")</f>
        <v/>
      </c>
      <c r="P72" s="236" t="str">
        <f>IFERROR(VLOOKUP($A72,보수일람표!$A:$M,5,FALSE),"")</f>
        <v/>
      </c>
      <c r="Q72" s="923" t="str">
        <f>IFERROR(VLOOKUP($A72,보수일람표!$A:$M,6,FALSE),"")</f>
        <v/>
      </c>
      <c r="R72" s="236" t="str">
        <f>IFERROR(VLOOKUP($A72,보수일람표!$A:$M,7,FALSE),"")</f>
        <v>직접</v>
      </c>
      <c r="S72" s="236"/>
      <c r="T72" s="237">
        <f>IFERROR(VLOOKUP($A72,보수일람표!$A:$M,9,FALSE),"")</f>
        <v>0</v>
      </c>
      <c r="U72" s="237">
        <f>IFERROR(VLOOKUP($A72,보수일람표!$A:$M,10,FALSE),"")</f>
        <v>0</v>
      </c>
      <c r="V72" s="237">
        <f>IFERROR(VLOOKUP($A72,보수일람표!$A:$M,11,FALSE),"")</f>
        <v>0</v>
      </c>
      <c r="W72" s="237">
        <f>IFERROR(VLOOKUP($A72,보수일람표!$A:$M,12,FALSE),"")</f>
        <v>0</v>
      </c>
      <c r="X72" s="237">
        <f>IFERROR(VLOOKUP($A72,보수일람표!$A:$M,13,FALSE),"")</f>
        <v>0</v>
      </c>
    </row>
    <row r="73" spans="1:24">
      <c r="A73" s="225">
        <v>71</v>
      </c>
      <c r="B73" s="233" t="str">
        <f>IFERROR(IF(F73="06",데이터입력!$AB$8,IF(F73="07",데이터입력!$AD$8,IF(F73="05",데이터입력!$AF$8,데이터입력!$AB$8))),데이터입력!$AB$8)</f>
        <v>00</v>
      </c>
      <c r="C73" s="684" t="str">
        <f>데이터입력!$AC$9</f>
        <v>일반사업[일반]</v>
      </c>
      <c r="D73" s="238" t="str">
        <f>IFERROR(VLOOKUP($A73,데이터입력!$A:$H,4,FALSE),"")</f>
        <v/>
      </c>
      <c r="E73" s="238" t="str">
        <f>IFERROR(VLOOKUP($A73,데이터입력!$A:$H,2,FALSE),"")</f>
        <v/>
      </c>
      <c r="F73" s="238" t="str">
        <f>IFERROR(VLOOKUP($A73,데이터입력!$A:$H,5,FALSE),"")</f>
        <v/>
      </c>
      <c r="G73" s="238" t="str">
        <f>IFERROR(VLOOKUP($A73,데이터입력!$A:$H,6,FALSE),"")</f>
        <v/>
      </c>
      <c r="H73" s="239" t="str">
        <f>IFERROR(VLOOKUP($A73,데이터입력!$A:$L,8,FALSE)+VLOOKUP($A73,데이터입력!$A:$L,9,FALSE)+VLOOKUP($A73,데이터입력!$A:$L,10,FALSE),"")</f>
        <v/>
      </c>
      <c r="I73" s="234" t="s">
        <v>136</v>
      </c>
      <c r="J73" s="234" t="s">
        <v>136</v>
      </c>
      <c r="K73" s="234" t="s">
        <v>136</v>
      </c>
      <c r="M73" s="235" t="str">
        <f>데이터입력!$AB$8</f>
        <v>00</v>
      </c>
      <c r="N73" s="238" t="str">
        <f>데이터입력!$AC$9</f>
        <v>일반사업[일반]</v>
      </c>
      <c r="O73" s="236" t="str">
        <f>IFERROR(VLOOKUP($A73,보수일람표!$A:$M,4,FALSE),"")</f>
        <v/>
      </c>
      <c r="P73" s="236" t="str">
        <f>IFERROR(VLOOKUP($A73,보수일람표!$A:$M,5,FALSE),"")</f>
        <v/>
      </c>
      <c r="Q73" s="923" t="str">
        <f>IFERROR(VLOOKUP($A73,보수일람표!$A:$M,6,FALSE),"")</f>
        <v/>
      </c>
      <c r="R73" s="236" t="str">
        <f>IFERROR(VLOOKUP($A73,보수일람표!$A:$M,7,FALSE),"")</f>
        <v>직접</v>
      </c>
      <c r="S73" s="236"/>
      <c r="T73" s="237">
        <f>IFERROR(VLOOKUP($A73,보수일람표!$A:$M,9,FALSE),"")</f>
        <v>0</v>
      </c>
      <c r="U73" s="237">
        <f>IFERROR(VLOOKUP($A73,보수일람표!$A:$M,10,FALSE),"")</f>
        <v>0</v>
      </c>
      <c r="V73" s="237">
        <f>IFERROR(VLOOKUP($A73,보수일람표!$A:$M,11,FALSE),"")</f>
        <v>0</v>
      </c>
      <c r="W73" s="237">
        <f>IFERROR(VLOOKUP($A73,보수일람표!$A:$M,12,FALSE),"")</f>
        <v>0</v>
      </c>
      <c r="X73" s="237">
        <f>IFERROR(VLOOKUP($A73,보수일람표!$A:$M,13,FALSE),"")</f>
        <v>0</v>
      </c>
    </row>
    <row r="74" spans="1:24">
      <c r="A74" s="225">
        <v>72</v>
      </c>
      <c r="B74" s="233" t="str">
        <f>IFERROR(IF(F74="06",데이터입력!$AB$8,IF(F74="07",데이터입력!$AD$8,IF(F74="05",데이터입력!$AF$8,데이터입력!$AB$8))),데이터입력!$AB$8)</f>
        <v>00</v>
      </c>
      <c r="C74" s="684" t="str">
        <f>데이터입력!$AC$9</f>
        <v>일반사업[일반]</v>
      </c>
      <c r="D74" s="238" t="str">
        <f>IFERROR(VLOOKUP($A74,데이터입력!$A:$H,4,FALSE),"")</f>
        <v/>
      </c>
      <c r="E74" s="238" t="str">
        <f>IFERROR(VLOOKUP($A74,데이터입력!$A:$H,2,FALSE),"")</f>
        <v/>
      </c>
      <c r="F74" s="238" t="str">
        <f>IFERROR(VLOOKUP($A74,데이터입력!$A:$H,5,FALSE),"")</f>
        <v/>
      </c>
      <c r="G74" s="238" t="str">
        <f>IFERROR(VLOOKUP($A74,데이터입력!$A:$H,6,FALSE),"")</f>
        <v/>
      </c>
      <c r="H74" s="239" t="str">
        <f>IFERROR(VLOOKUP($A74,데이터입력!$A:$L,8,FALSE)+VLOOKUP($A74,데이터입력!$A:$L,9,FALSE)+VLOOKUP($A74,데이터입력!$A:$L,10,FALSE),"")</f>
        <v/>
      </c>
      <c r="I74" s="234" t="s">
        <v>136</v>
      </c>
      <c r="J74" s="234" t="s">
        <v>136</v>
      </c>
      <c r="K74" s="234" t="s">
        <v>136</v>
      </c>
      <c r="M74" s="235" t="str">
        <f>데이터입력!$AB$8</f>
        <v>00</v>
      </c>
      <c r="N74" s="238" t="str">
        <f>데이터입력!$AC$9</f>
        <v>일반사업[일반]</v>
      </c>
      <c r="O74" s="236" t="str">
        <f>IFERROR(VLOOKUP($A74,보수일람표!$A:$M,4,FALSE),"")</f>
        <v/>
      </c>
      <c r="P74" s="236" t="str">
        <f>IFERROR(VLOOKUP($A74,보수일람표!$A:$M,5,FALSE),"")</f>
        <v/>
      </c>
      <c r="Q74" s="923" t="str">
        <f>IFERROR(VLOOKUP($A74,보수일람표!$A:$M,6,FALSE),"")</f>
        <v/>
      </c>
      <c r="R74" s="236" t="str">
        <f>IFERROR(VLOOKUP($A74,보수일람표!$A:$M,7,FALSE),"")</f>
        <v>직접</v>
      </c>
      <c r="S74" s="236"/>
      <c r="T74" s="237">
        <f>IFERROR(VLOOKUP($A74,보수일람표!$A:$M,9,FALSE),"")</f>
        <v>0</v>
      </c>
      <c r="U74" s="237">
        <f>IFERROR(VLOOKUP($A74,보수일람표!$A:$M,10,FALSE),"")</f>
        <v>0</v>
      </c>
      <c r="V74" s="237">
        <f>IFERROR(VLOOKUP($A74,보수일람표!$A:$M,11,FALSE),"")</f>
        <v>0</v>
      </c>
      <c r="W74" s="237">
        <f>IFERROR(VLOOKUP($A74,보수일람표!$A:$M,12,FALSE),"")</f>
        <v>0</v>
      </c>
      <c r="X74" s="237">
        <f>IFERROR(VLOOKUP($A74,보수일람표!$A:$M,13,FALSE),"")</f>
        <v>0</v>
      </c>
    </row>
    <row r="75" spans="1:24">
      <c r="A75" s="225">
        <v>73</v>
      </c>
      <c r="B75" s="233" t="str">
        <f>IFERROR(IF(F75="06",데이터입력!$AB$8,IF(F75="07",데이터입력!$AD$8,IF(F75="05",데이터입력!$AF$8,데이터입력!$AB$8))),데이터입력!$AB$8)</f>
        <v>00</v>
      </c>
      <c r="C75" s="684" t="str">
        <f>데이터입력!$AC$9</f>
        <v>일반사업[일반]</v>
      </c>
      <c r="D75" s="238" t="str">
        <f>IFERROR(VLOOKUP($A75,데이터입력!$A:$H,4,FALSE),"")</f>
        <v/>
      </c>
      <c r="E75" s="238" t="str">
        <f>IFERROR(VLOOKUP($A75,데이터입력!$A:$H,2,FALSE),"")</f>
        <v/>
      </c>
      <c r="F75" s="238" t="str">
        <f>IFERROR(VLOOKUP($A75,데이터입력!$A:$H,5,FALSE),"")</f>
        <v/>
      </c>
      <c r="G75" s="238" t="str">
        <f>IFERROR(VLOOKUP($A75,데이터입력!$A:$H,6,FALSE),"")</f>
        <v/>
      </c>
      <c r="H75" s="239" t="str">
        <f>IFERROR(VLOOKUP($A75,데이터입력!$A:$L,8,FALSE)+VLOOKUP($A75,데이터입력!$A:$L,9,FALSE)+VLOOKUP($A75,데이터입력!$A:$L,10,FALSE),"")</f>
        <v/>
      </c>
      <c r="I75" s="234" t="s">
        <v>136</v>
      </c>
      <c r="J75" s="234" t="s">
        <v>136</v>
      </c>
      <c r="K75" s="234" t="s">
        <v>136</v>
      </c>
      <c r="M75" s="235" t="str">
        <f>데이터입력!$AB$8</f>
        <v>00</v>
      </c>
      <c r="N75" s="238" t="str">
        <f>데이터입력!$AC$9</f>
        <v>일반사업[일반]</v>
      </c>
      <c r="O75" s="236" t="str">
        <f>IFERROR(VLOOKUP($A75,보수일람표!$A:$M,4,FALSE),"")</f>
        <v/>
      </c>
      <c r="P75" s="236" t="str">
        <f>IFERROR(VLOOKUP($A75,보수일람표!$A:$M,5,FALSE),"")</f>
        <v/>
      </c>
      <c r="Q75" s="923" t="str">
        <f>IFERROR(VLOOKUP($A75,보수일람표!$A:$M,6,FALSE),"")</f>
        <v/>
      </c>
      <c r="R75" s="236" t="str">
        <f>IFERROR(VLOOKUP($A75,보수일람표!$A:$M,7,FALSE),"")</f>
        <v>직접</v>
      </c>
      <c r="S75" s="236"/>
      <c r="T75" s="237">
        <f>IFERROR(VLOOKUP($A75,보수일람표!$A:$M,9,FALSE),"")</f>
        <v>0</v>
      </c>
      <c r="U75" s="237">
        <f>IFERROR(VLOOKUP($A75,보수일람표!$A:$M,10,FALSE),"")</f>
        <v>0</v>
      </c>
      <c r="V75" s="237">
        <f>IFERROR(VLOOKUP($A75,보수일람표!$A:$M,11,FALSE),"")</f>
        <v>0</v>
      </c>
      <c r="W75" s="237">
        <f>IFERROR(VLOOKUP($A75,보수일람표!$A:$M,12,FALSE),"")</f>
        <v>0</v>
      </c>
      <c r="X75" s="237">
        <f>IFERROR(VLOOKUP($A75,보수일람표!$A:$M,13,FALSE),"")</f>
        <v>0</v>
      </c>
    </row>
    <row r="76" spans="1:24">
      <c r="A76" s="225">
        <v>74</v>
      </c>
      <c r="B76" s="233" t="str">
        <f>IFERROR(IF(F76="06",데이터입력!$AB$8,IF(F76="07",데이터입력!$AD$8,IF(F76="05",데이터입력!$AF$8,데이터입력!$AB$8))),데이터입력!$AB$8)</f>
        <v>00</v>
      </c>
      <c r="C76" s="684" t="str">
        <f>데이터입력!$AC$9</f>
        <v>일반사업[일반]</v>
      </c>
      <c r="D76" s="238" t="str">
        <f>IFERROR(VLOOKUP($A76,데이터입력!$A:$H,4,FALSE),"")</f>
        <v/>
      </c>
      <c r="E76" s="238" t="str">
        <f>IFERROR(VLOOKUP($A76,데이터입력!$A:$H,2,FALSE),"")</f>
        <v/>
      </c>
      <c r="F76" s="238" t="str">
        <f>IFERROR(VLOOKUP($A76,데이터입력!$A:$H,5,FALSE),"")</f>
        <v/>
      </c>
      <c r="G76" s="238" t="str">
        <f>IFERROR(VLOOKUP($A76,데이터입력!$A:$H,6,FALSE),"")</f>
        <v/>
      </c>
      <c r="H76" s="239" t="str">
        <f>IFERROR(VLOOKUP($A76,데이터입력!$A:$L,8,FALSE)+VLOOKUP($A76,데이터입력!$A:$L,9,FALSE)+VLOOKUP($A76,데이터입력!$A:$L,10,FALSE),"")</f>
        <v/>
      </c>
      <c r="I76" s="234" t="s">
        <v>136</v>
      </c>
      <c r="J76" s="234" t="s">
        <v>136</v>
      </c>
      <c r="K76" s="234" t="s">
        <v>136</v>
      </c>
      <c r="M76" s="235" t="str">
        <f>데이터입력!$AB$8</f>
        <v>00</v>
      </c>
      <c r="N76" s="238" t="str">
        <f>데이터입력!$AC$9</f>
        <v>일반사업[일반]</v>
      </c>
      <c r="O76" s="236" t="str">
        <f>IFERROR(VLOOKUP($A76,보수일람표!$A:$M,4,FALSE),"")</f>
        <v/>
      </c>
      <c r="P76" s="236" t="str">
        <f>IFERROR(VLOOKUP($A76,보수일람표!$A:$M,5,FALSE),"")</f>
        <v/>
      </c>
      <c r="Q76" s="923" t="str">
        <f>IFERROR(VLOOKUP($A76,보수일람표!$A:$M,6,FALSE),"")</f>
        <v/>
      </c>
      <c r="R76" s="236" t="str">
        <f>IFERROR(VLOOKUP($A76,보수일람표!$A:$M,7,FALSE),"")</f>
        <v>직접</v>
      </c>
      <c r="S76" s="236"/>
      <c r="T76" s="237">
        <f>IFERROR(VLOOKUP($A76,보수일람표!$A:$M,9,FALSE),"")</f>
        <v>0</v>
      </c>
      <c r="U76" s="237">
        <f>IFERROR(VLOOKUP($A76,보수일람표!$A:$M,10,FALSE),"")</f>
        <v>0</v>
      </c>
      <c r="V76" s="237">
        <f>IFERROR(VLOOKUP($A76,보수일람표!$A:$M,11,FALSE),"")</f>
        <v>0</v>
      </c>
      <c r="W76" s="237">
        <f>IFERROR(VLOOKUP($A76,보수일람표!$A:$M,12,FALSE),"")</f>
        <v>0</v>
      </c>
      <c r="X76" s="237">
        <f>IFERROR(VLOOKUP($A76,보수일람표!$A:$M,13,FALSE),"")</f>
        <v>0</v>
      </c>
    </row>
    <row r="77" spans="1:24">
      <c r="A77" s="225">
        <v>75</v>
      </c>
      <c r="B77" s="233" t="str">
        <f>IFERROR(IF(F77="06",데이터입력!$AB$8,IF(F77="07",데이터입력!$AD$8,IF(F77="05",데이터입력!$AF$8,데이터입력!$AB$8))),데이터입력!$AB$8)</f>
        <v>00</v>
      </c>
      <c r="C77" s="684" t="str">
        <f>데이터입력!$AC$9</f>
        <v>일반사업[일반]</v>
      </c>
      <c r="D77" s="238" t="str">
        <f>IFERROR(VLOOKUP($A77,데이터입력!$A:$H,4,FALSE),"")</f>
        <v/>
      </c>
      <c r="E77" s="238" t="str">
        <f>IFERROR(VLOOKUP($A77,데이터입력!$A:$H,2,FALSE),"")</f>
        <v/>
      </c>
      <c r="F77" s="238" t="str">
        <f>IFERROR(VLOOKUP($A77,데이터입력!$A:$H,5,FALSE),"")</f>
        <v/>
      </c>
      <c r="G77" s="238" t="str">
        <f>IFERROR(VLOOKUP($A77,데이터입력!$A:$H,6,FALSE),"")</f>
        <v/>
      </c>
      <c r="H77" s="239" t="str">
        <f>IFERROR(VLOOKUP($A77,데이터입력!$A:$L,8,FALSE)+VLOOKUP($A77,데이터입력!$A:$L,9,FALSE)+VLOOKUP($A77,데이터입력!$A:$L,10,FALSE),"")</f>
        <v/>
      </c>
      <c r="I77" s="234" t="s">
        <v>136</v>
      </c>
      <c r="J77" s="234" t="s">
        <v>136</v>
      </c>
      <c r="K77" s="234" t="s">
        <v>136</v>
      </c>
      <c r="M77" s="235" t="str">
        <f>데이터입력!$AB$8</f>
        <v>00</v>
      </c>
      <c r="N77" s="238" t="str">
        <f>데이터입력!$AC$9</f>
        <v>일반사업[일반]</v>
      </c>
      <c r="O77" s="236" t="str">
        <f>IFERROR(VLOOKUP($A77,보수일람표!$A:$M,4,FALSE),"")</f>
        <v/>
      </c>
      <c r="P77" s="236" t="str">
        <f>IFERROR(VLOOKUP($A77,보수일람표!$A:$M,5,FALSE),"")</f>
        <v/>
      </c>
      <c r="Q77" s="923" t="str">
        <f>IFERROR(VLOOKUP($A77,보수일람표!$A:$M,6,FALSE),"")</f>
        <v/>
      </c>
      <c r="R77" s="236" t="str">
        <f>IFERROR(VLOOKUP($A77,보수일람표!$A:$M,7,FALSE),"")</f>
        <v>직접</v>
      </c>
      <c r="S77" s="236"/>
      <c r="T77" s="237">
        <f>IFERROR(VLOOKUP($A77,보수일람표!$A:$M,9,FALSE),"")</f>
        <v>0</v>
      </c>
      <c r="U77" s="237">
        <f>IFERROR(VLOOKUP($A77,보수일람표!$A:$M,10,FALSE),"")</f>
        <v>0</v>
      </c>
      <c r="V77" s="237">
        <f>IFERROR(VLOOKUP($A77,보수일람표!$A:$M,11,FALSE),"")</f>
        <v>0</v>
      </c>
      <c r="W77" s="237">
        <f>IFERROR(VLOOKUP($A77,보수일람표!$A:$M,12,FALSE),"")</f>
        <v>0</v>
      </c>
      <c r="X77" s="237">
        <f>IFERROR(VLOOKUP($A77,보수일람표!$A:$M,13,FALSE),"")</f>
        <v>0</v>
      </c>
    </row>
    <row r="78" spans="1:24">
      <c r="A78" s="225">
        <v>76</v>
      </c>
      <c r="B78" s="233" t="str">
        <f>IFERROR(IF(F78="06",데이터입력!$AB$8,IF(F78="07",데이터입력!$AD$8,IF(F78="05",데이터입력!$AF$8,데이터입력!$AB$8))),데이터입력!$AB$8)</f>
        <v>00</v>
      </c>
      <c r="C78" s="684" t="str">
        <f>데이터입력!$AC$9</f>
        <v>일반사업[일반]</v>
      </c>
      <c r="D78" s="238" t="str">
        <f>IFERROR(VLOOKUP($A78,데이터입력!$A:$H,4,FALSE),"")</f>
        <v/>
      </c>
      <c r="E78" s="238" t="str">
        <f>IFERROR(VLOOKUP($A78,데이터입력!$A:$H,2,FALSE),"")</f>
        <v/>
      </c>
      <c r="F78" s="238" t="str">
        <f>IFERROR(VLOOKUP($A78,데이터입력!$A:$H,5,FALSE),"")</f>
        <v/>
      </c>
      <c r="G78" s="238" t="str">
        <f>IFERROR(VLOOKUP($A78,데이터입력!$A:$H,6,FALSE),"")</f>
        <v/>
      </c>
      <c r="H78" s="239" t="str">
        <f>IFERROR(VLOOKUP($A78,데이터입력!$A:$L,8,FALSE)+VLOOKUP($A78,데이터입력!$A:$L,9,FALSE)+VLOOKUP($A78,데이터입력!$A:$L,10,FALSE),"")</f>
        <v/>
      </c>
      <c r="I78" s="234" t="s">
        <v>136</v>
      </c>
      <c r="J78" s="234" t="s">
        <v>136</v>
      </c>
      <c r="K78" s="234" t="s">
        <v>136</v>
      </c>
      <c r="M78" s="235" t="str">
        <f>데이터입력!$AB$8</f>
        <v>00</v>
      </c>
      <c r="N78" s="238" t="str">
        <f>데이터입력!$AC$9</f>
        <v>일반사업[일반]</v>
      </c>
      <c r="O78" s="236" t="str">
        <f>IFERROR(VLOOKUP($A78,보수일람표!$A:$M,4,FALSE),"")</f>
        <v/>
      </c>
      <c r="P78" s="236" t="str">
        <f>IFERROR(VLOOKUP($A78,보수일람표!$A:$M,5,FALSE),"")</f>
        <v/>
      </c>
      <c r="Q78" s="923" t="str">
        <f>IFERROR(VLOOKUP($A78,보수일람표!$A:$M,6,FALSE),"")</f>
        <v/>
      </c>
      <c r="R78" s="236" t="str">
        <f>IFERROR(VLOOKUP($A78,보수일람표!$A:$M,7,FALSE),"")</f>
        <v>직접</v>
      </c>
      <c r="S78" s="236"/>
      <c r="T78" s="237">
        <f>IFERROR(VLOOKUP($A78,보수일람표!$A:$M,9,FALSE),"")</f>
        <v>0</v>
      </c>
      <c r="U78" s="237">
        <f>IFERROR(VLOOKUP($A78,보수일람표!$A:$M,10,FALSE),"")</f>
        <v>0</v>
      </c>
      <c r="V78" s="237">
        <f>IFERROR(VLOOKUP($A78,보수일람표!$A:$M,11,FALSE),"")</f>
        <v>0</v>
      </c>
      <c r="W78" s="237">
        <f>IFERROR(VLOOKUP($A78,보수일람표!$A:$M,12,FALSE),"")</f>
        <v>0</v>
      </c>
      <c r="X78" s="237">
        <f>IFERROR(VLOOKUP($A78,보수일람표!$A:$M,13,FALSE),"")</f>
        <v>0</v>
      </c>
    </row>
    <row r="79" spans="1:24">
      <c r="A79" s="225">
        <v>77</v>
      </c>
      <c r="B79" s="233" t="str">
        <f>IFERROR(IF(F79="06",데이터입력!$AB$8,IF(F79="07",데이터입력!$AD$8,IF(F79="05",데이터입력!$AF$8,데이터입력!$AB$8))),데이터입력!$AB$8)</f>
        <v>00</v>
      </c>
      <c r="C79" s="684" t="str">
        <f>데이터입력!$AC$9</f>
        <v>일반사업[일반]</v>
      </c>
      <c r="D79" s="238" t="str">
        <f>IFERROR(VLOOKUP($A79,데이터입력!$A:$H,4,FALSE),"")</f>
        <v/>
      </c>
      <c r="E79" s="238" t="str">
        <f>IFERROR(VLOOKUP($A79,데이터입력!$A:$H,2,FALSE),"")</f>
        <v/>
      </c>
      <c r="F79" s="238" t="str">
        <f>IFERROR(VLOOKUP($A79,데이터입력!$A:$H,5,FALSE),"")</f>
        <v/>
      </c>
      <c r="G79" s="238" t="str">
        <f>IFERROR(VLOOKUP($A79,데이터입력!$A:$H,6,FALSE),"")</f>
        <v/>
      </c>
      <c r="H79" s="239" t="str">
        <f>IFERROR(VLOOKUP($A79,데이터입력!$A:$L,8,FALSE)+VLOOKUP($A79,데이터입력!$A:$L,9,FALSE)+VLOOKUP($A79,데이터입력!$A:$L,10,FALSE),"")</f>
        <v/>
      </c>
      <c r="I79" s="234" t="s">
        <v>136</v>
      </c>
      <c r="J79" s="234" t="s">
        <v>136</v>
      </c>
      <c r="K79" s="234" t="s">
        <v>136</v>
      </c>
      <c r="M79" s="235" t="str">
        <f>데이터입력!$AB$8</f>
        <v>00</v>
      </c>
      <c r="N79" s="238" t="str">
        <f>데이터입력!$AC$9</f>
        <v>일반사업[일반]</v>
      </c>
      <c r="O79" s="236" t="str">
        <f>IFERROR(VLOOKUP($A79,보수일람표!$A:$M,4,FALSE),"")</f>
        <v/>
      </c>
      <c r="P79" s="236" t="str">
        <f>IFERROR(VLOOKUP($A79,보수일람표!$A:$M,5,FALSE),"")</f>
        <v/>
      </c>
      <c r="Q79" s="923" t="str">
        <f>IFERROR(VLOOKUP($A79,보수일람표!$A:$M,6,FALSE),"")</f>
        <v/>
      </c>
      <c r="R79" s="236" t="str">
        <f>IFERROR(VLOOKUP($A79,보수일람표!$A:$M,7,FALSE),"")</f>
        <v>직접</v>
      </c>
      <c r="S79" s="236"/>
      <c r="T79" s="237">
        <f>IFERROR(VLOOKUP($A79,보수일람표!$A:$M,9,FALSE),"")</f>
        <v>0</v>
      </c>
      <c r="U79" s="237">
        <f>IFERROR(VLOOKUP($A79,보수일람표!$A:$M,10,FALSE),"")</f>
        <v>0</v>
      </c>
      <c r="V79" s="237">
        <f>IFERROR(VLOOKUP($A79,보수일람표!$A:$M,11,FALSE),"")</f>
        <v>0</v>
      </c>
      <c r="W79" s="237">
        <f>IFERROR(VLOOKUP($A79,보수일람표!$A:$M,12,FALSE),"")</f>
        <v>0</v>
      </c>
      <c r="X79" s="237">
        <f>IFERROR(VLOOKUP($A79,보수일람표!$A:$M,13,FALSE),"")</f>
        <v>0</v>
      </c>
    </row>
    <row r="80" spans="1:24">
      <c r="A80" s="225">
        <v>78</v>
      </c>
      <c r="B80" s="233" t="str">
        <f>IFERROR(IF(F80="06",데이터입력!$AB$8,IF(F80="07",데이터입력!$AD$8,IF(F80="05",데이터입력!$AF$8,데이터입력!$AB$8))),데이터입력!$AB$8)</f>
        <v>00</v>
      </c>
      <c r="C80" s="684" t="str">
        <f>데이터입력!$AC$9</f>
        <v>일반사업[일반]</v>
      </c>
      <c r="D80" s="238" t="str">
        <f>IFERROR(VLOOKUP($A80,데이터입력!$A:$H,4,FALSE),"")</f>
        <v/>
      </c>
      <c r="E80" s="238" t="str">
        <f>IFERROR(VLOOKUP($A80,데이터입력!$A:$H,2,FALSE),"")</f>
        <v/>
      </c>
      <c r="F80" s="238" t="str">
        <f>IFERROR(VLOOKUP($A80,데이터입력!$A:$H,5,FALSE),"")</f>
        <v/>
      </c>
      <c r="G80" s="238" t="str">
        <f>IFERROR(VLOOKUP($A80,데이터입력!$A:$H,6,FALSE),"")</f>
        <v/>
      </c>
      <c r="H80" s="239" t="str">
        <f>IFERROR(VLOOKUP($A80,데이터입력!$A:$L,8,FALSE)+VLOOKUP($A80,데이터입력!$A:$L,9,FALSE)+VLOOKUP($A80,데이터입력!$A:$L,10,FALSE),"")</f>
        <v/>
      </c>
      <c r="I80" s="234" t="s">
        <v>136</v>
      </c>
      <c r="J80" s="234" t="s">
        <v>136</v>
      </c>
      <c r="K80" s="234" t="s">
        <v>136</v>
      </c>
      <c r="M80" s="235" t="str">
        <f>데이터입력!$AB$8</f>
        <v>00</v>
      </c>
      <c r="N80" s="238" t="str">
        <f>데이터입력!$AC$9</f>
        <v>일반사업[일반]</v>
      </c>
      <c r="O80" s="236" t="str">
        <f>IFERROR(VLOOKUP($A80,보수일람표!$A:$M,4,FALSE),"")</f>
        <v/>
      </c>
      <c r="P80" s="236" t="str">
        <f>IFERROR(VLOOKUP($A80,보수일람표!$A:$M,5,FALSE),"")</f>
        <v/>
      </c>
      <c r="Q80" s="923" t="str">
        <f>IFERROR(VLOOKUP($A80,보수일람표!$A:$M,6,FALSE),"")</f>
        <v/>
      </c>
      <c r="R80" s="236" t="str">
        <f>IFERROR(VLOOKUP($A80,보수일람표!$A:$M,7,FALSE),"")</f>
        <v>직접</v>
      </c>
      <c r="S80" s="236"/>
      <c r="T80" s="237">
        <f>IFERROR(VLOOKUP($A80,보수일람표!$A:$M,9,FALSE),"")</f>
        <v>0</v>
      </c>
      <c r="U80" s="237">
        <f>IFERROR(VLOOKUP($A80,보수일람표!$A:$M,10,FALSE),"")</f>
        <v>0</v>
      </c>
      <c r="V80" s="237">
        <f>IFERROR(VLOOKUP($A80,보수일람표!$A:$M,11,FALSE),"")</f>
        <v>0</v>
      </c>
      <c r="W80" s="237">
        <f>IFERROR(VLOOKUP($A80,보수일람표!$A:$M,12,FALSE),"")</f>
        <v>0</v>
      </c>
      <c r="X80" s="237">
        <f>IFERROR(VLOOKUP($A80,보수일람표!$A:$M,13,FALSE),"")</f>
        <v>0</v>
      </c>
    </row>
    <row r="81" spans="1:24">
      <c r="A81" s="225">
        <v>79</v>
      </c>
      <c r="B81" s="233" t="str">
        <f>IFERROR(IF(F81="06",데이터입력!$AB$8,IF(F81="07",데이터입력!$AD$8,IF(F81="05",데이터입력!$AF$8,데이터입력!$AB$8))),데이터입력!$AB$8)</f>
        <v>00</v>
      </c>
      <c r="C81" s="684" t="str">
        <f>데이터입력!$AC$9</f>
        <v>일반사업[일반]</v>
      </c>
      <c r="D81" s="238" t="str">
        <f>IFERROR(VLOOKUP($A81,데이터입력!$A:$H,4,FALSE),"")</f>
        <v/>
      </c>
      <c r="E81" s="238" t="str">
        <f>IFERROR(VLOOKUP($A81,데이터입력!$A:$H,2,FALSE),"")</f>
        <v/>
      </c>
      <c r="F81" s="238" t="str">
        <f>IFERROR(VLOOKUP($A81,데이터입력!$A:$H,5,FALSE),"")</f>
        <v/>
      </c>
      <c r="G81" s="238" t="str">
        <f>IFERROR(VLOOKUP($A81,데이터입력!$A:$H,6,FALSE),"")</f>
        <v/>
      </c>
      <c r="H81" s="239" t="str">
        <f>IFERROR(VLOOKUP($A81,데이터입력!$A:$L,8,FALSE)+VLOOKUP($A81,데이터입력!$A:$L,9,FALSE)+VLOOKUP($A81,데이터입력!$A:$L,10,FALSE),"")</f>
        <v/>
      </c>
      <c r="I81" s="234" t="s">
        <v>136</v>
      </c>
      <c r="J81" s="234" t="s">
        <v>136</v>
      </c>
      <c r="K81" s="234" t="s">
        <v>136</v>
      </c>
      <c r="M81" s="235" t="str">
        <f>데이터입력!$AB$8</f>
        <v>00</v>
      </c>
      <c r="N81" s="238" t="str">
        <f>데이터입력!$AC$9</f>
        <v>일반사업[일반]</v>
      </c>
      <c r="O81" s="236" t="str">
        <f>IFERROR(VLOOKUP($A81,보수일람표!$A:$M,4,FALSE),"")</f>
        <v/>
      </c>
      <c r="P81" s="236" t="str">
        <f>IFERROR(VLOOKUP($A81,보수일람표!$A:$M,5,FALSE),"")</f>
        <v/>
      </c>
      <c r="Q81" s="923" t="str">
        <f>IFERROR(VLOOKUP($A81,보수일람표!$A:$M,6,FALSE),"")</f>
        <v/>
      </c>
      <c r="R81" s="236" t="str">
        <f>IFERROR(VLOOKUP($A81,보수일람표!$A:$M,7,FALSE),"")</f>
        <v>직접</v>
      </c>
      <c r="S81" s="236"/>
      <c r="T81" s="237">
        <f>IFERROR(VLOOKUP($A81,보수일람표!$A:$M,9,FALSE),"")</f>
        <v>0</v>
      </c>
      <c r="U81" s="237">
        <f>IFERROR(VLOOKUP($A81,보수일람표!$A:$M,10,FALSE),"")</f>
        <v>0</v>
      </c>
      <c r="V81" s="237">
        <f>IFERROR(VLOOKUP($A81,보수일람표!$A:$M,11,FALSE),"")</f>
        <v>0</v>
      </c>
      <c r="W81" s="237">
        <f>IFERROR(VLOOKUP($A81,보수일람표!$A:$M,12,FALSE),"")</f>
        <v>0</v>
      </c>
      <c r="X81" s="237">
        <f>IFERROR(VLOOKUP($A81,보수일람표!$A:$M,13,FALSE),"")</f>
        <v>0</v>
      </c>
    </row>
    <row r="82" spans="1:24">
      <c r="A82" s="225">
        <v>80</v>
      </c>
      <c r="B82" s="233" t="str">
        <f>IFERROR(IF(F82="06",데이터입력!$AB$8,IF(F82="07",데이터입력!$AD$8,IF(F82="05",데이터입력!$AF$8,데이터입력!$AB$8))),데이터입력!$AB$8)</f>
        <v>00</v>
      </c>
      <c r="C82" s="684" t="str">
        <f>데이터입력!$AC$9</f>
        <v>일반사업[일반]</v>
      </c>
      <c r="D82" s="238" t="str">
        <f>IFERROR(VLOOKUP($A82,데이터입력!$A:$H,4,FALSE),"")</f>
        <v/>
      </c>
      <c r="E82" s="238" t="str">
        <f>IFERROR(VLOOKUP($A82,데이터입력!$A:$H,2,FALSE),"")</f>
        <v/>
      </c>
      <c r="F82" s="238" t="str">
        <f>IFERROR(VLOOKUP($A82,데이터입력!$A:$H,5,FALSE),"")</f>
        <v/>
      </c>
      <c r="G82" s="238" t="str">
        <f>IFERROR(VLOOKUP($A82,데이터입력!$A:$H,6,FALSE),"")</f>
        <v/>
      </c>
      <c r="H82" s="239" t="str">
        <f>IFERROR(VLOOKUP($A82,데이터입력!$A:$L,8,FALSE)+VLOOKUP($A82,데이터입력!$A:$L,9,FALSE)+VLOOKUP($A82,데이터입력!$A:$L,10,FALSE),"")</f>
        <v/>
      </c>
      <c r="I82" s="234" t="s">
        <v>136</v>
      </c>
      <c r="J82" s="234" t="s">
        <v>136</v>
      </c>
      <c r="K82" s="234" t="s">
        <v>136</v>
      </c>
      <c r="M82" s="235" t="str">
        <f>데이터입력!$AB$8</f>
        <v>00</v>
      </c>
      <c r="N82" s="238" t="str">
        <f>데이터입력!$AC$9</f>
        <v>일반사업[일반]</v>
      </c>
      <c r="O82" s="236" t="str">
        <f>IFERROR(VLOOKUP($A82,보수일람표!$A:$M,4,FALSE),"")</f>
        <v/>
      </c>
      <c r="P82" s="236" t="str">
        <f>IFERROR(VLOOKUP($A82,보수일람표!$A:$M,5,FALSE),"")</f>
        <v/>
      </c>
      <c r="Q82" s="923" t="str">
        <f>IFERROR(VLOOKUP($A82,보수일람표!$A:$M,6,FALSE),"")</f>
        <v/>
      </c>
      <c r="R82" s="236" t="str">
        <f>IFERROR(VLOOKUP($A82,보수일람표!$A:$M,7,FALSE),"")</f>
        <v>직접</v>
      </c>
      <c r="S82" s="236"/>
      <c r="T82" s="237">
        <f>IFERROR(VLOOKUP($A82,보수일람표!$A:$M,9,FALSE),"")</f>
        <v>0</v>
      </c>
      <c r="U82" s="237">
        <f>IFERROR(VLOOKUP($A82,보수일람표!$A:$M,10,FALSE),"")</f>
        <v>0</v>
      </c>
      <c r="V82" s="237">
        <f>IFERROR(VLOOKUP($A82,보수일람표!$A:$M,11,FALSE),"")</f>
        <v>0</v>
      </c>
      <c r="W82" s="237">
        <f>IFERROR(VLOOKUP($A82,보수일람표!$A:$M,12,FALSE),"")</f>
        <v>0</v>
      </c>
      <c r="X82" s="237">
        <f>IFERROR(VLOOKUP($A82,보수일람표!$A:$M,13,FALSE),"")</f>
        <v>0</v>
      </c>
    </row>
    <row r="83" spans="1:24">
      <c r="A83" s="225">
        <v>81</v>
      </c>
      <c r="B83" s="233" t="str">
        <f>IFERROR(IF(F83="06",데이터입력!$AB$8,IF(F83="07",데이터입력!$AD$8,IF(F83="05",데이터입력!$AF$8,데이터입력!$AB$8))),데이터입력!$AB$8)</f>
        <v>00</v>
      </c>
      <c r="C83" s="684" t="str">
        <f>데이터입력!$AC$9</f>
        <v>일반사업[일반]</v>
      </c>
      <c r="D83" s="238" t="str">
        <f>IFERROR(VLOOKUP($A83,데이터입력!$A:$H,4,FALSE),"")</f>
        <v/>
      </c>
      <c r="E83" s="238" t="str">
        <f>IFERROR(VLOOKUP($A83,데이터입력!$A:$H,2,FALSE),"")</f>
        <v/>
      </c>
      <c r="F83" s="238" t="str">
        <f>IFERROR(VLOOKUP($A83,데이터입력!$A:$H,5,FALSE),"")</f>
        <v/>
      </c>
      <c r="G83" s="238" t="str">
        <f>IFERROR(VLOOKUP($A83,데이터입력!$A:$H,6,FALSE),"")</f>
        <v/>
      </c>
      <c r="H83" s="239" t="str">
        <f>IFERROR(VLOOKUP($A83,데이터입력!$A:$L,8,FALSE)+VLOOKUP($A83,데이터입력!$A:$L,9,FALSE)+VLOOKUP($A83,데이터입력!$A:$L,10,FALSE),"")</f>
        <v/>
      </c>
      <c r="I83" s="234" t="s">
        <v>136</v>
      </c>
      <c r="J83" s="234" t="s">
        <v>136</v>
      </c>
      <c r="K83" s="234" t="s">
        <v>136</v>
      </c>
      <c r="M83" s="235" t="str">
        <f>데이터입력!$AB$8</f>
        <v>00</v>
      </c>
      <c r="N83" s="238" t="str">
        <f>데이터입력!$AC$9</f>
        <v>일반사업[일반]</v>
      </c>
      <c r="O83" s="236" t="str">
        <f>IFERROR(VLOOKUP($A83,보수일람표!$A:$M,4,FALSE),"")</f>
        <v/>
      </c>
      <c r="P83" s="236" t="str">
        <f>IFERROR(VLOOKUP($A83,보수일람표!$A:$M,5,FALSE),"")</f>
        <v/>
      </c>
      <c r="Q83" s="923" t="str">
        <f>IFERROR(VLOOKUP($A83,보수일람표!$A:$M,6,FALSE),"")</f>
        <v/>
      </c>
      <c r="R83" s="236" t="str">
        <f>IFERROR(VLOOKUP($A83,보수일람표!$A:$M,7,FALSE),"")</f>
        <v>직접</v>
      </c>
      <c r="S83" s="236"/>
      <c r="T83" s="237">
        <f>IFERROR(VLOOKUP($A83,보수일람표!$A:$M,9,FALSE),"")</f>
        <v>0</v>
      </c>
      <c r="U83" s="237">
        <f>IFERROR(VLOOKUP($A83,보수일람표!$A:$M,10,FALSE),"")</f>
        <v>0</v>
      </c>
      <c r="V83" s="237">
        <f>IFERROR(VLOOKUP($A83,보수일람표!$A:$M,11,FALSE),"")</f>
        <v>0</v>
      </c>
      <c r="W83" s="237">
        <f>IFERROR(VLOOKUP($A83,보수일람표!$A:$M,12,FALSE),"")</f>
        <v>0</v>
      </c>
      <c r="X83" s="237">
        <f>IFERROR(VLOOKUP($A83,보수일람표!$A:$M,13,FALSE),"")</f>
        <v>0</v>
      </c>
    </row>
    <row r="84" spans="1:24">
      <c r="A84" s="225">
        <v>82</v>
      </c>
      <c r="B84" s="233" t="str">
        <f>IFERROR(IF(F84="06",데이터입력!$AB$8,IF(F84="07",데이터입력!$AD$8,IF(F84="05",데이터입력!$AF$8,데이터입력!$AB$8))),데이터입력!$AB$8)</f>
        <v>00</v>
      </c>
      <c r="C84" s="684" t="str">
        <f>데이터입력!$AC$9</f>
        <v>일반사업[일반]</v>
      </c>
      <c r="D84" s="238" t="str">
        <f>IFERROR(VLOOKUP($A84,데이터입력!$A:$H,4,FALSE),"")</f>
        <v/>
      </c>
      <c r="E84" s="238" t="str">
        <f>IFERROR(VLOOKUP($A84,데이터입력!$A:$H,2,FALSE),"")</f>
        <v/>
      </c>
      <c r="F84" s="238" t="str">
        <f>IFERROR(VLOOKUP($A84,데이터입력!$A:$H,5,FALSE),"")</f>
        <v/>
      </c>
      <c r="G84" s="238" t="str">
        <f>IFERROR(VLOOKUP($A84,데이터입력!$A:$H,6,FALSE),"")</f>
        <v/>
      </c>
      <c r="H84" s="239" t="str">
        <f>IFERROR(VLOOKUP($A84,데이터입력!$A:$L,8,FALSE)+VLOOKUP($A84,데이터입력!$A:$L,9,FALSE)+VLOOKUP($A84,데이터입력!$A:$L,10,FALSE),"")</f>
        <v/>
      </c>
      <c r="I84" s="234" t="s">
        <v>136</v>
      </c>
      <c r="J84" s="234" t="s">
        <v>136</v>
      </c>
      <c r="K84" s="234" t="s">
        <v>136</v>
      </c>
      <c r="M84" s="235" t="str">
        <f>데이터입력!$AB$8</f>
        <v>00</v>
      </c>
      <c r="N84" s="238" t="str">
        <f>데이터입력!$AC$9</f>
        <v>일반사업[일반]</v>
      </c>
      <c r="O84" s="236" t="str">
        <f>IFERROR(VLOOKUP($A84,보수일람표!$A:$M,4,FALSE),"")</f>
        <v/>
      </c>
      <c r="P84" s="236" t="str">
        <f>IFERROR(VLOOKUP($A84,보수일람표!$A:$M,5,FALSE),"")</f>
        <v/>
      </c>
      <c r="Q84" s="923" t="str">
        <f>IFERROR(VLOOKUP($A84,보수일람표!$A:$M,6,FALSE),"")</f>
        <v/>
      </c>
      <c r="R84" s="236" t="str">
        <f>IFERROR(VLOOKUP($A84,보수일람표!$A:$M,7,FALSE),"")</f>
        <v>직접</v>
      </c>
      <c r="S84" s="236"/>
      <c r="T84" s="237">
        <f>IFERROR(VLOOKUP($A84,보수일람표!$A:$M,9,FALSE),"")</f>
        <v>0</v>
      </c>
      <c r="U84" s="237">
        <f>IFERROR(VLOOKUP($A84,보수일람표!$A:$M,10,FALSE),"")</f>
        <v>0</v>
      </c>
      <c r="V84" s="237">
        <f>IFERROR(VLOOKUP($A84,보수일람표!$A:$M,11,FALSE),"")</f>
        <v>0</v>
      </c>
      <c r="W84" s="237">
        <f>IFERROR(VLOOKUP($A84,보수일람표!$A:$M,12,FALSE),"")</f>
        <v>0</v>
      </c>
      <c r="X84" s="237">
        <f>IFERROR(VLOOKUP($A84,보수일람표!$A:$M,13,FALSE),"")</f>
        <v>0</v>
      </c>
    </row>
    <row r="85" spans="1:24">
      <c r="A85" s="225">
        <v>83</v>
      </c>
      <c r="B85" s="233" t="str">
        <f>IFERROR(IF(F85="06",데이터입력!$AB$8,IF(F85="07",데이터입력!$AD$8,IF(F85="05",데이터입력!$AF$8,데이터입력!$AB$8))),데이터입력!$AB$8)</f>
        <v>00</v>
      </c>
      <c r="C85" s="684" t="str">
        <f>데이터입력!$AC$9</f>
        <v>일반사업[일반]</v>
      </c>
      <c r="D85" s="238" t="str">
        <f>IFERROR(VLOOKUP($A85,데이터입력!$A:$H,4,FALSE),"")</f>
        <v/>
      </c>
      <c r="E85" s="238" t="str">
        <f>IFERROR(VLOOKUP($A85,데이터입력!$A:$H,2,FALSE),"")</f>
        <v/>
      </c>
      <c r="F85" s="238" t="str">
        <f>IFERROR(VLOOKUP($A85,데이터입력!$A:$H,5,FALSE),"")</f>
        <v/>
      </c>
      <c r="G85" s="238" t="str">
        <f>IFERROR(VLOOKUP($A85,데이터입력!$A:$H,6,FALSE),"")</f>
        <v/>
      </c>
      <c r="H85" s="239" t="str">
        <f>IFERROR(VLOOKUP($A85,데이터입력!$A:$L,8,FALSE)+VLOOKUP($A85,데이터입력!$A:$L,9,FALSE)+VLOOKUP($A85,데이터입력!$A:$L,10,FALSE),"")</f>
        <v/>
      </c>
      <c r="I85" s="234" t="s">
        <v>136</v>
      </c>
      <c r="J85" s="234" t="s">
        <v>136</v>
      </c>
      <c r="K85" s="234" t="s">
        <v>136</v>
      </c>
      <c r="M85" s="235" t="str">
        <f>데이터입력!$AB$8</f>
        <v>00</v>
      </c>
      <c r="N85" s="238" t="str">
        <f>데이터입력!$AC$9</f>
        <v>일반사업[일반]</v>
      </c>
      <c r="O85" s="236" t="str">
        <f>IFERROR(VLOOKUP($A85,보수일람표!$A:$M,4,FALSE),"")</f>
        <v/>
      </c>
      <c r="P85" s="236" t="str">
        <f>IFERROR(VLOOKUP($A85,보수일람표!$A:$M,5,FALSE),"")</f>
        <v/>
      </c>
      <c r="Q85" s="923" t="str">
        <f>IFERROR(VLOOKUP($A85,보수일람표!$A:$M,6,FALSE),"")</f>
        <v/>
      </c>
      <c r="R85" s="236" t="str">
        <f>IFERROR(VLOOKUP($A85,보수일람표!$A:$M,7,FALSE),"")</f>
        <v>직접</v>
      </c>
      <c r="S85" s="236"/>
      <c r="T85" s="237">
        <f>IFERROR(VLOOKUP($A85,보수일람표!$A:$M,9,FALSE),"")</f>
        <v>0</v>
      </c>
      <c r="U85" s="237">
        <f>IFERROR(VLOOKUP($A85,보수일람표!$A:$M,10,FALSE),"")</f>
        <v>0</v>
      </c>
      <c r="V85" s="237">
        <f>IFERROR(VLOOKUP($A85,보수일람표!$A:$M,11,FALSE),"")</f>
        <v>0</v>
      </c>
      <c r="W85" s="237">
        <f>IFERROR(VLOOKUP($A85,보수일람표!$A:$M,12,FALSE),"")</f>
        <v>0</v>
      </c>
      <c r="X85" s="237">
        <f>IFERROR(VLOOKUP($A85,보수일람표!$A:$M,13,FALSE),"")</f>
        <v>0</v>
      </c>
    </row>
    <row r="86" spans="1:24">
      <c r="A86" s="225">
        <v>84</v>
      </c>
      <c r="B86" s="233" t="str">
        <f>IFERROR(IF(F86="06",데이터입력!$AB$8,IF(F86="07",데이터입력!$AD$8,IF(F86="05",데이터입력!$AF$8,데이터입력!$AB$8))),데이터입력!$AB$8)</f>
        <v>00</v>
      </c>
      <c r="C86" s="684" t="str">
        <f>데이터입력!$AC$9</f>
        <v>일반사업[일반]</v>
      </c>
      <c r="D86" s="238" t="str">
        <f>IFERROR(VLOOKUP($A86,데이터입력!$A:$H,4,FALSE),"")</f>
        <v/>
      </c>
      <c r="E86" s="238" t="str">
        <f>IFERROR(VLOOKUP($A86,데이터입력!$A:$H,2,FALSE),"")</f>
        <v/>
      </c>
      <c r="F86" s="238" t="str">
        <f>IFERROR(VLOOKUP($A86,데이터입력!$A:$H,5,FALSE),"")</f>
        <v/>
      </c>
      <c r="G86" s="238" t="str">
        <f>IFERROR(VLOOKUP($A86,데이터입력!$A:$H,6,FALSE),"")</f>
        <v/>
      </c>
      <c r="H86" s="239" t="str">
        <f>IFERROR(VLOOKUP($A86,데이터입력!$A:$L,8,FALSE)+VLOOKUP($A86,데이터입력!$A:$L,9,FALSE)+VLOOKUP($A86,데이터입력!$A:$L,10,FALSE),"")</f>
        <v/>
      </c>
      <c r="I86" s="234" t="s">
        <v>136</v>
      </c>
      <c r="J86" s="234" t="s">
        <v>136</v>
      </c>
      <c r="K86" s="234" t="s">
        <v>136</v>
      </c>
      <c r="M86" s="235" t="str">
        <f>데이터입력!$AB$8</f>
        <v>00</v>
      </c>
      <c r="N86" s="238" t="str">
        <f>데이터입력!$AC$9</f>
        <v>일반사업[일반]</v>
      </c>
      <c r="O86" s="236" t="str">
        <f>IFERROR(VLOOKUP($A86,보수일람표!$A:$M,4,FALSE),"")</f>
        <v/>
      </c>
      <c r="P86" s="236" t="str">
        <f>IFERROR(VLOOKUP($A86,보수일람표!$A:$M,5,FALSE),"")</f>
        <v/>
      </c>
      <c r="Q86" s="923" t="str">
        <f>IFERROR(VLOOKUP($A86,보수일람표!$A:$M,6,FALSE),"")</f>
        <v/>
      </c>
      <c r="R86" s="236" t="str">
        <f>IFERROR(VLOOKUP($A86,보수일람표!$A:$M,7,FALSE),"")</f>
        <v>직접</v>
      </c>
      <c r="S86" s="236"/>
      <c r="T86" s="237">
        <f>IFERROR(VLOOKUP($A86,보수일람표!$A:$M,9,FALSE),"")</f>
        <v>0</v>
      </c>
      <c r="U86" s="237">
        <f>IFERROR(VLOOKUP($A86,보수일람표!$A:$M,10,FALSE),"")</f>
        <v>0</v>
      </c>
      <c r="V86" s="237">
        <f>IFERROR(VLOOKUP($A86,보수일람표!$A:$M,11,FALSE),"")</f>
        <v>0</v>
      </c>
      <c r="W86" s="237">
        <f>IFERROR(VLOOKUP($A86,보수일람표!$A:$M,12,FALSE),"")</f>
        <v>0</v>
      </c>
      <c r="X86" s="237">
        <f>IFERROR(VLOOKUP($A86,보수일람표!$A:$M,13,FALSE),"")</f>
        <v>0</v>
      </c>
    </row>
    <row r="87" spans="1:24">
      <c r="A87" s="225">
        <v>85</v>
      </c>
      <c r="B87" s="233" t="str">
        <f>IFERROR(IF(F87="06",데이터입력!$AB$8,IF(F87="07",데이터입력!$AD$8,IF(F87="05",데이터입력!$AF$8,데이터입력!$AB$8))),데이터입력!$AB$8)</f>
        <v>00</v>
      </c>
      <c r="C87" s="684" t="str">
        <f>데이터입력!$AC$9</f>
        <v>일반사업[일반]</v>
      </c>
      <c r="D87" s="238" t="str">
        <f>IFERROR(VLOOKUP($A87,데이터입력!$A:$H,4,FALSE),"")</f>
        <v/>
      </c>
      <c r="E87" s="238" t="str">
        <f>IFERROR(VLOOKUP($A87,데이터입력!$A:$H,2,FALSE),"")</f>
        <v/>
      </c>
      <c r="F87" s="238" t="str">
        <f>IFERROR(VLOOKUP($A87,데이터입력!$A:$H,5,FALSE),"")</f>
        <v/>
      </c>
      <c r="G87" s="238" t="str">
        <f>IFERROR(VLOOKUP($A87,데이터입력!$A:$H,6,FALSE),"")</f>
        <v/>
      </c>
      <c r="H87" s="239" t="str">
        <f>IFERROR(VLOOKUP($A87,데이터입력!$A:$L,8,FALSE)+VLOOKUP($A87,데이터입력!$A:$L,9,FALSE)+VLOOKUP($A87,데이터입력!$A:$L,10,FALSE),"")</f>
        <v/>
      </c>
      <c r="I87" s="234" t="s">
        <v>136</v>
      </c>
      <c r="J87" s="234" t="s">
        <v>136</v>
      </c>
      <c r="K87" s="234" t="s">
        <v>136</v>
      </c>
      <c r="M87" s="235" t="str">
        <f>데이터입력!$AB$8</f>
        <v>00</v>
      </c>
      <c r="N87" s="238" t="str">
        <f>데이터입력!$AC$9</f>
        <v>일반사업[일반]</v>
      </c>
      <c r="O87" s="236" t="str">
        <f>IFERROR(VLOOKUP($A87,보수일람표!$A:$M,4,FALSE),"")</f>
        <v/>
      </c>
      <c r="P87" s="236" t="str">
        <f>IFERROR(VLOOKUP($A87,보수일람표!$A:$M,5,FALSE),"")</f>
        <v/>
      </c>
      <c r="Q87" s="923" t="str">
        <f>IFERROR(VLOOKUP($A87,보수일람표!$A:$M,6,FALSE),"")</f>
        <v/>
      </c>
      <c r="R87" s="236" t="str">
        <f>IFERROR(VLOOKUP($A87,보수일람표!$A:$M,7,FALSE),"")</f>
        <v>직접</v>
      </c>
      <c r="S87" s="236"/>
      <c r="T87" s="237">
        <f>IFERROR(VLOOKUP($A87,보수일람표!$A:$M,9,FALSE),"")</f>
        <v>0</v>
      </c>
      <c r="U87" s="237">
        <f>IFERROR(VLOOKUP($A87,보수일람표!$A:$M,10,FALSE),"")</f>
        <v>0</v>
      </c>
      <c r="V87" s="237">
        <f>IFERROR(VLOOKUP($A87,보수일람표!$A:$M,11,FALSE),"")</f>
        <v>0</v>
      </c>
      <c r="W87" s="237">
        <f>IFERROR(VLOOKUP($A87,보수일람표!$A:$M,12,FALSE),"")</f>
        <v>0</v>
      </c>
      <c r="X87" s="237">
        <f>IFERROR(VLOOKUP($A87,보수일람표!$A:$M,13,FALSE),"")</f>
        <v>0</v>
      </c>
    </row>
    <row r="88" spans="1:24">
      <c r="A88" s="225">
        <v>86</v>
      </c>
      <c r="B88" s="233" t="str">
        <f>IFERROR(IF(F88="06",데이터입력!$AB$8,IF(F88="07",데이터입력!$AD$8,IF(F88="05",데이터입력!$AF$8,데이터입력!$AB$8))),데이터입력!$AB$8)</f>
        <v>00</v>
      </c>
      <c r="C88" s="684" t="str">
        <f>데이터입력!$AC$9</f>
        <v>일반사업[일반]</v>
      </c>
      <c r="D88" s="238" t="str">
        <f>IFERROR(VLOOKUP($A88,데이터입력!$A:$H,4,FALSE),"")</f>
        <v/>
      </c>
      <c r="E88" s="238" t="str">
        <f>IFERROR(VLOOKUP($A88,데이터입력!$A:$H,2,FALSE),"")</f>
        <v/>
      </c>
      <c r="F88" s="238" t="str">
        <f>IFERROR(VLOOKUP($A88,데이터입력!$A:$H,5,FALSE),"")</f>
        <v/>
      </c>
      <c r="G88" s="238" t="str">
        <f>IFERROR(VLOOKUP($A88,데이터입력!$A:$H,6,FALSE),"")</f>
        <v/>
      </c>
      <c r="H88" s="239" t="str">
        <f>IFERROR(VLOOKUP($A88,데이터입력!$A:$L,8,FALSE)+VLOOKUP($A88,데이터입력!$A:$L,9,FALSE)+VLOOKUP($A88,데이터입력!$A:$L,10,FALSE),"")</f>
        <v/>
      </c>
      <c r="I88" s="234" t="s">
        <v>136</v>
      </c>
      <c r="J88" s="234" t="s">
        <v>136</v>
      </c>
      <c r="K88" s="234" t="s">
        <v>136</v>
      </c>
      <c r="M88" s="235" t="str">
        <f>데이터입력!$AB$8</f>
        <v>00</v>
      </c>
      <c r="N88" s="238" t="str">
        <f>데이터입력!$AC$9</f>
        <v>일반사업[일반]</v>
      </c>
      <c r="O88" s="236" t="str">
        <f>IFERROR(VLOOKUP($A88,보수일람표!$A:$M,4,FALSE),"")</f>
        <v/>
      </c>
      <c r="P88" s="236" t="str">
        <f>IFERROR(VLOOKUP($A88,보수일람표!$A:$M,5,FALSE),"")</f>
        <v/>
      </c>
      <c r="Q88" s="923" t="str">
        <f>IFERROR(VLOOKUP($A88,보수일람표!$A:$M,6,FALSE),"")</f>
        <v/>
      </c>
      <c r="R88" s="236" t="str">
        <f>IFERROR(VLOOKUP($A88,보수일람표!$A:$M,7,FALSE),"")</f>
        <v>직접</v>
      </c>
      <c r="S88" s="236"/>
      <c r="T88" s="237">
        <f>IFERROR(VLOOKUP($A88,보수일람표!$A:$M,9,FALSE),"")</f>
        <v>0</v>
      </c>
      <c r="U88" s="237">
        <f>IFERROR(VLOOKUP($A88,보수일람표!$A:$M,10,FALSE),"")</f>
        <v>0</v>
      </c>
      <c r="V88" s="237">
        <f>IFERROR(VLOOKUP($A88,보수일람표!$A:$M,11,FALSE),"")</f>
        <v>0</v>
      </c>
      <c r="W88" s="237">
        <f>IFERROR(VLOOKUP($A88,보수일람표!$A:$M,12,FALSE),"")</f>
        <v>0</v>
      </c>
      <c r="X88" s="237">
        <f>IFERROR(VLOOKUP($A88,보수일람표!$A:$M,13,FALSE),"")</f>
        <v>0</v>
      </c>
    </row>
    <row r="89" spans="1:24">
      <c r="A89" s="225">
        <v>87</v>
      </c>
      <c r="B89" s="233" t="str">
        <f>IFERROR(IF(F89="06",데이터입력!$AB$8,IF(F89="07",데이터입력!$AD$8,IF(F89="05",데이터입력!$AF$8,데이터입력!$AB$8))),데이터입력!$AB$8)</f>
        <v>00</v>
      </c>
      <c r="C89" s="684" t="str">
        <f>데이터입력!$AC$9</f>
        <v>일반사업[일반]</v>
      </c>
      <c r="D89" s="238" t="str">
        <f>IFERROR(VLOOKUP($A89,데이터입력!$A:$H,4,FALSE),"")</f>
        <v/>
      </c>
      <c r="E89" s="238" t="str">
        <f>IFERROR(VLOOKUP($A89,데이터입력!$A:$H,2,FALSE),"")</f>
        <v/>
      </c>
      <c r="F89" s="238" t="str">
        <f>IFERROR(VLOOKUP($A89,데이터입력!$A:$H,5,FALSE),"")</f>
        <v/>
      </c>
      <c r="G89" s="238" t="str">
        <f>IFERROR(VLOOKUP($A89,데이터입력!$A:$H,6,FALSE),"")</f>
        <v/>
      </c>
      <c r="H89" s="239" t="str">
        <f>IFERROR(VLOOKUP($A89,데이터입력!$A:$L,8,FALSE)+VLOOKUP($A89,데이터입력!$A:$L,9,FALSE)+VLOOKUP($A89,데이터입력!$A:$L,10,FALSE),"")</f>
        <v/>
      </c>
      <c r="I89" s="234" t="s">
        <v>136</v>
      </c>
      <c r="J89" s="234" t="s">
        <v>136</v>
      </c>
      <c r="K89" s="234" t="s">
        <v>136</v>
      </c>
      <c r="M89" s="235" t="str">
        <f>데이터입력!$AB$8</f>
        <v>00</v>
      </c>
      <c r="N89" s="238" t="str">
        <f>데이터입력!$AC$9</f>
        <v>일반사업[일반]</v>
      </c>
      <c r="O89" s="236" t="str">
        <f>IFERROR(VLOOKUP($A89,보수일람표!$A:$M,4,FALSE),"")</f>
        <v/>
      </c>
      <c r="P89" s="236" t="str">
        <f>IFERROR(VLOOKUP($A89,보수일람표!$A:$M,5,FALSE),"")</f>
        <v/>
      </c>
      <c r="Q89" s="923" t="str">
        <f>IFERROR(VLOOKUP($A89,보수일람표!$A:$M,6,FALSE),"")</f>
        <v/>
      </c>
      <c r="R89" s="236" t="str">
        <f>IFERROR(VLOOKUP($A89,보수일람표!$A:$M,7,FALSE),"")</f>
        <v>직접</v>
      </c>
      <c r="S89" s="236"/>
      <c r="T89" s="237">
        <f>IFERROR(VLOOKUP($A89,보수일람표!$A:$M,9,FALSE),"")</f>
        <v>0</v>
      </c>
      <c r="U89" s="237">
        <f>IFERROR(VLOOKUP($A89,보수일람표!$A:$M,10,FALSE),"")</f>
        <v>0</v>
      </c>
      <c r="V89" s="237">
        <f>IFERROR(VLOOKUP($A89,보수일람표!$A:$M,11,FALSE),"")</f>
        <v>0</v>
      </c>
      <c r="W89" s="237">
        <f>IFERROR(VLOOKUP($A89,보수일람표!$A:$M,12,FALSE),"")</f>
        <v>0</v>
      </c>
      <c r="X89" s="237">
        <f>IFERROR(VLOOKUP($A89,보수일람표!$A:$M,13,FALSE),"")</f>
        <v>0</v>
      </c>
    </row>
    <row r="90" spans="1:24">
      <c r="A90" s="225">
        <v>88</v>
      </c>
      <c r="B90" s="233" t="str">
        <f>IFERROR(IF(F90="06",데이터입력!$AB$8,IF(F90="07",데이터입력!$AD$8,IF(F90="05",데이터입력!$AF$8,데이터입력!$AB$8))),데이터입력!$AB$8)</f>
        <v>00</v>
      </c>
      <c r="C90" s="684" t="str">
        <f>데이터입력!$AC$9</f>
        <v>일반사업[일반]</v>
      </c>
      <c r="D90" s="238" t="str">
        <f>IFERROR(VLOOKUP($A90,데이터입력!$A:$H,4,FALSE),"")</f>
        <v/>
      </c>
      <c r="E90" s="238" t="str">
        <f>IFERROR(VLOOKUP($A90,데이터입력!$A:$H,2,FALSE),"")</f>
        <v/>
      </c>
      <c r="F90" s="238" t="str">
        <f>IFERROR(VLOOKUP($A90,데이터입력!$A:$H,5,FALSE),"")</f>
        <v/>
      </c>
      <c r="G90" s="238" t="str">
        <f>IFERROR(VLOOKUP($A90,데이터입력!$A:$H,6,FALSE),"")</f>
        <v/>
      </c>
      <c r="H90" s="239" t="str">
        <f>IFERROR(VLOOKUP($A90,데이터입력!$A:$L,8,FALSE)+VLOOKUP($A90,데이터입력!$A:$L,9,FALSE)+VLOOKUP($A90,데이터입력!$A:$L,10,FALSE),"")</f>
        <v/>
      </c>
      <c r="I90" s="234" t="s">
        <v>136</v>
      </c>
      <c r="J90" s="234" t="s">
        <v>136</v>
      </c>
      <c r="K90" s="234" t="s">
        <v>136</v>
      </c>
      <c r="M90" s="235" t="str">
        <f>데이터입력!$AB$8</f>
        <v>00</v>
      </c>
      <c r="N90" s="238" t="str">
        <f>데이터입력!$AC$9</f>
        <v>일반사업[일반]</v>
      </c>
      <c r="O90" s="236" t="str">
        <f>IFERROR(VLOOKUP($A90,보수일람표!$A:$M,4,FALSE),"")</f>
        <v/>
      </c>
      <c r="P90" s="236" t="str">
        <f>IFERROR(VLOOKUP($A90,보수일람표!$A:$M,5,FALSE),"")</f>
        <v/>
      </c>
      <c r="Q90" s="923" t="str">
        <f>IFERROR(VLOOKUP($A90,보수일람표!$A:$M,6,FALSE),"")</f>
        <v/>
      </c>
      <c r="R90" s="236" t="str">
        <f>IFERROR(VLOOKUP($A90,보수일람표!$A:$M,7,FALSE),"")</f>
        <v>직접</v>
      </c>
      <c r="S90" s="236"/>
      <c r="T90" s="237">
        <f>IFERROR(VLOOKUP($A90,보수일람표!$A:$M,9,FALSE),"")</f>
        <v>0</v>
      </c>
      <c r="U90" s="237">
        <f>IFERROR(VLOOKUP($A90,보수일람표!$A:$M,10,FALSE),"")</f>
        <v>0</v>
      </c>
      <c r="V90" s="237">
        <f>IFERROR(VLOOKUP($A90,보수일람표!$A:$M,11,FALSE),"")</f>
        <v>0</v>
      </c>
      <c r="W90" s="237">
        <f>IFERROR(VLOOKUP($A90,보수일람표!$A:$M,12,FALSE),"")</f>
        <v>0</v>
      </c>
      <c r="X90" s="237">
        <f>IFERROR(VLOOKUP($A90,보수일람표!$A:$M,13,FALSE),"")</f>
        <v>0</v>
      </c>
    </row>
    <row r="91" spans="1:24">
      <c r="A91" s="225">
        <v>89</v>
      </c>
      <c r="B91" s="233" t="str">
        <f>IFERROR(IF(F91="06",데이터입력!$AB$8,IF(F91="07",데이터입력!$AD$8,IF(F91="05",데이터입력!$AF$8,데이터입력!$AB$8))),데이터입력!$AB$8)</f>
        <v>00</v>
      </c>
      <c r="C91" s="684" t="str">
        <f>데이터입력!$AC$9</f>
        <v>일반사업[일반]</v>
      </c>
      <c r="D91" s="238" t="str">
        <f>IFERROR(VLOOKUP($A91,데이터입력!$A:$H,4,FALSE),"")</f>
        <v/>
      </c>
      <c r="E91" s="238" t="str">
        <f>IFERROR(VLOOKUP($A91,데이터입력!$A:$H,2,FALSE),"")</f>
        <v/>
      </c>
      <c r="F91" s="238" t="str">
        <f>IFERROR(VLOOKUP($A91,데이터입력!$A:$H,5,FALSE),"")</f>
        <v/>
      </c>
      <c r="G91" s="238" t="str">
        <f>IFERROR(VLOOKUP($A91,데이터입력!$A:$H,6,FALSE),"")</f>
        <v/>
      </c>
      <c r="H91" s="239" t="str">
        <f>IFERROR(VLOOKUP($A91,데이터입력!$A:$L,8,FALSE)+VLOOKUP($A91,데이터입력!$A:$L,9,FALSE)+VLOOKUP($A91,데이터입력!$A:$L,10,FALSE),"")</f>
        <v/>
      </c>
      <c r="I91" s="234" t="s">
        <v>136</v>
      </c>
      <c r="J91" s="234" t="s">
        <v>136</v>
      </c>
      <c r="K91" s="234" t="s">
        <v>136</v>
      </c>
      <c r="M91" s="235" t="str">
        <f>데이터입력!$AB$8</f>
        <v>00</v>
      </c>
      <c r="N91" s="238" t="str">
        <f>데이터입력!$AC$9</f>
        <v>일반사업[일반]</v>
      </c>
      <c r="O91" s="236" t="str">
        <f>IFERROR(VLOOKUP($A91,보수일람표!$A:$M,4,FALSE),"")</f>
        <v/>
      </c>
      <c r="P91" s="236" t="str">
        <f>IFERROR(VLOOKUP($A91,보수일람표!$A:$M,5,FALSE),"")</f>
        <v/>
      </c>
      <c r="Q91" s="923" t="str">
        <f>IFERROR(VLOOKUP($A91,보수일람표!$A:$M,6,FALSE),"")</f>
        <v/>
      </c>
      <c r="R91" s="236" t="str">
        <f>IFERROR(VLOOKUP($A91,보수일람표!$A:$M,7,FALSE),"")</f>
        <v>직접</v>
      </c>
      <c r="S91" s="236"/>
      <c r="T91" s="237">
        <f>IFERROR(VLOOKUP($A91,보수일람표!$A:$M,9,FALSE),"")</f>
        <v>0</v>
      </c>
      <c r="U91" s="237">
        <f>IFERROR(VLOOKUP($A91,보수일람표!$A:$M,10,FALSE),"")</f>
        <v>0</v>
      </c>
      <c r="V91" s="237">
        <f>IFERROR(VLOOKUP($A91,보수일람표!$A:$M,11,FALSE),"")</f>
        <v>0</v>
      </c>
      <c r="W91" s="237">
        <f>IFERROR(VLOOKUP($A91,보수일람표!$A:$M,12,FALSE),"")</f>
        <v>0</v>
      </c>
      <c r="X91" s="237">
        <f>IFERROR(VLOOKUP($A91,보수일람표!$A:$M,13,FALSE),"")</f>
        <v>0</v>
      </c>
    </row>
    <row r="92" spans="1:24">
      <c r="A92" s="225">
        <v>90</v>
      </c>
      <c r="B92" s="233" t="str">
        <f>IFERROR(IF(F92="06",데이터입력!$AB$8,IF(F92="07",데이터입력!$AD$8,IF(F92="05",데이터입력!$AF$8,데이터입력!$AB$8))),데이터입력!$AB$8)</f>
        <v>00</v>
      </c>
      <c r="C92" s="684" t="str">
        <f>데이터입력!$AC$9</f>
        <v>일반사업[일반]</v>
      </c>
      <c r="D92" s="238" t="str">
        <f>IFERROR(VLOOKUP($A92,데이터입력!$A:$H,4,FALSE),"")</f>
        <v/>
      </c>
      <c r="E92" s="238" t="str">
        <f>IFERROR(VLOOKUP($A92,데이터입력!$A:$H,2,FALSE),"")</f>
        <v/>
      </c>
      <c r="F92" s="238" t="str">
        <f>IFERROR(VLOOKUP($A92,데이터입력!$A:$H,5,FALSE),"")</f>
        <v/>
      </c>
      <c r="G92" s="238" t="str">
        <f>IFERROR(VLOOKUP($A92,데이터입력!$A:$H,6,FALSE),"")</f>
        <v/>
      </c>
      <c r="H92" s="239" t="str">
        <f>IFERROR(VLOOKUP($A92,데이터입력!$A:$L,8,FALSE)+VLOOKUP($A92,데이터입력!$A:$L,9,FALSE)+VLOOKUP($A92,데이터입력!$A:$L,10,FALSE),"")</f>
        <v/>
      </c>
      <c r="I92" s="234" t="s">
        <v>136</v>
      </c>
      <c r="J92" s="234" t="s">
        <v>136</v>
      </c>
      <c r="K92" s="234" t="s">
        <v>136</v>
      </c>
      <c r="M92" s="235" t="str">
        <f>데이터입력!$AB$8</f>
        <v>00</v>
      </c>
      <c r="N92" s="238" t="str">
        <f>데이터입력!$AC$9</f>
        <v>일반사업[일반]</v>
      </c>
      <c r="O92" s="236" t="str">
        <f>IFERROR(VLOOKUP($A92,보수일람표!$A:$M,4,FALSE),"")</f>
        <v/>
      </c>
      <c r="P92" s="236" t="str">
        <f>IFERROR(VLOOKUP($A92,보수일람표!$A:$M,5,FALSE),"")</f>
        <v/>
      </c>
      <c r="Q92" s="923" t="str">
        <f>IFERROR(VLOOKUP($A92,보수일람표!$A:$M,6,FALSE),"")</f>
        <v/>
      </c>
      <c r="R92" s="236" t="str">
        <f>IFERROR(VLOOKUP($A92,보수일람표!$A:$M,7,FALSE),"")</f>
        <v>직접</v>
      </c>
      <c r="S92" s="236"/>
      <c r="T92" s="237">
        <f>IFERROR(VLOOKUP($A92,보수일람표!$A:$M,9,FALSE),"")</f>
        <v>0</v>
      </c>
      <c r="U92" s="237">
        <f>IFERROR(VLOOKUP($A92,보수일람표!$A:$M,10,FALSE),"")</f>
        <v>0</v>
      </c>
      <c r="V92" s="237">
        <f>IFERROR(VLOOKUP($A92,보수일람표!$A:$M,11,FALSE),"")</f>
        <v>0</v>
      </c>
      <c r="W92" s="237">
        <f>IFERROR(VLOOKUP($A92,보수일람표!$A:$M,12,FALSE),"")</f>
        <v>0</v>
      </c>
      <c r="X92" s="237">
        <f>IFERROR(VLOOKUP($A92,보수일람표!$A:$M,13,FALSE),"")</f>
        <v>0</v>
      </c>
    </row>
    <row r="93" spans="1:24">
      <c r="A93" s="225">
        <v>91</v>
      </c>
      <c r="B93" s="233" t="str">
        <f>IFERROR(IF(F93="06",데이터입력!$AB$8,IF(F93="07",데이터입력!$AD$8,IF(F93="05",데이터입력!$AF$8,데이터입력!$AB$8))),데이터입력!$AB$8)</f>
        <v>00</v>
      </c>
      <c r="C93" s="684" t="str">
        <f>데이터입력!$AC$9</f>
        <v>일반사업[일반]</v>
      </c>
      <c r="D93" s="238" t="str">
        <f>IFERROR(VLOOKUP($A93,데이터입력!$A:$H,4,FALSE),"")</f>
        <v/>
      </c>
      <c r="E93" s="238" t="str">
        <f>IFERROR(VLOOKUP($A93,데이터입력!$A:$H,2,FALSE),"")</f>
        <v/>
      </c>
      <c r="F93" s="238" t="str">
        <f>IFERROR(VLOOKUP($A93,데이터입력!$A:$H,5,FALSE),"")</f>
        <v/>
      </c>
      <c r="G93" s="238" t="str">
        <f>IFERROR(VLOOKUP($A93,데이터입력!$A:$H,6,FALSE),"")</f>
        <v/>
      </c>
      <c r="H93" s="239" t="str">
        <f>IFERROR(VLOOKUP($A93,데이터입력!$A:$L,8,FALSE)+VLOOKUP($A93,데이터입력!$A:$L,9,FALSE)+VLOOKUP($A93,데이터입력!$A:$L,10,FALSE),"")</f>
        <v/>
      </c>
      <c r="I93" s="234" t="s">
        <v>136</v>
      </c>
      <c r="J93" s="234" t="s">
        <v>136</v>
      </c>
      <c r="K93" s="234" t="s">
        <v>136</v>
      </c>
      <c r="M93" s="235" t="str">
        <f>데이터입력!$AB$8</f>
        <v>00</v>
      </c>
      <c r="N93" s="238" t="str">
        <f>데이터입력!$AC$9</f>
        <v>일반사업[일반]</v>
      </c>
      <c r="O93" s="236" t="str">
        <f>IFERROR(VLOOKUP($A93,보수일람표!$A:$M,4,FALSE),"")</f>
        <v/>
      </c>
      <c r="P93" s="236" t="str">
        <f>IFERROR(VLOOKUP($A93,보수일람표!$A:$M,5,FALSE),"")</f>
        <v/>
      </c>
      <c r="Q93" s="923" t="str">
        <f>IFERROR(VLOOKUP($A93,보수일람표!$A:$M,6,FALSE),"")</f>
        <v/>
      </c>
      <c r="R93" s="236" t="str">
        <f>IFERROR(VLOOKUP($A93,보수일람표!$A:$M,7,FALSE),"")</f>
        <v>직접</v>
      </c>
      <c r="S93" s="236"/>
      <c r="T93" s="237">
        <f>IFERROR(VLOOKUP($A93,보수일람표!$A:$M,9,FALSE),"")</f>
        <v>0</v>
      </c>
      <c r="U93" s="237">
        <f>IFERROR(VLOOKUP($A93,보수일람표!$A:$M,10,FALSE),"")</f>
        <v>0</v>
      </c>
      <c r="V93" s="237">
        <f>IFERROR(VLOOKUP($A93,보수일람표!$A:$M,11,FALSE),"")</f>
        <v>0</v>
      </c>
      <c r="W93" s="237">
        <f>IFERROR(VLOOKUP($A93,보수일람표!$A:$M,12,FALSE),"")</f>
        <v>0</v>
      </c>
      <c r="X93" s="237">
        <f>IFERROR(VLOOKUP($A93,보수일람표!$A:$M,13,FALSE),"")</f>
        <v>0</v>
      </c>
    </row>
    <row r="94" spans="1:24">
      <c r="A94" s="225">
        <v>92</v>
      </c>
      <c r="B94" s="233" t="str">
        <f>IFERROR(IF(F94="06",데이터입력!$AB$8,IF(F94="07",데이터입력!$AD$8,IF(F94="05",데이터입력!$AF$8,데이터입력!$AB$8))),데이터입력!$AB$8)</f>
        <v>00</v>
      </c>
      <c r="C94" s="684" t="str">
        <f>데이터입력!$AC$9</f>
        <v>일반사업[일반]</v>
      </c>
      <c r="D94" s="238" t="str">
        <f>IFERROR(VLOOKUP($A94,데이터입력!$A:$H,4,FALSE),"")</f>
        <v/>
      </c>
      <c r="E94" s="238" t="str">
        <f>IFERROR(VLOOKUP($A94,데이터입력!$A:$H,2,FALSE),"")</f>
        <v/>
      </c>
      <c r="F94" s="238" t="str">
        <f>IFERROR(VLOOKUP($A94,데이터입력!$A:$H,5,FALSE),"")</f>
        <v/>
      </c>
      <c r="G94" s="238" t="str">
        <f>IFERROR(VLOOKUP($A94,데이터입력!$A:$H,6,FALSE),"")</f>
        <v/>
      </c>
      <c r="H94" s="239" t="str">
        <f>IFERROR(VLOOKUP($A94,데이터입력!$A:$L,8,FALSE)+VLOOKUP($A94,데이터입력!$A:$L,9,FALSE)+VLOOKUP($A94,데이터입력!$A:$L,10,FALSE),"")</f>
        <v/>
      </c>
      <c r="I94" s="234" t="s">
        <v>136</v>
      </c>
      <c r="J94" s="234" t="s">
        <v>136</v>
      </c>
      <c r="K94" s="234" t="s">
        <v>136</v>
      </c>
      <c r="M94" s="235" t="str">
        <f>데이터입력!$AB$8</f>
        <v>00</v>
      </c>
      <c r="N94" s="238" t="str">
        <f>데이터입력!$AC$9</f>
        <v>일반사업[일반]</v>
      </c>
      <c r="O94" s="236" t="str">
        <f>IFERROR(VLOOKUP($A94,보수일람표!$A:$M,4,FALSE),"")</f>
        <v/>
      </c>
      <c r="P94" s="236" t="str">
        <f>IFERROR(VLOOKUP($A94,보수일람표!$A:$M,5,FALSE),"")</f>
        <v/>
      </c>
      <c r="Q94" s="923" t="str">
        <f>IFERROR(VLOOKUP($A94,보수일람표!$A:$M,6,FALSE),"")</f>
        <v/>
      </c>
      <c r="R94" s="236" t="str">
        <f>IFERROR(VLOOKUP($A94,보수일람표!$A:$M,7,FALSE),"")</f>
        <v>직접</v>
      </c>
      <c r="S94" s="236"/>
      <c r="T94" s="237">
        <f>IFERROR(VLOOKUP($A94,보수일람표!$A:$M,9,FALSE),"")</f>
        <v>0</v>
      </c>
      <c r="U94" s="237">
        <f>IFERROR(VLOOKUP($A94,보수일람표!$A:$M,10,FALSE),"")</f>
        <v>0</v>
      </c>
      <c r="V94" s="237">
        <f>IFERROR(VLOOKUP($A94,보수일람표!$A:$M,11,FALSE),"")</f>
        <v>0</v>
      </c>
      <c r="W94" s="237">
        <f>IFERROR(VLOOKUP($A94,보수일람표!$A:$M,12,FALSE),"")</f>
        <v>0</v>
      </c>
      <c r="X94" s="237">
        <f>IFERROR(VLOOKUP($A94,보수일람표!$A:$M,13,FALSE),"")</f>
        <v>0</v>
      </c>
    </row>
    <row r="95" spans="1:24">
      <c r="A95" s="225">
        <v>93</v>
      </c>
      <c r="B95" s="233" t="str">
        <f>IFERROR(IF(F95="06",데이터입력!$AB$8,IF(F95="07",데이터입력!$AD$8,IF(F95="05",데이터입력!$AF$8,데이터입력!$AB$8))),데이터입력!$AB$8)</f>
        <v>00</v>
      </c>
      <c r="C95" s="684" t="str">
        <f>데이터입력!$AC$9</f>
        <v>일반사업[일반]</v>
      </c>
      <c r="D95" s="238" t="str">
        <f>IFERROR(VLOOKUP($A95,데이터입력!$A:$H,4,FALSE),"")</f>
        <v/>
      </c>
      <c r="E95" s="238" t="str">
        <f>IFERROR(VLOOKUP($A95,데이터입력!$A:$H,2,FALSE),"")</f>
        <v/>
      </c>
      <c r="F95" s="238" t="str">
        <f>IFERROR(VLOOKUP($A95,데이터입력!$A:$H,5,FALSE),"")</f>
        <v/>
      </c>
      <c r="G95" s="238" t="str">
        <f>IFERROR(VLOOKUP($A95,데이터입력!$A:$H,6,FALSE),"")</f>
        <v/>
      </c>
      <c r="H95" s="239" t="str">
        <f>IFERROR(VLOOKUP($A95,데이터입력!$A:$L,8,FALSE)+VLOOKUP($A95,데이터입력!$A:$L,9,FALSE)+VLOOKUP($A95,데이터입력!$A:$L,10,FALSE),"")</f>
        <v/>
      </c>
      <c r="I95" s="234" t="s">
        <v>136</v>
      </c>
      <c r="J95" s="234" t="s">
        <v>136</v>
      </c>
      <c r="K95" s="234" t="s">
        <v>136</v>
      </c>
      <c r="M95" s="235" t="str">
        <f>데이터입력!$AB$8</f>
        <v>00</v>
      </c>
      <c r="N95" s="238" t="str">
        <f>데이터입력!$AC$9</f>
        <v>일반사업[일반]</v>
      </c>
      <c r="O95" s="236" t="str">
        <f>IFERROR(VLOOKUP($A95,보수일람표!$A:$M,4,FALSE),"")</f>
        <v/>
      </c>
      <c r="P95" s="236" t="str">
        <f>IFERROR(VLOOKUP($A95,보수일람표!$A:$M,5,FALSE),"")</f>
        <v/>
      </c>
      <c r="Q95" s="923" t="str">
        <f>IFERROR(VLOOKUP($A95,보수일람표!$A:$M,6,FALSE),"")</f>
        <v/>
      </c>
      <c r="R95" s="236" t="str">
        <f>IFERROR(VLOOKUP($A95,보수일람표!$A:$M,7,FALSE),"")</f>
        <v>직접</v>
      </c>
      <c r="S95" s="236"/>
      <c r="T95" s="237">
        <f>IFERROR(VLOOKUP($A95,보수일람표!$A:$M,9,FALSE),"")</f>
        <v>0</v>
      </c>
      <c r="U95" s="237">
        <f>IFERROR(VLOOKUP($A95,보수일람표!$A:$M,10,FALSE),"")</f>
        <v>0</v>
      </c>
      <c r="V95" s="237">
        <f>IFERROR(VLOOKUP($A95,보수일람표!$A:$M,11,FALSE),"")</f>
        <v>0</v>
      </c>
      <c r="W95" s="237">
        <f>IFERROR(VLOOKUP($A95,보수일람표!$A:$M,12,FALSE),"")</f>
        <v>0</v>
      </c>
      <c r="X95" s="237">
        <f>IFERROR(VLOOKUP($A95,보수일람표!$A:$M,13,FALSE),"")</f>
        <v>0</v>
      </c>
    </row>
    <row r="96" spans="1:24">
      <c r="A96" s="225">
        <v>94</v>
      </c>
      <c r="B96" s="233" t="str">
        <f>IFERROR(IF(F96="06",데이터입력!$AB$8,IF(F96="07",데이터입력!$AD$8,IF(F96="05",데이터입력!$AF$8,데이터입력!$AB$8))),데이터입력!$AB$8)</f>
        <v>00</v>
      </c>
      <c r="C96" s="684" t="str">
        <f>데이터입력!$AC$9</f>
        <v>일반사업[일반]</v>
      </c>
      <c r="D96" s="238" t="str">
        <f>IFERROR(VLOOKUP($A96,데이터입력!$A:$H,4,FALSE),"")</f>
        <v/>
      </c>
      <c r="E96" s="238" t="str">
        <f>IFERROR(VLOOKUP($A96,데이터입력!$A:$H,2,FALSE),"")</f>
        <v/>
      </c>
      <c r="F96" s="238" t="str">
        <f>IFERROR(VLOOKUP($A96,데이터입력!$A:$H,5,FALSE),"")</f>
        <v/>
      </c>
      <c r="G96" s="238" t="str">
        <f>IFERROR(VLOOKUP($A96,데이터입력!$A:$H,6,FALSE),"")</f>
        <v/>
      </c>
      <c r="H96" s="239" t="str">
        <f>IFERROR(VLOOKUP($A96,데이터입력!$A:$L,8,FALSE)+VLOOKUP($A96,데이터입력!$A:$L,9,FALSE)+VLOOKUP($A96,데이터입력!$A:$L,10,FALSE),"")</f>
        <v/>
      </c>
      <c r="I96" s="234" t="s">
        <v>136</v>
      </c>
      <c r="J96" s="234" t="s">
        <v>136</v>
      </c>
      <c r="K96" s="234" t="s">
        <v>136</v>
      </c>
      <c r="M96" s="235" t="str">
        <f>데이터입력!$AB$8</f>
        <v>00</v>
      </c>
      <c r="N96" s="238" t="str">
        <f>데이터입력!$AC$9</f>
        <v>일반사업[일반]</v>
      </c>
      <c r="O96" s="236" t="str">
        <f>IFERROR(VLOOKUP($A96,보수일람표!$A:$M,4,FALSE),"")</f>
        <v/>
      </c>
      <c r="P96" s="236" t="str">
        <f>IFERROR(VLOOKUP($A96,보수일람표!$A:$M,5,FALSE),"")</f>
        <v/>
      </c>
      <c r="Q96" s="923" t="str">
        <f>IFERROR(VLOOKUP($A96,보수일람표!$A:$M,6,FALSE),"")</f>
        <v/>
      </c>
      <c r="R96" s="236" t="str">
        <f>IFERROR(VLOOKUP($A96,보수일람표!$A:$M,7,FALSE),"")</f>
        <v>직접</v>
      </c>
      <c r="S96" s="236"/>
      <c r="T96" s="237">
        <f>IFERROR(VLOOKUP($A96,보수일람표!$A:$M,9,FALSE),"")</f>
        <v>0</v>
      </c>
      <c r="U96" s="237">
        <f>IFERROR(VLOOKUP($A96,보수일람표!$A:$M,10,FALSE),"")</f>
        <v>0</v>
      </c>
      <c r="V96" s="237">
        <f>IFERROR(VLOOKUP($A96,보수일람표!$A:$M,11,FALSE),"")</f>
        <v>0</v>
      </c>
      <c r="W96" s="237">
        <f>IFERROR(VLOOKUP($A96,보수일람표!$A:$M,12,FALSE),"")</f>
        <v>0</v>
      </c>
      <c r="X96" s="237">
        <f>IFERROR(VLOOKUP($A96,보수일람표!$A:$M,13,FALSE),"")</f>
        <v>0</v>
      </c>
    </row>
    <row r="97" spans="1:24">
      <c r="A97" s="225">
        <v>95</v>
      </c>
      <c r="B97" s="233" t="str">
        <f>IFERROR(IF(F97="06",데이터입력!$AB$8,IF(F97="07",데이터입력!$AD$8,IF(F97="05",데이터입력!$AF$8,데이터입력!$AB$8))),데이터입력!$AB$8)</f>
        <v>00</v>
      </c>
      <c r="C97" s="684" t="str">
        <f>데이터입력!$AC$9</f>
        <v>일반사업[일반]</v>
      </c>
      <c r="D97" s="238" t="str">
        <f>IFERROR(VLOOKUP($A97,데이터입력!$A:$H,4,FALSE),"")</f>
        <v/>
      </c>
      <c r="E97" s="238" t="str">
        <f>IFERROR(VLOOKUP($A97,데이터입력!$A:$H,2,FALSE),"")</f>
        <v/>
      </c>
      <c r="F97" s="238" t="str">
        <f>IFERROR(VLOOKUP($A97,데이터입력!$A:$H,5,FALSE),"")</f>
        <v/>
      </c>
      <c r="G97" s="238" t="str">
        <f>IFERROR(VLOOKUP($A97,데이터입력!$A:$H,6,FALSE),"")</f>
        <v/>
      </c>
      <c r="H97" s="239" t="str">
        <f>IFERROR(VLOOKUP($A97,데이터입력!$A:$L,8,FALSE)+VLOOKUP($A97,데이터입력!$A:$L,9,FALSE)+VLOOKUP($A97,데이터입력!$A:$L,10,FALSE),"")</f>
        <v/>
      </c>
      <c r="I97" s="234" t="s">
        <v>136</v>
      </c>
      <c r="J97" s="234" t="s">
        <v>136</v>
      </c>
      <c r="K97" s="234" t="s">
        <v>136</v>
      </c>
      <c r="M97" s="235" t="str">
        <f>데이터입력!$AB$8</f>
        <v>00</v>
      </c>
      <c r="N97" s="238" t="str">
        <f>데이터입력!$AC$9</f>
        <v>일반사업[일반]</v>
      </c>
      <c r="O97" s="236" t="str">
        <f>IFERROR(VLOOKUP($A97,보수일람표!$A:$M,4,FALSE),"")</f>
        <v/>
      </c>
      <c r="P97" s="236" t="str">
        <f>IFERROR(VLOOKUP($A97,보수일람표!$A:$M,5,FALSE),"")</f>
        <v/>
      </c>
      <c r="Q97" s="923" t="str">
        <f>IFERROR(VLOOKUP($A97,보수일람표!$A:$M,6,FALSE),"")</f>
        <v/>
      </c>
      <c r="R97" s="236" t="str">
        <f>IFERROR(VLOOKUP($A97,보수일람표!$A:$M,7,FALSE),"")</f>
        <v>직접</v>
      </c>
      <c r="S97" s="236"/>
      <c r="T97" s="237">
        <f>IFERROR(VLOOKUP($A97,보수일람표!$A:$M,9,FALSE),"")</f>
        <v>0</v>
      </c>
      <c r="U97" s="237">
        <f>IFERROR(VLOOKUP($A97,보수일람표!$A:$M,10,FALSE),"")</f>
        <v>0</v>
      </c>
      <c r="V97" s="237">
        <f>IFERROR(VLOOKUP($A97,보수일람표!$A:$M,11,FALSE),"")</f>
        <v>0</v>
      </c>
      <c r="W97" s="237">
        <f>IFERROR(VLOOKUP($A97,보수일람표!$A:$M,12,FALSE),"")</f>
        <v>0</v>
      </c>
      <c r="X97" s="237">
        <f>IFERROR(VLOOKUP($A97,보수일람표!$A:$M,13,FALSE),"")</f>
        <v>0</v>
      </c>
    </row>
    <row r="98" spans="1:24">
      <c r="A98" s="225">
        <v>96</v>
      </c>
      <c r="B98" s="233" t="str">
        <f>IFERROR(IF(F98="06",데이터입력!$AB$8,IF(F98="07",데이터입력!$AD$8,IF(F98="05",데이터입력!$AF$8,데이터입력!$AB$8))),데이터입력!$AB$8)</f>
        <v>00</v>
      </c>
      <c r="C98" s="684" t="str">
        <f>데이터입력!$AC$9</f>
        <v>일반사업[일반]</v>
      </c>
      <c r="D98" s="238" t="str">
        <f>IFERROR(VLOOKUP($A98,데이터입력!$A:$H,4,FALSE),"")</f>
        <v/>
      </c>
      <c r="E98" s="238" t="str">
        <f>IFERROR(VLOOKUP($A98,데이터입력!$A:$H,2,FALSE),"")</f>
        <v/>
      </c>
      <c r="F98" s="238" t="str">
        <f>IFERROR(VLOOKUP($A98,데이터입력!$A:$H,5,FALSE),"")</f>
        <v/>
      </c>
      <c r="G98" s="238" t="str">
        <f>IFERROR(VLOOKUP($A98,데이터입력!$A:$H,6,FALSE),"")</f>
        <v/>
      </c>
      <c r="H98" s="239" t="str">
        <f>IFERROR(VLOOKUP($A98,데이터입력!$A:$L,8,FALSE)+VLOOKUP($A98,데이터입력!$A:$L,9,FALSE)+VLOOKUP($A98,데이터입력!$A:$L,10,FALSE),"")</f>
        <v/>
      </c>
      <c r="I98" s="234" t="s">
        <v>136</v>
      </c>
      <c r="J98" s="234" t="s">
        <v>136</v>
      </c>
      <c r="K98" s="234" t="s">
        <v>136</v>
      </c>
      <c r="M98" s="235" t="str">
        <f>데이터입력!$AB$8</f>
        <v>00</v>
      </c>
      <c r="N98" s="238" t="str">
        <f>데이터입력!$AC$9</f>
        <v>일반사업[일반]</v>
      </c>
      <c r="O98" s="236" t="str">
        <f>IFERROR(VLOOKUP($A98,보수일람표!$A:$M,4,FALSE),"")</f>
        <v/>
      </c>
      <c r="P98" s="236" t="str">
        <f>IFERROR(VLOOKUP($A98,보수일람표!$A:$M,5,FALSE),"")</f>
        <v/>
      </c>
      <c r="Q98" s="923" t="str">
        <f>IFERROR(VLOOKUP($A98,보수일람표!$A:$M,6,FALSE),"")</f>
        <v/>
      </c>
      <c r="R98" s="236" t="str">
        <f>IFERROR(VLOOKUP($A98,보수일람표!$A:$M,7,FALSE),"")</f>
        <v>직접</v>
      </c>
      <c r="S98" s="236"/>
      <c r="T98" s="237">
        <f>IFERROR(VLOOKUP($A98,보수일람표!$A:$M,9,FALSE),"")</f>
        <v>0</v>
      </c>
      <c r="U98" s="237">
        <f>IFERROR(VLOOKUP($A98,보수일람표!$A:$M,10,FALSE),"")</f>
        <v>0</v>
      </c>
      <c r="V98" s="237">
        <f>IFERROR(VLOOKUP($A98,보수일람표!$A:$M,11,FALSE),"")</f>
        <v>0</v>
      </c>
      <c r="W98" s="237">
        <f>IFERROR(VLOOKUP($A98,보수일람표!$A:$M,12,FALSE),"")</f>
        <v>0</v>
      </c>
      <c r="X98" s="237">
        <f>IFERROR(VLOOKUP($A98,보수일람표!$A:$M,13,FALSE),"")</f>
        <v>0</v>
      </c>
    </row>
    <row r="99" spans="1:24">
      <c r="A99" s="225">
        <v>97</v>
      </c>
      <c r="B99" s="233" t="str">
        <f>IFERROR(IF(F99="06",데이터입력!$AB$8,IF(F99="07",데이터입력!$AD$8,IF(F99="05",데이터입력!$AF$8,데이터입력!$AB$8))),데이터입력!$AB$8)</f>
        <v>00</v>
      </c>
      <c r="C99" s="684" t="str">
        <f>데이터입력!$AC$9</f>
        <v>일반사업[일반]</v>
      </c>
      <c r="D99" s="238" t="str">
        <f>IFERROR(VLOOKUP($A99,데이터입력!$A:$H,4,FALSE),"")</f>
        <v/>
      </c>
      <c r="E99" s="238" t="str">
        <f>IFERROR(VLOOKUP($A99,데이터입력!$A:$H,2,FALSE),"")</f>
        <v/>
      </c>
      <c r="F99" s="238" t="str">
        <f>IFERROR(VLOOKUP($A99,데이터입력!$A:$H,5,FALSE),"")</f>
        <v/>
      </c>
      <c r="G99" s="238" t="str">
        <f>IFERROR(VLOOKUP($A99,데이터입력!$A:$H,6,FALSE),"")</f>
        <v/>
      </c>
      <c r="H99" s="239" t="str">
        <f>IFERROR(VLOOKUP($A99,데이터입력!$A:$L,8,FALSE)+VLOOKUP($A99,데이터입력!$A:$L,9,FALSE)+VLOOKUP($A99,데이터입력!$A:$L,10,FALSE),"")</f>
        <v/>
      </c>
      <c r="I99" s="234" t="s">
        <v>136</v>
      </c>
      <c r="J99" s="234" t="s">
        <v>136</v>
      </c>
      <c r="K99" s="234" t="s">
        <v>136</v>
      </c>
      <c r="M99" s="235" t="str">
        <f>데이터입력!$AB$8</f>
        <v>00</v>
      </c>
      <c r="N99" s="238" t="str">
        <f>데이터입력!$AC$9</f>
        <v>일반사업[일반]</v>
      </c>
      <c r="O99" s="236" t="str">
        <f>IFERROR(VLOOKUP($A99,보수일람표!$A:$M,4,FALSE),"")</f>
        <v/>
      </c>
      <c r="P99" s="236" t="str">
        <f>IFERROR(VLOOKUP($A99,보수일람표!$A:$M,5,FALSE),"")</f>
        <v/>
      </c>
      <c r="Q99" s="923" t="str">
        <f>IFERROR(VLOOKUP($A99,보수일람표!$A:$M,6,FALSE),"")</f>
        <v/>
      </c>
      <c r="R99" s="236" t="str">
        <f>IFERROR(VLOOKUP($A99,보수일람표!$A:$M,7,FALSE),"")</f>
        <v>직접</v>
      </c>
      <c r="S99" s="236"/>
      <c r="T99" s="237">
        <f>IFERROR(VLOOKUP($A99,보수일람표!$A:$M,9,FALSE),"")</f>
        <v>0</v>
      </c>
      <c r="U99" s="237">
        <f>IFERROR(VLOOKUP($A99,보수일람표!$A:$M,10,FALSE),"")</f>
        <v>0</v>
      </c>
      <c r="V99" s="237">
        <f>IFERROR(VLOOKUP($A99,보수일람표!$A:$M,11,FALSE),"")</f>
        <v>0</v>
      </c>
      <c r="W99" s="237">
        <f>IFERROR(VLOOKUP($A99,보수일람표!$A:$M,12,FALSE),"")</f>
        <v>0</v>
      </c>
      <c r="X99" s="237">
        <f>IFERROR(VLOOKUP($A99,보수일람표!$A:$M,13,FALSE),"")</f>
        <v>0</v>
      </c>
    </row>
    <row r="100" spans="1:24">
      <c r="A100" s="225">
        <v>98</v>
      </c>
      <c r="B100" s="233" t="str">
        <f>IFERROR(IF(F100="06",데이터입력!$AB$8,IF(F100="07",데이터입력!$AD$8,IF(F100="05",데이터입력!$AF$8,데이터입력!$AB$8))),데이터입력!$AB$8)</f>
        <v>00</v>
      </c>
      <c r="C100" s="684" t="str">
        <f>데이터입력!$AC$9</f>
        <v>일반사업[일반]</v>
      </c>
      <c r="D100" s="238" t="str">
        <f>IFERROR(VLOOKUP($A100,데이터입력!$A:$H,4,FALSE),"")</f>
        <v/>
      </c>
      <c r="E100" s="238" t="str">
        <f>IFERROR(VLOOKUP($A100,데이터입력!$A:$H,2,FALSE),"")</f>
        <v/>
      </c>
      <c r="F100" s="238" t="str">
        <f>IFERROR(VLOOKUP($A100,데이터입력!$A:$H,5,FALSE),"")</f>
        <v/>
      </c>
      <c r="G100" s="238" t="str">
        <f>IFERROR(VLOOKUP($A100,데이터입력!$A:$H,6,FALSE),"")</f>
        <v/>
      </c>
      <c r="H100" s="239" t="str">
        <f>IFERROR(VLOOKUP($A100,데이터입력!$A:$L,8,FALSE)+VLOOKUP($A100,데이터입력!$A:$L,9,FALSE)+VLOOKUP($A100,데이터입력!$A:$L,10,FALSE),"")</f>
        <v/>
      </c>
      <c r="I100" s="234" t="s">
        <v>136</v>
      </c>
      <c r="J100" s="234" t="s">
        <v>136</v>
      </c>
      <c r="K100" s="234" t="s">
        <v>136</v>
      </c>
      <c r="M100" s="235" t="str">
        <f>데이터입력!$AB$8</f>
        <v>00</v>
      </c>
      <c r="N100" s="238" t="str">
        <f>데이터입력!$AC$9</f>
        <v>일반사업[일반]</v>
      </c>
      <c r="O100" s="236" t="str">
        <f>IFERROR(VLOOKUP($A100,보수일람표!$A:$M,4,FALSE),"")</f>
        <v/>
      </c>
      <c r="P100" s="236" t="str">
        <f>IFERROR(VLOOKUP($A100,보수일람표!$A:$M,5,FALSE),"")</f>
        <v/>
      </c>
      <c r="Q100" s="923" t="str">
        <f>IFERROR(VLOOKUP($A100,보수일람표!$A:$M,6,FALSE),"")</f>
        <v/>
      </c>
      <c r="R100" s="236" t="str">
        <f>IFERROR(VLOOKUP($A100,보수일람표!$A:$M,7,FALSE),"")</f>
        <v>직접</v>
      </c>
      <c r="S100" s="236"/>
      <c r="T100" s="237">
        <f>IFERROR(VLOOKUP($A100,보수일람표!$A:$M,9,FALSE),"")</f>
        <v>0</v>
      </c>
      <c r="U100" s="237">
        <f>IFERROR(VLOOKUP($A100,보수일람표!$A:$M,10,FALSE),"")</f>
        <v>0</v>
      </c>
      <c r="V100" s="237">
        <f>IFERROR(VLOOKUP($A100,보수일람표!$A:$M,11,FALSE),"")</f>
        <v>0</v>
      </c>
      <c r="W100" s="237">
        <f>IFERROR(VLOOKUP($A100,보수일람표!$A:$M,12,FALSE),"")</f>
        <v>0</v>
      </c>
      <c r="X100" s="237">
        <f>IFERROR(VLOOKUP($A100,보수일람표!$A:$M,13,FALSE),"")</f>
        <v>0</v>
      </c>
    </row>
    <row r="101" spans="1:24">
      <c r="A101" s="225">
        <v>99</v>
      </c>
      <c r="B101" s="233" t="str">
        <f>IFERROR(IF(F101="06",데이터입력!$AB$8,IF(F101="07",데이터입력!$AD$8,IF(F101="05",데이터입력!$AF$8,데이터입력!$AB$8))),데이터입력!$AB$8)</f>
        <v>00</v>
      </c>
      <c r="C101" s="684" t="str">
        <f>데이터입력!$AC$9</f>
        <v>일반사업[일반]</v>
      </c>
      <c r="D101" s="238" t="str">
        <f>IFERROR(VLOOKUP($A101,데이터입력!$A:$H,4,FALSE),"")</f>
        <v/>
      </c>
      <c r="E101" s="238" t="str">
        <f>IFERROR(VLOOKUP($A101,데이터입력!$A:$H,2,FALSE),"")</f>
        <v/>
      </c>
      <c r="F101" s="238" t="str">
        <f>IFERROR(VLOOKUP($A101,데이터입력!$A:$H,5,FALSE),"")</f>
        <v/>
      </c>
      <c r="G101" s="238" t="str">
        <f>IFERROR(VLOOKUP($A101,데이터입력!$A:$H,6,FALSE),"")</f>
        <v/>
      </c>
      <c r="H101" s="239" t="str">
        <f>IFERROR(VLOOKUP($A101,데이터입력!$A:$L,8,FALSE)+VLOOKUP($A101,데이터입력!$A:$L,9,FALSE)+VLOOKUP($A101,데이터입력!$A:$L,10,FALSE),"")</f>
        <v/>
      </c>
      <c r="I101" s="234" t="s">
        <v>136</v>
      </c>
      <c r="J101" s="234" t="s">
        <v>136</v>
      </c>
      <c r="K101" s="234" t="s">
        <v>136</v>
      </c>
      <c r="M101" s="235" t="str">
        <f>데이터입력!$AB$8</f>
        <v>00</v>
      </c>
      <c r="N101" s="238" t="str">
        <f>데이터입력!$AC$9</f>
        <v>일반사업[일반]</v>
      </c>
      <c r="O101" s="236" t="str">
        <f>IFERROR(VLOOKUP($A101,보수일람표!$A:$M,4,FALSE),"")</f>
        <v/>
      </c>
      <c r="P101" s="236" t="str">
        <f>IFERROR(VLOOKUP($A101,보수일람표!$A:$M,5,FALSE),"")</f>
        <v/>
      </c>
      <c r="Q101" s="923" t="str">
        <f>IFERROR(VLOOKUP($A101,보수일람표!$A:$M,6,FALSE),"")</f>
        <v/>
      </c>
      <c r="R101" s="236" t="str">
        <f>IFERROR(VLOOKUP($A101,보수일람표!$A:$M,7,FALSE),"")</f>
        <v>직접</v>
      </c>
      <c r="S101" s="236"/>
      <c r="T101" s="237">
        <f>IFERROR(VLOOKUP($A101,보수일람표!$A:$M,9,FALSE),"")</f>
        <v>0</v>
      </c>
      <c r="U101" s="237">
        <f>IFERROR(VLOOKUP($A101,보수일람표!$A:$M,10,FALSE),"")</f>
        <v>0</v>
      </c>
      <c r="V101" s="237">
        <f>IFERROR(VLOOKUP($A101,보수일람표!$A:$M,11,FALSE),"")</f>
        <v>0</v>
      </c>
      <c r="W101" s="237">
        <f>IFERROR(VLOOKUP($A101,보수일람표!$A:$M,12,FALSE),"")</f>
        <v>0</v>
      </c>
      <c r="X101" s="237">
        <f>IFERROR(VLOOKUP($A101,보수일람표!$A:$M,13,FALSE),"")</f>
        <v>0</v>
      </c>
    </row>
    <row r="102" spans="1:24">
      <c r="A102" s="225">
        <v>100</v>
      </c>
      <c r="B102" s="233" t="str">
        <f>IFERROR(IF(F102="06",데이터입력!$AB$8,IF(F102="07",데이터입력!$AD$8,IF(F102="05",데이터입력!$AF$8,데이터입력!$AB$8))),데이터입력!$AB$8)</f>
        <v>00</v>
      </c>
      <c r="C102" s="684" t="str">
        <f>데이터입력!$AC$9</f>
        <v>일반사업[일반]</v>
      </c>
      <c r="D102" s="238" t="str">
        <f>IFERROR(VLOOKUP($A102,데이터입력!$A:$H,4,FALSE),"")</f>
        <v/>
      </c>
      <c r="E102" s="238" t="str">
        <f>IFERROR(VLOOKUP($A102,데이터입력!$A:$H,2,FALSE),"")</f>
        <v/>
      </c>
      <c r="F102" s="238" t="str">
        <f>IFERROR(VLOOKUP($A102,데이터입력!$A:$H,5,FALSE),"")</f>
        <v/>
      </c>
      <c r="G102" s="238" t="str">
        <f>IFERROR(VLOOKUP($A102,데이터입력!$A:$H,6,FALSE),"")</f>
        <v/>
      </c>
      <c r="H102" s="239" t="str">
        <f>IFERROR(VLOOKUP($A102,데이터입력!$A:$L,8,FALSE)+VLOOKUP($A102,데이터입력!$A:$L,9,FALSE)+VLOOKUP($A102,데이터입력!$A:$L,10,FALSE),"")</f>
        <v/>
      </c>
      <c r="I102" s="234" t="s">
        <v>136</v>
      </c>
      <c r="J102" s="234" t="s">
        <v>136</v>
      </c>
      <c r="K102" s="234" t="s">
        <v>136</v>
      </c>
      <c r="M102" s="235" t="str">
        <f>데이터입력!$AB$8</f>
        <v>00</v>
      </c>
      <c r="N102" s="238" t="str">
        <f>데이터입력!$AC$9</f>
        <v>일반사업[일반]</v>
      </c>
      <c r="O102" s="236" t="str">
        <f>IFERROR(VLOOKUP($A102,보수일람표!$A:$M,4,FALSE),"")</f>
        <v/>
      </c>
      <c r="P102" s="236" t="str">
        <f>IFERROR(VLOOKUP($A102,보수일람표!$A:$M,5,FALSE),"")</f>
        <v/>
      </c>
      <c r="Q102" s="923" t="str">
        <f>IFERROR(VLOOKUP($A102,보수일람표!$A:$M,6,FALSE),"")</f>
        <v/>
      </c>
      <c r="R102" s="236" t="str">
        <f>IFERROR(VLOOKUP($A102,보수일람표!$A:$M,7,FALSE),"")</f>
        <v>직접</v>
      </c>
      <c r="S102" s="236"/>
      <c r="T102" s="237">
        <f>IFERROR(VLOOKUP($A102,보수일람표!$A:$M,9,FALSE),"")</f>
        <v>0</v>
      </c>
      <c r="U102" s="237">
        <f>IFERROR(VLOOKUP($A102,보수일람표!$A:$M,10,FALSE),"")</f>
        <v>0</v>
      </c>
      <c r="V102" s="237">
        <f>IFERROR(VLOOKUP($A102,보수일람표!$A:$M,11,FALSE),"")</f>
        <v>0</v>
      </c>
      <c r="W102" s="237">
        <f>IFERROR(VLOOKUP($A102,보수일람표!$A:$M,12,FALSE),"")</f>
        <v>0</v>
      </c>
      <c r="X102" s="237">
        <f>IFERROR(VLOOKUP($A102,보수일람표!$A:$M,13,FALSE),"")</f>
        <v>0</v>
      </c>
    </row>
    <row r="103" spans="1:24">
      <c r="A103" s="225">
        <v>101</v>
      </c>
      <c r="B103" s="233" t="str">
        <f>IFERROR(IF(F103="06",데이터입력!$AB$8,IF(F103="07",데이터입력!$AD$8,IF(F103="05",데이터입력!$AF$8,데이터입력!$AB$8))),데이터입력!$AB$8)</f>
        <v>00</v>
      </c>
      <c r="C103" s="684" t="str">
        <f>데이터입력!$AC$9</f>
        <v>일반사업[일반]</v>
      </c>
      <c r="D103" s="238" t="str">
        <f>IFERROR(VLOOKUP($A103,데이터입력!$A:$H,4,FALSE),"")</f>
        <v/>
      </c>
      <c r="E103" s="238" t="str">
        <f>IFERROR(VLOOKUP($A103,데이터입력!$A:$H,2,FALSE),"")</f>
        <v/>
      </c>
      <c r="F103" s="238" t="str">
        <f>IFERROR(VLOOKUP($A103,데이터입력!$A:$H,5,FALSE),"")</f>
        <v/>
      </c>
      <c r="G103" s="238" t="str">
        <f>IFERROR(VLOOKUP($A103,데이터입력!$A:$H,6,FALSE),"")</f>
        <v/>
      </c>
      <c r="H103" s="239" t="str">
        <f>IFERROR(VLOOKUP($A103,데이터입력!$A:$L,8,FALSE)+VLOOKUP($A103,데이터입력!$A:$L,9,FALSE)+VLOOKUP($A103,데이터입력!$A:$L,10,FALSE),"")</f>
        <v/>
      </c>
      <c r="I103" s="234" t="s">
        <v>136</v>
      </c>
      <c r="J103" s="234" t="s">
        <v>136</v>
      </c>
      <c r="K103" s="234" t="s">
        <v>136</v>
      </c>
      <c r="M103" s="235" t="str">
        <f>데이터입력!$AB$8</f>
        <v>00</v>
      </c>
      <c r="N103" s="238" t="str">
        <f>데이터입력!$AC$9</f>
        <v>일반사업[일반]</v>
      </c>
      <c r="O103" s="236" t="str">
        <f>IFERROR(VLOOKUP($A103,보수일람표!$A:$M,4,FALSE),"")</f>
        <v/>
      </c>
      <c r="P103" s="236" t="str">
        <f>IFERROR(VLOOKUP($A103,보수일람표!$A:$M,5,FALSE),"")</f>
        <v/>
      </c>
      <c r="Q103" s="923" t="str">
        <f>IFERROR(VLOOKUP($A103,보수일람표!$A:$M,6,FALSE),"")</f>
        <v/>
      </c>
      <c r="R103" s="236" t="str">
        <f>IFERROR(VLOOKUP($A103,보수일람표!$A:$M,7,FALSE),"")</f>
        <v>직접</v>
      </c>
      <c r="S103" s="236"/>
      <c r="T103" s="237">
        <f>IFERROR(VLOOKUP($A103,보수일람표!$A:$M,9,FALSE),"")</f>
        <v>0</v>
      </c>
      <c r="U103" s="237">
        <f>IFERROR(VLOOKUP($A103,보수일람표!$A:$M,10,FALSE),"")</f>
        <v>0</v>
      </c>
      <c r="V103" s="237">
        <f>IFERROR(VLOOKUP($A103,보수일람표!$A:$M,11,FALSE),"")</f>
        <v>0</v>
      </c>
      <c r="W103" s="237">
        <f>IFERROR(VLOOKUP($A103,보수일람표!$A:$M,12,FALSE),"")</f>
        <v>0</v>
      </c>
      <c r="X103" s="237">
        <f>IFERROR(VLOOKUP($A103,보수일람표!$A:$M,13,FALSE),"")</f>
        <v>0</v>
      </c>
    </row>
    <row r="104" spans="1:24">
      <c r="A104" s="225">
        <v>102</v>
      </c>
      <c r="B104" s="233" t="str">
        <f>IFERROR(IF(F104="06",데이터입력!$AB$8,IF(F104="07",데이터입력!$AD$8,IF(F104="05",데이터입력!$AF$8,데이터입력!$AB$8))),데이터입력!$AB$8)</f>
        <v>00</v>
      </c>
      <c r="C104" s="684" t="str">
        <f>데이터입력!$AC$9</f>
        <v>일반사업[일반]</v>
      </c>
      <c r="D104" s="238" t="str">
        <f>IFERROR(VLOOKUP($A104,데이터입력!$A:$H,4,FALSE),"")</f>
        <v/>
      </c>
      <c r="E104" s="238" t="str">
        <f>IFERROR(VLOOKUP($A104,데이터입력!$A:$H,2,FALSE),"")</f>
        <v/>
      </c>
      <c r="F104" s="238" t="str">
        <f>IFERROR(VLOOKUP($A104,데이터입력!$A:$H,5,FALSE),"")</f>
        <v/>
      </c>
      <c r="G104" s="238" t="str">
        <f>IFERROR(VLOOKUP($A104,데이터입력!$A:$H,6,FALSE),"")</f>
        <v/>
      </c>
      <c r="H104" s="239" t="str">
        <f>IFERROR(VLOOKUP($A104,데이터입력!$A:$L,8,FALSE)+VLOOKUP($A104,데이터입력!$A:$L,9,FALSE)+VLOOKUP($A104,데이터입력!$A:$L,10,FALSE),"")</f>
        <v/>
      </c>
      <c r="I104" s="234" t="s">
        <v>136</v>
      </c>
      <c r="J104" s="234" t="s">
        <v>136</v>
      </c>
      <c r="K104" s="234" t="s">
        <v>136</v>
      </c>
      <c r="M104" s="235" t="str">
        <f>데이터입력!$AB$8</f>
        <v>00</v>
      </c>
      <c r="N104" s="238" t="str">
        <f>데이터입력!$AC$9</f>
        <v>일반사업[일반]</v>
      </c>
      <c r="O104" s="236" t="str">
        <f>IFERROR(VLOOKUP($A104,보수일람표!$A:$M,4,FALSE),"")</f>
        <v/>
      </c>
      <c r="P104" s="236" t="str">
        <f>IFERROR(VLOOKUP($A104,보수일람표!$A:$M,5,FALSE),"")</f>
        <v/>
      </c>
      <c r="Q104" s="923" t="str">
        <f>IFERROR(VLOOKUP($A104,보수일람표!$A:$M,6,FALSE),"")</f>
        <v/>
      </c>
      <c r="R104" s="236" t="str">
        <f>IFERROR(VLOOKUP($A104,보수일람표!$A:$M,7,FALSE),"")</f>
        <v>직접</v>
      </c>
      <c r="S104" s="236"/>
      <c r="T104" s="237">
        <f>IFERROR(VLOOKUP($A104,보수일람표!$A:$M,9,FALSE),"")</f>
        <v>0</v>
      </c>
      <c r="U104" s="237">
        <f>IFERROR(VLOOKUP($A104,보수일람표!$A:$M,10,FALSE),"")</f>
        <v>0</v>
      </c>
      <c r="V104" s="237">
        <f>IFERROR(VLOOKUP($A104,보수일람표!$A:$M,11,FALSE),"")</f>
        <v>0</v>
      </c>
      <c r="W104" s="237">
        <f>IFERROR(VLOOKUP($A104,보수일람표!$A:$M,12,FALSE),"")</f>
        <v>0</v>
      </c>
      <c r="X104" s="237">
        <f>IFERROR(VLOOKUP($A104,보수일람표!$A:$M,13,FALSE),"")</f>
        <v>0</v>
      </c>
    </row>
    <row r="105" spans="1:24">
      <c r="A105" s="225">
        <v>103</v>
      </c>
      <c r="B105" s="233" t="str">
        <f>IFERROR(IF(F105="06",데이터입력!$AB$8,IF(F105="07",데이터입력!$AD$8,IF(F105="05",데이터입력!$AF$8,데이터입력!$AB$8))),데이터입력!$AB$8)</f>
        <v>00</v>
      </c>
      <c r="C105" s="684" t="str">
        <f>데이터입력!$AC$9</f>
        <v>일반사업[일반]</v>
      </c>
      <c r="D105" s="238" t="str">
        <f>IFERROR(VLOOKUP($A105,데이터입력!$A:$H,4,FALSE),"")</f>
        <v/>
      </c>
      <c r="E105" s="238" t="str">
        <f>IFERROR(VLOOKUP($A105,데이터입력!$A:$H,2,FALSE),"")</f>
        <v/>
      </c>
      <c r="F105" s="238" t="str">
        <f>IFERROR(VLOOKUP($A105,데이터입력!$A:$H,5,FALSE),"")</f>
        <v/>
      </c>
      <c r="G105" s="238" t="str">
        <f>IFERROR(VLOOKUP($A105,데이터입력!$A:$H,6,FALSE),"")</f>
        <v/>
      </c>
      <c r="H105" s="239" t="str">
        <f>IFERROR(VLOOKUP($A105,데이터입력!$A:$L,8,FALSE)+VLOOKUP($A105,데이터입력!$A:$L,9,FALSE)+VLOOKUP($A105,데이터입력!$A:$L,10,FALSE),"")</f>
        <v/>
      </c>
      <c r="I105" s="234" t="s">
        <v>136</v>
      </c>
      <c r="J105" s="234" t="s">
        <v>136</v>
      </c>
      <c r="K105" s="234" t="s">
        <v>136</v>
      </c>
      <c r="M105" s="235" t="str">
        <f>데이터입력!$AB$8</f>
        <v>00</v>
      </c>
      <c r="N105" s="238" t="str">
        <f>데이터입력!$AC$9</f>
        <v>일반사업[일반]</v>
      </c>
      <c r="O105" s="236" t="str">
        <f>IFERROR(VLOOKUP($A105,보수일람표!$A:$M,4,FALSE),"")</f>
        <v/>
      </c>
      <c r="P105" s="236" t="str">
        <f>IFERROR(VLOOKUP($A105,보수일람표!$A:$M,5,FALSE),"")</f>
        <v/>
      </c>
      <c r="Q105" s="923" t="str">
        <f>IFERROR(VLOOKUP($A105,보수일람표!$A:$M,6,FALSE),"")</f>
        <v/>
      </c>
      <c r="R105" s="236" t="str">
        <f>IFERROR(VLOOKUP($A105,보수일람표!$A:$M,7,FALSE),"")</f>
        <v>직접</v>
      </c>
      <c r="S105" s="236"/>
      <c r="T105" s="237">
        <f>IFERROR(VLOOKUP($A105,보수일람표!$A:$M,9,FALSE),"")</f>
        <v>0</v>
      </c>
      <c r="U105" s="237">
        <f>IFERROR(VLOOKUP($A105,보수일람표!$A:$M,10,FALSE),"")</f>
        <v>0</v>
      </c>
      <c r="V105" s="237">
        <f>IFERROR(VLOOKUP($A105,보수일람표!$A:$M,11,FALSE),"")</f>
        <v>0</v>
      </c>
      <c r="W105" s="237">
        <f>IFERROR(VLOOKUP($A105,보수일람표!$A:$M,12,FALSE),"")</f>
        <v>0</v>
      </c>
      <c r="X105" s="237">
        <f>IFERROR(VLOOKUP($A105,보수일람표!$A:$M,13,FALSE),"")</f>
        <v>0</v>
      </c>
    </row>
    <row r="106" spans="1:24">
      <c r="A106" s="225">
        <v>104</v>
      </c>
      <c r="B106" s="233" t="str">
        <f>IFERROR(IF(F106="06",데이터입력!$AB$8,IF(F106="07",데이터입력!$AD$8,IF(F106="05",데이터입력!$AF$8,데이터입력!$AB$8))),데이터입력!$AB$8)</f>
        <v>00</v>
      </c>
      <c r="C106" s="684" t="str">
        <f>데이터입력!$AC$9</f>
        <v>일반사업[일반]</v>
      </c>
      <c r="D106" s="238" t="str">
        <f>IFERROR(VLOOKUP($A106,데이터입력!$A:$H,4,FALSE),"")</f>
        <v/>
      </c>
      <c r="E106" s="238" t="str">
        <f>IFERROR(VLOOKUP($A106,데이터입력!$A:$H,2,FALSE),"")</f>
        <v/>
      </c>
      <c r="F106" s="238" t="str">
        <f>IFERROR(VLOOKUP($A106,데이터입력!$A:$H,5,FALSE),"")</f>
        <v/>
      </c>
      <c r="G106" s="238" t="str">
        <f>IFERROR(VLOOKUP($A106,데이터입력!$A:$H,6,FALSE),"")</f>
        <v/>
      </c>
      <c r="H106" s="239" t="str">
        <f>IFERROR(VLOOKUP($A106,데이터입력!$A:$L,8,FALSE)+VLOOKUP($A106,데이터입력!$A:$L,9,FALSE)+VLOOKUP($A106,데이터입력!$A:$L,10,FALSE),"")</f>
        <v/>
      </c>
      <c r="I106" s="234" t="s">
        <v>136</v>
      </c>
      <c r="J106" s="234" t="s">
        <v>136</v>
      </c>
      <c r="K106" s="234" t="s">
        <v>136</v>
      </c>
      <c r="M106" s="235" t="str">
        <f>데이터입력!$AB$8</f>
        <v>00</v>
      </c>
      <c r="N106" s="238" t="str">
        <f>데이터입력!$AC$9</f>
        <v>일반사업[일반]</v>
      </c>
      <c r="O106" s="236" t="str">
        <f>IFERROR(VLOOKUP($A106,보수일람표!$A:$M,4,FALSE),"")</f>
        <v/>
      </c>
      <c r="P106" s="236" t="str">
        <f>IFERROR(VLOOKUP($A106,보수일람표!$A:$M,5,FALSE),"")</f>
        <v/>
      </c>
      <c r="Q106" s="923" t="str">
        <f>IFERROR(VLOOKUP($A106,보수일람표!$A:$M,6,FALSE),"")</f>
        <v/>
      </c>
      <c r="R106" s="236" t="str">
        <f>IFERROR(VLOOKUP($A106,보수일람표!$A:$M,7,FALSE),"")</f>
        <v>직접</v>
      </c>
      <c r="S106" s="236"/>
      <c r="T106" s="237">
        <f>IFERROR(VLOOKUP($A106,보수일람표!$A:$M,9,FALSE),"")</f>
        <v>0</v>
      </c>
      <c r="U106" s="237">
        <f>IFERROR(VLOOKUP($A106,보수일람표!$A:$M,10,FALSE),"")</f>
        <v>0</v>
      </c>
      <c r="V106" s="237">
        <f>IFERROR(VLOOKUP($A106,보수일람표!$A:$M,11,FALSE),"")</f>
        <v>0</v>
      </c>
      <c r="W106" s="237">
        <f>IFERROR(VLOOKUP($A106,보수일람표!$A:$M,12,FALSE),"")</f>
        <v>0</v>
      </c>
      <c r="X106" s="237">
        <f>IFERROR(VLOOKUP($A106,보수일람표!$A:$M,13,FALSE),"")</f>
        <v>0</v>
      </c>
    </row>
    <row r="107" spans="1:24">
      <c r="A107" s="225">
        <v>105</v>
      </c>
      <c r="B107" s="233" t="str">
        <f>IFERROR(IF(F107="06",데이터입력!$AB$8,IF(F107="07",데이터입력!$AD$8,IF(F107="05",데이터입력!$AF$8,데이터입력!$AB$8))),데이터입력!$AB$8)</f>
        <v>00</v>
      </c>
      <c r="C107" s="684" t="str">
        <f>데이터입력!$AC$9</f>
        <v>일반사업[일반]</v>
      </c>
      <c r="D107" s="238" t="str">
        <f>IFERROR(VLOOKUP($A107,데이터입력!$A:$H,4,FALSE),"")</f>
        <v/>
      </c>
      <c r="E107" s="238" t="str">
        <f>IFERROR(VLOOKUP($A107,데이터입력!$A:$H,2,FALSE),"")</f>
        <v/>
      </c>
      <c r="F107" s="238" t="str">
        <f>IFERROR(VLOOKUP($A107,데이터입력!$A:$H,5,FALSE),"")</f>
        <v/>
      </c>
      <c r="G107" s="238" t="str">
        <f>IFERROR(VLOOKUP($A107,데이터입력!$A:$H,6,FALSE),"")</f>
        <v/>
      </c>
      <c r="H107" s="239" t="str">
        <f>IFERROR(VLOOKUP($A107,데이터입력!$A:$L,8,FALSE)+VLOOKUP($A107,데이터입력!$A:$L,9,FALSE)+VLOOKUP($A107,데이터입력!$A:$L,10,FALSE),"")</f>
        <v/>
      </c>
      <c r="I107" s="234" t="s">
        <v>136</v>
      </c>
      <c r="J107" s="234" t="s">
        <v>136</v>
      </c>
      <c r="K107" s="234" t="s">
        <v>136</v>
      </c>
      <c r="M107" s="235" t="str">
        <f>데이터입력!$AB$8</f>
        <v>00</v>
      </c>
      <c r="N107" s="238" t="str">
        <f>데이터입력!$AC$9</f>
        <v>일반사업[일반]</v>
      </c>
      <c r="O107" s="236" t="str">
        <f>IFERROR(VLOOKUP($A107,보수일람표!$A:$M,4,FALSE),"")</f>
        <v/>
      </c>
      <c r="P107" s="236" t="str">
        <f>IFERROR(VLOOKUP($A107,보수일람표!$A:$M,5,FALSE),"")</f>
        <v/>
      </c>
      <c r="Q107" s="923" t="str">
        <f>IFERROR(VLOOKUP($A107,보수일람표!$A:$M,6,FALSE),"")</f>
        <v/>
      </c>
      <c r="R107" s="236" t="str">
        <f>IFERROR(VLOOKUP($A107,보수일람표!$A:$M,7,FALSE),"")</f>
        <v>직접</v>
      </c>
      <c r="S107" s="236"/>
      <c r="T107" s="237">
        <f>IFERROR(VLOOKUP($A107,보수일람표!$A:$M,9,FALSE),"")</f>
        <v>0</v>
      </c>
      <c r="U107" s="237">
        <f>IFERROR(VLOOKUP($A107,보수일람표!$A:$M,10,FALSE),"")</f>
        <v>0</v>
      </c>
      <c r="V107" s="237">
        <f>IFERROR(VLOOKUP($A107,보수일람표!$A:$M,11,FALSE),"")</f>
        <v>0</v>
      </c>
      <c r="W107" s="237">
        <f>IFERROR(VLOOKUP($A107,보수일람표!$A:$M,12,FALSE),"")</f>
        <v>0</v>
      </c>
      <c r="X107" s="237">
        <f>IFERROR(VLOOKUP($A107,보수일람표!$A:$M,13,FALSE),"")</f>
        <v>0</v>
      </c>
    </row>
    <row r="108" spans="1:24">
      <c r="A108" s="225">
        <v>106</v>
      </c>
      <c r="B108" s="233" t="str">
        <f>IFERROR(IF(F108="06",데이터입력!$AB$8,IF(F108="07",데이터입력!$AD$8,IF(F108="05",데이터입력!$AF$8,데이터입력!$AB$8))),데이터입력!$AB$8)</f>
        <v>00</v>
      </c>
      <c r="C108" s="684" t="str">
        <f>데이터입력!$AC$9</f>
        <v>일반사업[일반]</v>
      </c>
      <c r="D108" s="238" t="str">
        <f>IFERROR(VLOOKUP($A108,데이터입력!$A:$H,4,FALSE),"")</f>
        <v/>
      </c>
      <c r="E108" s="238" t="str">
        <f>IFERROR(VLOOKUP($A108,데이터입력!$A:$H,2,FALSE),"")</f>
        <v/>
      </c>
      <c r="F108" s="238" t="str">
        <f>IFERROR(VLOOKUP($A108,데이터입력!$A:$H,5,FALSE),"")</f>
        <v/>
      </c>
      <c r="G108" s="238" t="str">
        <f>IFERROR(VLOOKUP($A108,데이터입력!$A:$H,6,FALSE),"")</f>
        <v/>
      </c>
      <c r="H108" s="239" t="str">
        <f>IFERROR(VLOOKUP($A108,데이터입력!$A:$L,8,FALSE)+VLOOKUP($A108,데이터입력!$A:$L,9,FALSE)+VLOOKUP($A108,데이터입력!$A:$L,10,FALSE),"")</f>
        <v/>
      </c>
      <c r="I108" s="234" t="s">
        <v>136</v>
      </c>
      <c r="J108" s="234" t="s">
        <v>136</v>
      </c>
      <c r="K108" s="234" t="s">
        <v>136</v>
      </c>
      <c r="M108" s="235" t="str">
        <f>데이터입력!$AB$8</f>
        <v>00</v>
      </c>
      <c r="N108" s="238" t="str">
        <f>데이터입력!$AC$9</f>
        <v>일반사업[일반]</v>
      </c>
      <c r="O108" s="236" t="str">
        <f>IFERROR(VLOOKUP($A108,보수일람표!$A:$M,4,FALSE),"")</f>
        <v/>
      </c>
      <c r="P108" s="236" t="str">
        <f>IFERROR(VLOOKUP($A108,보수일람표!$A:$M,5,FALSE),"")</f>
        <v/>
      </c>
      <c r="Q108" s="923" t="str">
        <f>IFERROR(VLOOKUP($A108,보수일람표!$A:$M,6,FALSE),"")</f>
        <v/>
      </c>
      <c r="R108" s="236" t="str">
        <f>IFERROR(VLOOKUP($A108,보수일람표!$A:$M,7,FALSE),"")</f>
        <v>직접</v>
      </c>
      <c r="S108" s="236"/>
      <c r="T108" s="237">
        <f>IFERROR(VLOOKUP($A108,보수일람표!$A:$M,9,FALSE),"")</f>
        <v>0</v>
      </c>
      <c r="U108" s="237">
        <f>IFERROR(VLOOKUP($A108,보수일람표!$A:$M,10,FALSE),"")</f>
        <v>0</v>
      </c>
      <c r="V108" s="237">
        <f>IFERROR(VLOOKUP($A108,보수일람표!$A:$M,11,FALSE),"")</f>
        <v>0</v>
      </c>
      <c r="W108" s="237">
        <f>IFERROR(VLOOKUP($A108,보수일람표!$A:$M,12,FALSE),"")</f>
        <v>0</v>
      </c>
      <c r="X108" s="237">
        <f>IFERROR(VLOOKUP($A108,보수일람표!$A:$M,13,FALSE),"")</f>
        <v>0</v>
      </c>
    </row>
    <row r="109" spans="1:24">
      <c r="A109" s="225">
        <v>107</v>
      </c>
      <c r="B109" s="233" t="str">
        <f>IFERROR(IF(F109="06",데이터입력!$AB$8,IF(F109="07",데이터입력!$AD$8,IF(F109="05",데이터입력!$AF$8,데이터입력!$AB$8))),데이터입력!$AB$8)</f>
        <v>00</v>
      </c>
      <c r="C109" s="684" t="str">
        <f>데이터입력!$AC$9</f>
        <v>일반사업[일반]</v>
      </c>
      <c r="D109" s="238" t="str">
        <f>IFERROR(VLOOKUP($A109,데이터입력!$A:$H,4,FALSE),"")</f>
        <v/>
      </c>
      <c r="E109" s="238" t="str">
        <f>IFERROR(VLOOKUP($A109,데이터입력!$A:$H,2,FALSE),"")</f>
        <v/>
      </c>
      <c r="F109" s="238" t="str">
        <f>IFERROR(VLOOKUP($A109,데이터입력!$A:$H,5,FALSE),"")</f>
        <v/>
      </c>
      <c r="G109" s="238" t="str">
        <f>IFERROR(VLOOKUP($A109,데이터입력!$A:$H,6,FALSE),"")</f>
        <v/>
      </c>
      <c r="H109" s="239" t="str">
        <f>IFERROR(VLOOKUP($A109,데이터입력!$A:$L,8,FALSE)+VLOOKUP($A109,데이터입력!$A:$L,9,FALSE)+VLOOKUP($A109,데이터입력!$A:$L,10,FALSE),"")</f>
        <v/>
      </c>
      <c r="I109" s="234" t="s">
        <v>136</v>
      </c>
      <c r="J109" s="234" t="s">
        <v>136</v>
      </c>
      <c r="K109" s="234" t="s">
        <v>136</v>
      </c>
      <c r="M109" s="235" t="str">
        <f>데이터입력!$AB$8</f>
        <v>00</v>
      </c>
      <c r="N109" s="238" t="str">
        <f>데이터입력!$AC$9</f>
        <v>일반사업[일반]</v>
      </c>
      <c r="O109" s="236" t="str">
        <f>IFERROR(VLOOKUP($A109,보수일람표!$A:$M,4,FALSE),"")</f>
        <v/>
      </c>
      <c r="P109" s="236" t="str">
        <f>IFERROR(VLOOKUP($A109,보수일람표!$A:$M,5,FALSE),"")</f>
        <v/>
      </c>
      <c r="Q109" s="923" t="str">
        <f>IFERROR(VLOOKUP($A109,보수일람표!$A:$M,6,FALSE),"")</f>
        <v/>
      </c>
      <c r="R109" s="236" t="str">
        <f>IFERROR(VLOOKUP($A109,보수일람표!$A:$M,7,FALSE),"")</f>
        <v>직접</v>
      </c>
      <c r="S109" s="236"/>
      <c r="T109" s="237">
        <f>IFERROR(VLOOKUP($A109,보수일람표!$A:$M,9,FALSE),"")</f>
        <v>0</v>
      </c>
      <c r="U109" s="237">
        <f>IFERROR(VLOOKUP($A109,보수일람표!$A:$M,10,FALSE),"")</f>
        <v>0</v>
      </c>
      <c r="V109" s="237">
        <f>IFERROR(VLOOKUP($A109,보수일람표!$A:$M,11,FALSE),"")</f>
        <v>0</v>
      </c>
      <c r="W109" s="237">
        <f>IFERROR(VLOOKUP($A109,보수일람표!$A:$M,12,FALSE),"")</f>
        <v>0</v>
      </c>
      <c r="X109" s="237">
        <f>IFERROR(VLOOKUP($A109,보수일람표!$A:$M,13,FALSE),"")</f>
        <v>0</v>
      </c>
    </row>
    <row r="110" spans="1:24">
      <c r="A110" s="225">
        <v>108</v>
      </c>
      <c r="B110" s="233" t="str">
        <f>IFERROR(IF(F110="06",데이터입력!$AB$8,IF(F110="07",데이터입력!$AD$8,IF(F110="05",데이터입력!$AF$8,데이터입력!$AB$8))),데이터입력!$AB$8)</f>
        <v>00</v>
      </c>
      <c r="C110" s="684" t="str">
        <f>데이터입력!$AC$9</f>
        <v>일반사업[일반]</v>
      </c>
      <c r="D110" s="238" t="str">
        <f>IFERROR(VLOOKUP($A110,데이터입력!$A:$H,4,FALSE),"")</f>
        <v/>
      </c>
      <c r="E110" s="238" t="str">
        <f>IFERROR(VLOOKUP($A110,데이터입력!$A:$H,2,FALSE),"")</f>
        <v/>
      </c>
      <c r="F110" s="238" t="str">
        <f>IFERROR(VLOOKUP($A110,데이터입력!$A:$H,5,FALSE),"")</f>
        <v/>
      </c>
      <c r="G110" s="238" t="str">
        <f>IFERROR(VLOOKUP($A110,데이터입력!$A:$H,6,FALSE),"")</f>
        <v/>
      </c>
      <c r="H110" s="239" t="str">
        <f>IFERROR(VLOOKUP($A110,데이터입력!$A:$L,8,FALSE)+VLOOKUP($A110,데이터입력!$A:$L,9,FALSE)+VLOOKUP($A110,데이터입력!$A:$L,10,FALSE),"")</f>
        <v/>
      </c>
      <c r="I110" s="234" t="s">
        <v>136</v>
      </c>
      <c r="J110" s="234" t="s">
        <v>136</v>
      </c>
      <c r="K110" s="234" t="s">
        <v>136</v>
      </c>
      <c r="M110" s="235" t="str">
        <f>데이터입력!$AB$8</f>
        <v>00</v>
      </c>
      <c r="N110" s="238" t="str">
        <f>데이터입력!$AC$9</f>
        <v>일반사업[일반]</v>
      </c>
      <c r="O110" s="236" t="str">
        <f>IFERROR(VLOOKUP($A110,보수일람표!$A:$M,4,FALSE),"")</f>
        <v/>
      </c>
      <c r="P110" s="236" t="str">
        <f>IFERROR(VLOOKUP($A110,보수일람표!$A:$M,5,FALSE),"")</f>
        <v/>
      </c>
      <c r="Q110" s="923" t="str">
        <f>IFERROR(VLOOKUP($A110,보수일람표!$A:$M,6,FALSE),"")</f>
        <v/>
      </c>
      <c r="R110" s="236" t="str">
        <f>IFERROR(VLOOKUP($A110,보수일람표!$A:$M,7,FALSE),"")</f>
        <v>직접</v>
      </c>
      <c r="S110" s="236"/>
      <c r="T110" s="237">
        <f>IFERROR(VLOOKUP($A110,보수일람표!$A:$M,9,FALSE),"")</f>
        <v>0</v>
      </c>
      <c r="U110" s="237">
        <f>IFERROR(VLOOKUP($A110,보수일람표!$A:$M,10,FALSE),"")</f>
        <v>0</v>
      </c>
      <c r="V110" s="237">
        <f>IFERROR(VLOOKUP($A110,보수일람표!$A:$M,11,FALSE),"")</f>
        <v>0</v>
      </c>
      <c r="W110" s="237">
        <f>IFERROR(VLOOKUP($A110,보수일람표!$A:$M,12,FALSE),"")</f>
        <v>0</v>
      </c>
      <c r="X110" s="237">
        <f>IFERROR(VLOOKUP($A110,보수일람표!$A:$M,13,FALSE),"")</f>
        <v>0</v>
      </c>
    </row>
    <row r="111" spans="1:24">
      <c r="A111" s="225">
        <v>109</v>
      </c>
      <c r="B111" s="233" t="str">
        <f>IFERROR(IF(F111="06",데이터입력!$AB$8,IF(F111="07",데이터입력!$AD$8,IF(F111="05",데이터입력!$AF$8,데이터입력!$AB$8))),데이터입력!$AB$8)</f>
        <v>00</v>
      </c>
      <c r="C111" s="684" t="str">
        <f>데이터입력!$AC$9</f>
        <v>일반사업[일반]</v>
      </c>
      <c r="D111" s="238" t="str">
        <f>IFERROR(VLOOKUP($A111,데이터입력!$A:$H,4,FALSE),"")</f>
        <v/>
      </c>
      <c r="E111" s="238" t="str">
        <f>IFERROR(VLOOKUP($A111,데이터입력!$A:$H,2,FALSE),"")</f>
        <v/>
      </c>
      <c r="F111" s="238" t="str">
        <f>IFERROR(VLOOKUP($A111,데이터입력!$A:$H,5,FALSE),"")</f>
        <v/>
      </c>
      <c r="G111" s="238" t="str">
        <f>IFERROR(VLOOKUP($A111,데이터입력!$A:$H,6,FALSE),"")</f>
        <v/>
      </c>
      <c r="H111" s="239" t="str">
        <f>IFERROR(VLOOKUP($A111,데이터입력!$A:$L,8,FALSE)+VLOOKUP($A111,데이터입력!$A:$L,9,FALSE)+VLOOKUP($A111,데이터입력!$A:$L,10,FALSE),"")</f>
        <v/>
      </c>
      <c r="I111" s="234" t="s">
        <v>136</v>
      </c>
      <c r="J111" s="234" t="s">
        <v>136</v>
      </c>
      <c r="K111" s="234" t="s">
        <v>136</v>
      </c>
      <c r="M111" s="235" t="str">
        <f>데이터입력!$AB$8</f>
        <v>00</v>
      </c>
      <c r="N111" s="238" t="str">
        <f>데이터입력!$AC$9</f>
        <v>일반사업[일반]</v>
      </c>
      <c r="O111" s="236" t="str">
        <f>IFERROR(VLOOKUP($A111,보수일람표!$A:$M,4,FALSE),"")</f>
        <v/>
      </c>
      <c r="P111" s="236" t="str">
        <f>IFERROR(VLOOKUP($A111,보수일람표!$A:$M,5,FALSE),"")</f>
        <v/>
      </c>
      <c r="Q111" s="923" t="str">
        <f>IFERROR(VLOOKUP($A111,보수일람표!$A:$M,6,FALSE),"")</f>
        <v/>
      </c>
      <c r="R111" s="236" t="str">
        <f>IFERROR(VLOOKUP($A111,보수일람표!$A:$M,7,FALSE),"")</f>
        <v>직접</v>
      </c>
      <c r="S111" s="236"/>
      <c r="T111" s="237">
        <f>IFERROR(VLOOKUP($A111,보수일람표!$A:$M,9,FALSE),"")</f>
        <v>0</v>
      </c>
      <c r="U111" s="237">
        <f>IFERROR(VLOOKUP($A111,보수일람표!$A:$M,10,FALSE),"")</f>
        <v>0</v>
      </c>
      <c r="V111" s="237">
        <f>IFERROR(VLOOKUP($A111,보수일람표!$A:$M,11,FALSE),"")</f>
        <v>0</v>
      </c>
      <c r="W111" s="237">
        <f>IFERROR(VLOOKUP($A111,보수일람표!$A:$M,12,FALSE),"")</f>
        <v>0</v>
      </c>
      <c r="X111" s="237">
        <f>IFERROR(VLOOKUP($A111,보수일람표!$A:$M,13,FALSE),"")</f>
        <v>0</v>
      </c>
    </row>
    <row r="112" spans="1:24">
      <c r="A112" s="225">
        <v>110</v>
      </c>
      <c r="B112" s="233" t="str">
        <f>IFERROR(IF(F112="06",데이터입력!$AB$8,IF(F112="07",데이터입력!$AD$8,IF(F112="05",데이터입력!$AF$8,데이터입력!$AB$8))),데이터입력!$AB$8)</f>
        <v>00</v>
      </c>
      <c r="C112" s="684" t="str">
        <f>데이터입력!$AC$9</f>
        <v>일반사업[일반]</v>
      </c>
      <c r="D112" s="238" t="str">
        <f>IFERROR(VLOOKUP($A112,데이터입력!$A:$H,4,FALSE),"")</f>
        <v/>
      </c>
      <c r="E112" s="238" t="str">
        <f>IFERROR(VLOOKUP($A112,데이터입력!$A:$H,2,FALSE),"")</f>
        <v/>
      </c>
      <c r="F112" s="238" t="str">
        <f>IFERROR(VLOOKUP($A112,데이터입력!$A:$H,5,FALSE),"")</f>
        <v/>
      </c>
      <c r="G112" s="238" t="str">
        <f>IFERROR(VLOOKUP($A112,데이터입력!$A:$H,6,FALSE),"")</f>
        <v/>
      </c>
      <c r="H112" s="239" t="str">
        <f>IFERROR(VLOOKUP($A112,데이터입력!$A:$L,8,FALSE)+VLOOKUP($A112,데이터입력!$A:$L,9,FALSE)+VLOOKUP($A112,데이터입력!$A:$L,10,FALSE),"")</f>
        <v/>
      </c>
      <c r="I112" s="234" t="s">
        <v>136</v>
      </c>
      <c r="J112" s="234" t="s">
        <v>136</v>
      </c>
      <c r="K112" s="234" t="s">
        <v>136</v>
      </c>
      <c r="M112" s="235" t="str">
        <f>데이터입력!$AB$8</f>
        <v>00</v>
      </c>
      <c r="N112" s="238" t="str">
        <f>데이터입력!$AC$9</f>
        <v>일반사업[일반]</v>
      </c>
      <c r="O112" s="236" t="str">
        <f>IFERROR(VLOOKUP($A112,보수일람표!$A:$M,4,FALSE),"")</f>
        <v/>
      </c>
      <c r="P112" s="236" t="str">
        <f>IFERROR(VLOOKUP($A112,보수일람표!$A:$M,5,FALSE),"")</f>
        <v/>
      </c>
      <c r="Q112" s="923" t="str">
        <f>IFERROR(VLOOKUP($A112,보수일람표!$A:$M,6,FALSE),"")</f>
        <v/>
      </c>
      <c r="R112" s="236" t="str">
        <f>IFERROR(VLOOKUP($A112,보수일람표!$A:$M,7,FALSE),"")</f>
        <v>직접</v>
      </c>
      <c r="S112" s="236"/>
      <c r="T112" s="237">
        <f>IFERROR(VLOOKUP($A112,보수일람표!$A:$M,9,FALSE),"")</f>
        <v>0</v>
      </c>
      <c r="U112" s="237">
        <f>IFERROR(VLOOKUP($A112,보수일람표!$A:$M,10,FALSE),"")</f>
        <v>0</v>
      </c>
      <c r="V112" s="237">
        <f>IFERROR(VLOOKUP($A112,보수일람표!$A:$M,11,FALSE),"")</f>
        <v>0</v>
      </c>
      <c r="W112" s="237">
        <f>IFERROR(VLOOKUP($A112,보수일람표!$A:$M,12,FALSE),"")</f>
        <v>0</v>
      </c>
      <c r="X112" s="237">
        <f>IFERROR(VLOOKUP($A112,보수일람표!$A:$M,13,FALSE),"")</f>
        <v>0</v>
      </c>
    </row>
    <row r="113" spans="1:24">
      <c r="A113" s="225">
        <v>111</v>
      </c>
      <c r="B113" s="233" t="str">
        <f>IFERROR(IF(F113="06",데이터입력!$AB$8,IF(F113="07",데이터입력!$AD$8,IF(F113="05",데이터입력!$AF$8,데이터입력!$AB$8))),데이터입력!$AB$8)</f>
        <v>00</v>
      </c>
      <c r="C113" s="684" t="str">
        <f>데이터입력!$AC$9</f>
        <v>일반사업[일반]</v>
      </c>
      <c r="D113" s="238" t="str">
        <f>IFERROR(VLOOKUP($A113,데이터입력!$A:$H,4,FALSE),"")</f>
        <v/>
      </c>
      <c r="E113" s="238" t="str">
        <f>IFERROR(VLOOKUP($A113,데이터입력!$A:$H,2,FALSE),"")</f>
        <v/>
      </c>
      <c r="F113" s="238" t="str">
        <f>IFERROR(VLOOKUP($A113,데이터입력!$A:$H,5,FALSE),"")</f>
        <v/>
      </c>
      <c r="G113" s="238" t="str">
        <f>IFERROR(VLOOKUP($A113,데이터입력!$A:$H,6,FALSE),"")</f>
        <v/>
      </c>
      <c r="H113" s="239" t="str">
        <f>IFERROR(VLOOKUP($A113,데이터입력!$A:$L,8,FALSE)+VLOOKUP($A113,데이터입력!$A:$L,9,FALSE)+VLOOKUP($A113,데이터입력!$A:$L,10,FALSE),"")</f>
        <v/>
      </c>
      <c r="I113" s="234" t="s">
        <v>136</v>
      </c>
      <c r="J113" s="234" t="s">
        <v>136</v>
      </c>
      <c r="K113" s="234" t="s">
        <v>136</v>
      </c>
      <c r="M113" s="235" t="str">
        <f>데이터입력!$AB$8</f>
        <v>00</v>
      </c>
      <c r="N113" s="238" t="str">
        <f>데이터입력!$AC$9</f>
        <v>일반사업[일반]</v>
      </c>
      <c r="O113" s="236" t="str">
        <f>IFERROR(VLOOKUP($A113,보수일람표!$A:$M,4,FALSE),"")</f>
        <v/>
      </c>
      <c r="P113" s="236" t="str">
        <f>IFERROR(VLOOKUP($A113,보수일람표!$A:$M,5,FALSE),"")</f>
        <v/>
      </c>
      <c r="Q113" s="923" t="str">
        <f>IFERROR(VLOOKUP($A113,보수일람표!$A:$M,6,FALSE),"")</f>
        <v/>
      </c>
      <c r="R113" s="236" t="str">
        <f>IFERROR(VLOOKUP($A113,보수일람표!$A:$M,7,FALSE),"")</f>
        <v>직접</v>
      </c>
      <c r="S113" s="236"/>
      <c r="T113" s="237">
        <f>IFERROR(VLOOKUP($A113,보수일람표!$A:$M,9,FALSE),"")</f>
        <v>0</v>
      </c>
      <c r="U113" s="237">
        <f>IFERROR(VLOOKUP($A113,보수일람표!$A:$M,10,FALSE),"")</f>
        <v>0</v>
      </c>
      <c r="V113" s="237">
        <f>IFERROR(VLOOKUP($A113,보수일람표!$A:$M,11,FALSE),"")</f>
        <v>0</v>
      </c>
      <c r="W113" s="237">
        <f>IFERROR(VLOOKUP($A113,보수일람표!$A:$M,12,FALSE),"")</f>
        <v>0</v>
      </c>
      <c r="X113" s="237">
        <f>IFERROR(VLOOKUP($A113,보수일람표!$A:$M,13,FALSE),"")</f>
        <v>0</v>
      </c>
    </row>
    <row r="114" spans="1:24">
      <c r="A114" s="225">
        <v>112</v>
      </c>
      <c r="B114" s="233" t="str">
        <f>IFERROR(IF(F114="06",데이터입력!$AB$8,IF(F114="07",데이터입력!$AD$8,IF(F114="05",데이터입력!$AF$8,데이터입력!$AB$8))),데이터입력!$AB$8)</f>
        <v>00</v>
      </c>
      <c r="C114" s="684" t="str">
        <f>데이터입력!$AC$9</f>
        <v>일반사업[일반]</v>
      </c>
      <c r="D114" s="238" t="str">
        <f>IFERROR(VLOOKUP($A114,데이터입력!$A:$H,4,FALSE),"")</f>
        <v/>
      </c>
      <c r="E114" s="238" t="str">
        <f>IFERROR(VLOOKUP($A114,데이터입력!$A:$H,2,FALSE),"")</f>
        <v/>
      </c>
      <c r="F114" s="238" t="str">
        <f>IFERROR(VLOOKUP($A114,데이터입력!$A:$H,5,FALSE),"")</f>
        <v/>
      </c>
      <c r="G114" s="238" t="str">
        <f>IFERROR(VLOOKUP($A114,데이터입력!$A:$H,6,FALSE),"")</f>
        <v/>
      </c>
      <c r="H114" s="239" t="str">
        <f>IFERROR(VLOOKUP($A114,데이터입력!$A:$L,8,FALSE)+VLOOKUP($A114,데이터입력!$A:$L,9,FALSE)+VLOOKUP($A114,데이터입력!$A:$L,10,FALSE),"")</f>
        <v/>
      </c>
      <c r="I114" s="234" t="s">
        <v>136</v>
      </c>
      <c r="J114" s="234" t="s">
        <v>136</v>
      </c>
      <c r="K114" s="234" t="s">
        <v>136</v>
      </c>
      <c r="M114" s="235" t="str">
        <f>데이터입력!$AB$8</f>
        <v>00</v>
      </c>
      <c r="N114" s="238" t="str">
        <f>데이터입력!$AC$9</f>
        <v>일반사업[일반]</v>
      </c>
      <c r="O114" s="236" t="str">
        <f>IFERROR(VLOOKUP($A114,보수일람표!$A:$M,4,FALSE),"")</f>
        <v/>
      </c>
      <c r="P114" s="236" t="str">
        <f>IFERROR(VLOOKUP($A114,보수일람표!$A:$M,5,FALSE),"")</f>
        <v/>
      </c>
      <c r="Q114" s="923" t="str">
        <f>IFERROR(VLOOKUP($A114,보수일람표!$A:$M,6,FALSE),"")</f>
        <v/>
      </c>
      <c r="R114" s="236" t="str">
        <f>IFERROR(VLOOKUP($A114,보수일람표!$A:$M,7,FALSE),"")</f>
        <v>직접</v>
      </c>
      <c r="S114" s="236"/>
      <c r="T114" s="237">
        <f>IFERROR(VLOOKUP($A114,보수일람표!$A:$M,9,FALSE),"")</f>
        <v>0</v>
      </c>
      <c r="U114" s="237">
        <f>IFERROR(VLOOKUP($A114,보수일람표!$A:$M,10,FALSE),"")</f>
        <v>0</v>
      </c>
      <c r="V114" s="237">
        <f>IFERROR(VLOOKUP($A114,보수일람표!$A:$M,11,FALSE),"")</f>
        <v>0</v>
      </c>
      <c r="W114" s="237">
        <f>IFERROR(VLOOKUP($A114,보수일람표!$A:$M,12,FALSE),"")</f>
        <v>0</v>
      </c>
      <c r="X114" s="237">
        <f>IFERROR(VLOOKUP($A114,보수일람표!$A:$M,13,FALSE),"")</f>
        <v>0</v>
      </c>
    </row>
    <row r="115" spans="1:24">
      <c r="A115" s="225">
        <v>113</v>
      </c>
      <c r="B115" s="233" t="str">
        <f>IFERROR(IF(F115="06",데이터입력!$AB$8,IF(F115="07",데이터입력!$AD$8,IF(F115="05",데이터입력!$AF$8,데이터입력!$AB$8))),데이터입력!$AB$8)</f>
        <v>00</v>
      </c>
      <c r="C115" s="684" t="str">
        <f>데이터입력!$AC$9</f>
        <v>일반사업[일반]</v>
      </c>
      <c r="D115" s="238" t="str">
        <f>IFERROR(VLOOKUP($A115,데이터입력!$A:$H,4,FALSE),"")</f>
        <v/>
      </c>
      <c r="E115" s="238" t="str">
        <f>IFERROR(VLOOKUP($A115,데이터입력!$A:$H,2,FALSE),"")</f>
        <v/>
      </c>
      <c r="F115" s="238" t="str">
        <f>IFERROR(VLOOKUP($A115,데이터입력!$A:$H,5,FALSE),"")</f>
        <v/>
      </c>
      <c r="G115" s="238" t="str">
        <f>IFERROR(VLOOKUP($A115,데이터입력!$A:$H,6,FALSE),"")</f>
        <v/>
      </c>
      <c r="H115" s="239" t="str">
        <f>IFERROR(VLOOKUP($A115,데이터입력!$A:$L,8,FALSE)+VLOOKUP($A115,데이터입력!$A:$L,9,FALSE)+VLOOKUP($A115,데이터입력!$A:$L,10,FALSE),"")</f>
        <v/>
      </c>
      <c r="I115" s="234" t="s">
        <v>136</v>
      </c>
      <c r="J115" s="234" t="s">
        <v>136</v>
      </c>
      <c r="K115" s="234" t="s">
        <v>136</v>
      </c>
      <c r="M115" s="235" t="str">
        <f>데이터입력!$AB$8</f>
        <v>00</v>
      </c>
      <c r="N115" s="238" t="str">
        <f>데이터입력!$AC$9</f>
        <v>일반사업[일반]</v>
      </c>
      <c r="O115" s="236" t="str">
        <f>IFERROR(VLOOKUP($A115,보수일람표!$A:$M,4,FALSE),"")</f>
        <v/>
      </c>
      <c r="P115" s="236" t="str">
        <f>IFERROR(VLOOKUP($A115,보수일람표!$A:$M,5,FALSE),"")</f>
        <v/>
      </c>
      <c r="Q115" s="923" t="str">
        <f>IFERROR(VLOOKUP($A115,보수일람표!$A:$M,6,FALSE),"")</f>
        <v/>
      </c>
      <c r="R115" s="236" t="str">
        <f>IFERROR(VLOOKUP($A115,보수일람표!$A:$M,7,FALSE),"")</f>
        <v>직접</v>
      </c>
      <c r="S115" s="236"/>
      <c r="T115" s="237">
        <f>IFERROR(VLOOKUP($A115,보수일람표!$A:$M,9,FALSE),"")</f>
        <v>0</v>
      </c>
      <c r="U115" s="237">
        <f>IFERROR(VLOOKUP($A115,보수일람표!$A:$M,10,FALSE),"")</f>
        <v>0</v>
      </c>
      <c r="V115" s="237">
        <f>IFERROR(VLOOKUP($A115,보수일람표!$A:$M,11,FALSE),"")</f>
        <v>0</v>
      </c>
      <c r="W115" s="237">
        <f>IFERROR(VLOOKUP($A115,보수일람표!$A:$M,12,FALSE),"")</f>
        <v>0</v>
      </c>
      <c r="X115" s="237">
        <f>IFERROR(VLOOKUP($A115,보수일람표!$A:$M,13,FALSE),"")</f>
        <v>0</v>
      </c>
    </row>
    <row r="116" spans="1:24">
      <c r="A116" s="225">
        <v>114</v>
      </c>
      <c r="B116" s="233" t="str">
        <f>IFERROR(IF(F116="06",데이터입력!$AB$8,IF(F116="07",데이터입력!$AD$8,IF(F116="05",데이터입력!$AF$8,데이터입력!$AB$8))),데이터입력!$AB$8)</f>
        <v>00</v>
      </c>
      <c r="C116" s="684" t="str">
        <f>데이터입력!$AC$9</f>
        <v>일반사업[일반]</v>
      </c>
      <c r="D116" s="238" t="str">
        <f>IFERROR(VLOOKUP($A116,데이터입력!$A:$H,4,FALSE),"")</f>
        <v/>
      </c>
      <c r="E116" s="238" t="str">
        <f>IFERROR(VLOOKUP($A116,데이터입력!$A:$H,2,FALSE),"")</f>
        <v/>
      </c>
      <c r="F116" s="238" t="str">
        <f>IFERROR(VLOOKUP($A116,데이터입력!$A:$H,5,FALSE),"")</f>
        <v/>
      </c>
      <c r="G116" s="238" t="str">
        <f>IFERROR(VLOOKUP($A116,데이터입력!$A:$H,6,FALSE),"")</f>
        <v/>
      </c>
      <c r="H116" s="239" t="str">
        <f>IFERROR(VLOOKUP($A116,데이터입력!$A:$L,8,FALSE)+VLOOKUP($A116,데이터입력!$A:$L,9,FALSE)+VLOOKUP($A116,데이터입력!$A:$L,10,FALSE),"")</f>
        <v/>
      </c>
      <c r="I116" s="234" t="s">
        <v>136</v>
      </c>
      <c r="J116" s="234" t="s">
        <v>136</v>
      </c>
      <c r="K116" s="234" t="s">
        <v>136</v>
      </c>
      <c r="M116" s="235" t="str">
        <f>데이터입력!$AB$8</f>
        <v>00</v>
      </c>
      <c r="N116" s="238" t="str">
        <f>데이터입력!$AC$9</f>
        <v>일반사업[일반]</v>
      </c>
      <c r="O116" s="236" t="str">
        <f>IFERROR(VLOOKUP($A116,보수일람표!$A:$M,4,FALSE),"")</f>
        <v/>
      </c>
      <c r="P116" s="236" t="str">
        <f>IFERROR(VLOOKUP($A116,보수일람표!$A:$M,5,FALSE),"")</f>
        <v/>
      </c>
      <c r="Q116" s="923" t="str">
        <f>IFERROR(VLOOKUP($A116,보수일람표!$A:$M,6,FALSE),"")</f>
        <v/>
      </c>
      <c r="R116" s="236" t="str">
        <f>IFERROR(VLOOKUP($A116,보수일람표!$A:$M,7,FALSE),"")</f>
        <v>직접</v>
      </c>
      <c r="S116" s="236"/>
      <c r="T116" s="237">
        <f>IFERROR(VLOOKUP($A116,보수일람표!$A:$M,9,FALSE),"")</f>
        <v>0</v>
      </c>
      <c r="U116" s="237">
        <f>IFERROR(VLOOKUP($A116,보수일람표!$A:$M,10,FALSE),"")</f>
        <v>0</v>
      </c>
      <c r="V116" s="237">
        <f>IFERROR(VLOOKUP($A116,보수일람표!$A:$M,11,FALSE),"")</f>
        <v>0</v>
      </c>
      <c r="W116" s="237">
        <f>IFERROR(VLOOKUP($A116,보수일람표!$A:$M,12,FALSE),"")</f>
        <v>0</v>
      </c>
      <c r="X116" s="237">
        <f>IFERROR(VLOOKUP($A116,보수일람표!$A:$M,13,FALSE),"")</f>
        <v>0</v>
      </c>
    </row>
    <row r="117" spans="1:24">
      <c r="A117" s="225">
        <v>115</v>
      </c>
      <c r="B117" s="233" t="str">
        <f>IFERROR(IF(F117="06",데이터입력!$AB$8,IF(F117="07",데이터입력!$AD$8,IF(F117="05",데이터입력!$AF$8,데이터입력!$AB$8))),데이터입력!$AB$8)</f>
        <v>00</v>
      </c>
      <c r="C117" s="684" t="str">
        <f>데이터입력!$AC$9</f>
        <v>일반사업[일반]</v>
      </c>
      <c r="D117" s="238" t="str">
        <f>IFERROR(VLOOKUP($A117,데이터입력!$A:$H,4,FALSE),"")</f>
        <v/>
      </c>
      <c r="E117" s="238" t="str">
        <f>IFERROR(VLOOKUP($A117,데이터입력!$A:$H,2,FALSE),"")</f>
        <v/>
      </c>
      <c r="F117" s="238" t="str">
        <f>IFERROR(VLOOKUP($A117,데이터입력!$A:$H,5,FALSE),"")</f>
        <v/>
      </c>
      <c r="G117" s="238" t="str">
        <f>IFERROR(VLOOKUP($A117,데이터입력!$A:$H,6,FALSE),"")</f>
        <v/>
      </c>
      <c r="H117" s="239" t="str">
        <f>IFERROR(VLOOKUP($A117,데이터입력!$A:$L,8,FALSE)+VLOOKUP($A117,데이터입력!$A:$L,9,FALSE)+VLOOKUP($A117,데이터입력!$A:$L,10,FALSE),"")</f>
        <v/>
      </c>
      <c r="I117" s="234" t="s">
        <v>136</v>
      </c>
      <c r="J117" s="234" t="s">
        <v>136</v>
      </c>
      <c r="K117" s="234" t="s">
        <v>136</v>
      </c>
      <c r="M117" s="235" t="str">
        <f>데이터입력!$AB$8</f>
        <v>00</v>
      </c>
      <c r="N117" s="238" t="str">
        <f>데이터입력!$AC$9</f>
        <v>일반사업[일반]</v>
      </c>
      <c r="O117" s="236" t="str">
        <f>IFERROR(VLOOKUP($A117,보수일람표!$A:$M,4,FALSE),"")</f>
        <v/>
      </c>
      <c r="P117" s="236" t="str">
        <f>IFERROR(VLOOKUP($A117,보수일람표!$A:$M,5,FALSE),"")</f>
        <v/>
      </c>
      <c r="Q117" s="923" t="str">
        <f>IFERROR(VLOOKUP($A117,보수일람표!$A:$M,6,FALSE),"")</f>
        <v/>
      </c>
      <c r="R117" s="236" t="str">
        <f>IFERROR(VLOOKUP($A117,보수일람표!$A:$M,7,FALSE),"")</f>
        <v>직접</v>
      </c>
      <c r="S117" s="236"/>
      <c r="T117" s="237">
        <f>IFERROR(VLOOKUP($A117,보수일람표!$A:$M,9,FALSE),"")</f>
        <v>0</v>
      </c>
      <c r="U117" s="237">
        <f>IFERROR(VLOOKUP($A117,보수일람표!$A:$M,10,FALSE),"")</f>
        <v>0</v>
      </c>
      <c r="V117" s="237">
        <f>IFERROR(VLOOKUP($A117,보수일람표!$A:$M,11,FALSE),"")</f>
        <v>0</v>
      </c>
      <c r="W117" s="237">
        <f>IFERROR(VLOOKUP($A117,보수일람표!$A:$M,12,FALSE),"")</f>
        <v>0</v>
      </c>
      <c r="X117" s="237">
        <f>IFERROR(VLOOKUP($A117,보수일람표!$A:$M,13,FALSE),"")</f>
        <v>0</v>
      </c>
    </row>
    <row r="118" spans="1:24">
      <c r="A118" s="225">
        <v>116</v>
      </c>
      <c r="B118" s="233" t="str">
        <f>IFERROR(IF(F118="06",데이터입력!$AB$8,IF(F118="07",데이터입력!$AD$8,IF(F118="05",데이터입력!$AF$8,데이터입력!$AB$8))),데이터입력!$AB$8)</f>
        <v>00</v>
      </c>
      <c r="C118" s="684" t="str">
        <f>데이터입력!$AC$9</f>
        <v>일반사업[일반]</v>
      </c>
      <c r="D118" s="238" t="str">
        <f>IFERROR(VLOOKUP($A118,데이터입력!$A:$H,4,FALSE),"")</f>
        <v/>
      </c>
      <c r="E118" s="238" t="str">
        <f>IFERROR(VLOOKUP($A118,데이터입력!$A:$H,2,FALSE),"")</f>
        <v/>
      </c>
      <c r="F118" s="238" t="str">
        <f>IFERROR(VLOOKUP($A118,데이터입력!$A:$H,5,FALSE),"")</f>
        <v/>
      </c>
      <c r="G118" s="238" t="str">
        <f>IFERROR(VLOOKUP($A118,데이터입력!$A:$H,6,FALSE),"")</f>
        <v/>
      </c>
      <c r="H118" s="239" t="str">
        <f>IFERROR(VLOOKUP($A118,데이터입력!$A:$L,8,FALSE)+VLOOKUP($A118,데이터입력!$A:$L,9,FALSE)+VLOOKUP($A118,데이터입력!$A:$L,10,FALSE),"")</f>
        <v/>
      </c>
      <c r="I118" s="234" t="s">
        <v>136</v>
      </c>
      <c r="J118" s="234" t="s">
        <v>136</v>
      </c>
      <c r="K118" s="234" t="s">
        <v>136</v>
      </c>
      <c r="M118" s="235" t="str">
        <f>데이터입력!$AB$8</f>
        <v>00</v>
      </c>
      <c r="N118" s="238" t="str">
        <f>데이터입력!$AC$9</f>
        <v>일반사업[일반]</v>
      </c>
      <c r="O118" s="236" t="str">
        <f>IFERROR(VLOOKUP($A118,보수일람표!$A:$M,4,FALSE),"")</f>
        <v/>
      </c>
      <c r="P118" s="236" t="str">
        <f>IFERROR(VLOOKUP($A118,보수일람표!$A:$M,5,FALSE),"")</f>
        <v/>
      </c>
      <c r="Q118" s="923" t="str">
        <f>IFERROR(VLOOKUP($A118,보수일람표!$A:$M,6,FALSE),"")</f>
        <v/>
      </c>
      <c r="R118" s="236" t="str">
        <f>IFERROR(VLOOKUP($A118,보수일람표!$A:$M,7,FALSE),"")</f>
        <v>직접</v>
      </c>
      <c r="S118" s="236"/>
      <c r="T118" s="237">
        <f>IFERROR(VLOOKUP($A118,보수일람표!$A:$M,9,FALSE),"")</f>
        <v>0</v>
      </c>
      <c r="U118" s="237">
        <f>IFERROR(VLOOKUP($A118,보수일람표!$A:$M,10,FALSE),"")</f>
        <v>0</v>
      </c>
      <c r="V118" s="237">
        <f>IFERROR(VLOOKUP($A118,보수일람표!$A:$M,11,FALSE),"")</f>
        <v>0</v>
      </c>
      <c r="W118" s="237">
        <f>IFERROR(VLOOKUP($A118,보수일람표!$A:$M,12,FALSE),"")</f>
        <v>0</v>
      </c>
      <c r="X118" s="237">
        <f>IFERROR(VLOOKUP($A118,보수일람표!$A:$M,13,FALSE),"")</f>
        <v>0</v>
      </c>
    </row>
    <row r="119" spans="1:24">
      <c r="A119" s="225">
        <v>117</v>
      </c>
      <c r="B119" s="233" t="str">
        <f>IFERROR(IF(F119="06",데이터입력!$AB$8,IF(F119="07",데이터입력!$AD$8,IF(F119="05",데이터입력!$AF$8,데이터입력!$AB$8))),데이터입력!$AB$8)</f>
        <v>00</v>
      </c>
      <c r="C119" s="684" t="str">
        <f>데이터입력!$AC$9</f>
        <v>일반사업[일반]</v>
      </c>
      <c r="D119" s="238" t="str">
        <f>IFERROR(VLOOKUP($A119,데이터입력!$A:$H,4,FALSE),"")</f>
        <v/>
      </c>
      <c r="E119" s="238" t="str">
        <f>IFERROR(VLOOKUP($A119,데이터입력!$A:$H,2,FALSE),"")</f>
        <v/>
      </c>
      <c r="F119" s="238" t="str">
        <f>IFERROR(VLOOKUP($A119,데이터입력!$A:$H,5,FALSE),"")</f>
        <v/>
      </c>
      <c r="G119" s="238" t="str">
        <f>IFERROR(VLOOKUP($A119,데이터입력!$A:$H,6,FALSE),"")</f>
        <v/>
      </c>
      <c r="H119" s="239" t="str">
        <f>IFERROR(VLOOKUP($A119,데이터입력!$A:$L,8,FALSE)+VLOOKUP($A119,데이터입력!$A:$L,9,FALSE)+VLOOKUP($A119,데이터입력!$A:$L,10,FALSE),"")</f>
        <v/>
      </c>
      <c r="I119" s="234" t="s">
        <v>136</v>
      </c>
      <c r="J119" s="234" t="s">
        <v>136</v>
      </c>
      <c r="K119" s="234" t="s">
        <v>136</v>
      </c>
      <c r="M119" s="235" t="str">
        <f>데이터입력!$AB$8</f>
        <v>00</v>
      </c>
      <c r="N119" s="238" t="str">
        <f>데이터입력!$AC$9</f>
        <v>일반사업[일반]</v>
      </c>
      <c r="O119" s="236" t="str">
        <f>IFERROR(VLOOKUP($A119,보수일람표!$A:$M,4,FALSE),"")</f>
        <v/>
      </c>
      <c r="P119" s="236" t="str">
        <f>IFERROR(VLOOKUP($A119,보수일람표!$A:$M,5,FALSE),"")</f>
        <v/>
      </c>
      <c r="Q119" s="923" t="str">
        <f>IFERROR(VLOOKUP($A119,보수일람표!$A:$M,6,FALSE),"")</f>
        <v/>
      </c>
      <c r="R119" s="236" t="str">
        <f>IFERROR(VLOOKUP($A119,보수일람표!$A:$M,7,FALSE),"")</f>
        <v>직접</v>
      </c>
      <c r="S119" s="236"/>
      <c r="T119" s="237">
        <f>IFERROR(VLOOKUP($A119,보수일람표!$A:$M,9,FALSE),"")</f>
        <v>0</v>
      </c>
      <c r="U119" s="237">
        <f>IFERROR(VLOOKUP($A119,보수일람표!$A:$M,10,FALSE),"")</f>
        <v>0</v>
      </c>
      <c r="V119" s="237">
        <f>IFERROR(VLOOKUP($A119,보수일람표!$A:$M,11,FALSE),"")</f>
        <v>0</v>
      </c>
      <c r="W119" s="237">
        <f>IFERROR(VLOOKUP($A119,보수일람표!$A:$M,12,FALSE),"")</f>
        <v>0</v>
      </c>
      <c r="X119" s="237">
        <f>IFERROR(VLOOKUP($A119,보수일람표!$A:$M,13,FALSE),"")</f>
        <v>0</v>
      </c>
    </row>
    <row r="120" spans="1:24">
      <c r="A120" s="225">
        <v>118</v>
      </c>
      <c r="B120" s="233" t="str">
        <f>IFERROR(IF(F120="06",데이터입력!$AB$8,IF(F120="07",데이터입력!$AD$8,IF(F120="05",데이터입력!$AF$8,데이터입력!$AB$8))),데이터입력!$AB$8)</f>
        <v>00</v>
      </c>
      <c r="C120" s="684" t="str">
        <f>데이터입력!$AC$9</f>
        <v>일반사업[일반]</v>
      </c>
      <c r="D120" s="238" t="str">
        <f>IFERROR(VLOOKUP($A120,데이터입력!$A:$H,4,FALSE),"")</f>
        <v/>
      </c>
      <c r="E120" s="238" t="str">
        <f>IFERROR(VLOOKUP($A120,데이터입력!$A:$H,2,FALSE),"")</f>
        <v/>
      </c>
      <c r="F120" s="238" t="str">
        <f>IFERROR(VLOOKUP($A120,데이터입력!$A:$H,5,FALSE),"")</f>
        <v/>
      </c>
      <c r="G120" s="238" t="str">
        <f>IFERROR(VLOOKUP($A120,데이터입력!$A:$H,6,FALSE),"")</f>
        <v/>
      </c>
      <c r="H120" s="239" t="str">
        <f>IFERROR(VLOOKUP($A120,데이터입력!$A:$L,8,FALSE)+VLOOKUP($A120,데이터입력!$A:$L,9,FALSE)+VLOOKUP($A120,데이터입력!$A:$L,10,FALSE),"")</f>
        <v/>
      </c>
      <c r="I120" s="234" t="s">
        <v>136</v>
      </c>
      <c r="J120" s="234" t="s">
        <v>136</v>
      </c>
      <c r="K120" s="234" t="s">
        <v>136</v>
      </c>
      <c r="M120" s="235" t="str">
        <f>데이터입력!$AB$8</f>
        <v>00</v>
      </c>
      <c r="N120" s="238" t="str">
        <f>데이터입력!$AC$9</f>
        <v>일반사업[일반]</v>
      </c>
      <c r="O120" s="236" t="str">
        <f>IFERROR(VLOOKUP($A120,보수일람표!$A:$M,4,FALSE),"")</f>
        <v/>
      </c>
      <c r="P120" s="236" t="str">
        <f>IFERROR(VLOOKUP($A120,보수일람표!$A:$M,5,FALSE),"")</f>
        <v/>
      </c>
      <c r="Q120" s="923" t="str">
        <f>IFERROR(VLOOKUP($A120,보수일람표!$A:$M,6,FALSE),"")</f>
        <v/>
      </c>
      <c r="R120" s="236" t="str">
        <f>IFERROR(VLOOKUP($A120,보수일람표!$A:$M,7,FALSE),"")</f>
        <v>직접</v>
      </c>
      <c r="S120" s="236"/>
      <c r="T120" s="237">
        <f>IFERROR(VLOOKUP($A120,보수일람표!$A:$M,9,FALSE),"")</f>
        <v>0</v>
      </c>
      <c r="U120" s="237">
        <f>IFERROR(VLOOKUP($A120,보수일람표!$A:$M,10,FALSE),"")</f>
        <v>0</v>
      </c>
      <c r="V120" s="237">
        <f>IFERROR(VLOOKUP($A120,보수일람표!$A:$M,11,FALSE),"")</f>
        <v>0</v>
      </c>
      <c r="W120" s="237">
        <f>IFERROR(VLOOKUP($A120,보수일람표!$A:$M,12,FALSE),"")</f>
        <v>0</v>
      </c>
      <c r="X120" s="237">
        <f>IFERROR(VLOOKUP($A120,보수일람표!$A:$M,13,FALSE),"")</f>
        <v>0</v>
      </c>
    </row>
    <row r="121" spans="1:24">
      <c r="A121" s="225">
        <v>119</v>
      </c>
      <c r="B121" s="233" t="str">
        <f>IFERROR(IF(F121="06",데이터입력!$AB$8,IF(F121="07",데이터입력!$AD$8,IF(F121="05",데이터입력!$AF$8,데이터입력!$AB$8))),데이터입력!$AB$8)</f>
        <v>00</v>
      </c>
      <c r="C121" s="684" t="str">
        <f>데이터입력!$AC$9</f>
        <v>일반사업[일반]</v>
      </c>
      <c r="D121" s="238" t="str">
        <f>IFERROR(VLOOKUP($A121,데이터입력!$A:$H,4,FALSE),"")</f>
        <v/>
      </c>
      <c r="E121" s="238" t="str">
        <f>IFERROR(VLOOKUP($A121,데이터입력!$A:$H,2,FALSE),"")</f>
        <v/>
      </c>
      <c r="F121" s="238" t="str">
        <f>IFERROR(VLOOKUP($A121,데이터입력!$A:$H,5,FALSE),"")</f>
        <v/>
      </c>
      <c r="G121" s="238" t="str">
        <f>IFERROR(VLOOKUP($A121,데이터입력!$A:$H,6,FALSE),"")</f>
        <v/>
      </c>
      <c r="H121" s="239" t="str">
        <f>IFERROR(VLOOKUP($A121,데이터입력!$A:$L,8,FALSE)+VLOOKUP($A121,데이터입력!$A:$L,9,FALSE)+VLOOKUP($A121,데이터입력!$A:$L,10,FALSE),"")</f>
        <v/>
      </c>
      <c r="I121" s="234" t="s">
        <v>136</v>
      </c>
      <c r="J121" s="234" t="s">
        <v>136</v>
      </c>
      <c r="K121" s="234" t="s">
        <v>136</v>
      </c>
      <c r="M121" s="235" t="str">
        <f>데이터입력!$AB$8</f>
        <v>00</v>
      </c>
      <c r="N121" s="238" t="str">
        <f>데이터입력!$AC$9</f>
        <v>일반사업[일반]</v>
      </c>
      <c r="O121" s="236" t="str">
        <f>IFERROR(VLOOKUP($A121,보수일람표!$A:$M,4,FALSE),"")</f>
        <v/>
      </c>
      <c r="P121" s="236" t="str">
        <f>IFERROR(VLOOKUP($A121,보수일람표!$A:$M,5,FALSE),"")</f>
        <v/>
      </c>
      <c r="Q121" s="923" t="str">
        <f>IFERROR(VLOOKUP($A121,보수일람표!$A:$M,6,FALSE),"")</f>
        <v/>
      </c>
      <c r="R121" s="236" t="str">
        <f>IFERROR(VLOOKUP($A121,보수일람표!$A:$M,7,FALSE),"")</f>
        <v>직접</v>
      </c>
      <c r="S121" s="236"/>
      <c r="T121" s="237">
        <f>IFERROR(VLOOKUP($A121,보수일람표!$A:$M,9,FALSE),"")</f>
        <v>0</v>
      </c>
      <c r="U121" s="237">
        <f>IFERROR(VLOOKUP($A121,보수일람표!$A:$M,10,FALSE),"")</f>
        <v>0</v>
      </c>
      <c r="V121" s="237">
        <f>IFERROR(VLOOKUP($A121,보수일람표!$A:$M,11,FALSE),"")</f>
        <v>0</v>
      </c>
      <c r="W121" s="237">
        <f>IFERROR(VLOOKUP($A121,보수일람표!$A:$M,12,FALSE),"")</f>
        <v>0</v>
      </c>
      <c r="X121" s="237">
        <f>IFERROR(VLOOKUP($A121,보수일람표!$A:$M,13,FALSE),"")</f>
        <v>0</v>
      </c>
    </row>
    <row r="122" spans="1:24">
      <c r="A122" s="225">
        <v>120</v>
      </c>
      <c r="B122" s="233" t="str">
        <f>IFERROR(IF(F122="06",데이터입력!$AB$8,IF(F122="07",데이터입력!$AD$8,IF(F122="05",데이터입력!$AF$8,데이터입력!$AB$8))),데이터입력!$AB$8)</f>
        <v>00</v>
      </c>
      <c r="C122" s="684" t="str">
        <f>데이터입력!$AC$9</f>
        <v>일반사업[일반]</v>
      </c>
      <c r="D122" s="238" t="str">
        <f>IFERROR(VLOOKUP($A122,데이터입력!$A:$H,4,FALSE),"")</f>
        <v/>
      </c>
      <c r="E122" s="238" t="str">
        <f>IFERROR(VLOOKUP($A122,데이터입력!$A:$H,2,FALSE),"")</f>
        <v/>
      </c>
      <c r="F122" s="238" t="str">
        <f>IFERROR(VLOOKUP($A122,데이터입력!$A:$H,5,FALSE),"")</f>
        <v/>
      </c>
      <c r="G122" s="238" t="str">
        <f>IFERROR(VLOOKUP($A122,데이터입력!$A:$H,6,FALSE),"")</f>
        <v/>
      </c>
      <c r="H122" s="239" t="str">
        <f>IFERROR(VLOOKUP($A122,데이터입력!$A:$L,8,FALSE)+VLOOKUP($A122,데이터입력!$A:$L,9,FALSE)+VLOOKUP($A122,데이터입력!$A:$L,10,FALSE),"")</f>
        <v/>
      </c>
      <c r="I122" s="234" t="s">
        <v>136</v>
      </c>
      <c r="J122" s="234" t="s">
        <v>136</v>
      </c>
      <c r="K122" s="234" t="s">
        <v>136</v>
      </c>
      <c r="M122" s="235" t="str">
        <f>데이터입력!$AB$8</f>
        <v>00</v>
      </c>
      <c r="N122" s="238" t="str">
        <f>데이터입력!$AC$9</f>
        <v>일반사업[일반]</v>
      </c>
      <c r="O122" s="236" t="str">
        <f>IFERROR(VLOOKUP($A122,보수일람표!$A:$M,4,FALSE),"")</f>
        <v/>
      </c>
      <c r="P122" s="236" t="str">
        <f>IFERROR(VLOOKUP($A122,보수일람표!$A:$M,5,FALSE),"")</f>
        <v/>
      </c>
      <c r="Q122" s="923" t="str">
        <f>IFERROR(VLOOKUP($A122,보수일람표!$A:$M,6,FALSE),"")</f>
        <v/>
      </c>
      <c r="R122" s="236" t="str">
        <f>IFERROR(VLOOKUP($A122,보수일람표!$A:$M,7,FALSE),"")</f>
        <v>직접</v>
      </c>
      <c r="S122" s="236"/>
      <c r="T122" s="237">
        <f>IFERROR(VLOOKUP($A122,보수일람표!$A:$M,9,FALSE),"")</f>
        <v>0</v>
      </c>
      <c r="U122" s="237">
        <f>IFERROR(VLOOKUP($A122,보수일람표!$A:$M,10,FALSE),"")</f>
        <v>0</v>
      </c>
      <c r="V122" s="237">
        <f>IFERROR(VLOOKUP($A122,보수일람표!$A:$M,11,FALSE),"")</f>
        <v>0</v>
      </c>
      <c r="W122" s="237">
        <f>IFERROR(VLOOKUP($A122,보수일람표!$A:$M,12,FALSE),"")</f>
        <v>0</v>
      </c>
      <c r="X122" s="237">
        <f>IFERROR(VLOOKUP($A122,보수일람표!$A:$M,13,FALSE),"")</f>
        <v>0</v>
      </c>
    </row>
    <row r="123" spans="1:24">
      <c r="A123" s="225">
        <v>121</v>
      </c>
      <c r="B123" s="233" t="str">
        <f>IFERROR(IF(F123="06",데이터입력!$AB$8,IF(F123="07",데이터입력!$AD$8,IF(F123="05",데이터입력!$AF$8,데이터입력!$AB$8))),데이터입력!$AB$8)</f>
        <v>00</v>
      </c>
      <c r="C123" s="684" t="str">
        <f>데이터입력!$AC$9</f>
        <v>일반사업[일반]</v>
      </c>
      <c r="D123" s="238" t="str">
        <f>IFERROR(VLOOKUP($A123,데이터입력!$A:$H,4,FALSE),"")</f>
        <v/>
      </c>
      <c r="E123" s="238" t="str">
        <f>IFERROR(VLOOKUP($A123,데이터입력!$A:$H,2,FALSE),"")</f>
        <v/>
      </c>
      <c r="F123" s="238" t="str">
        <f>IFERROR(VLOOKUP($A123,데이터입력!$A:$H,5,FALSE),"")</f>
        <v/>
      </c>
      <c r="G123" s="238" t="str">
        <f>IFERROR(VLOOKUP($A123,데이터입력!$A:$H,6,FALSE),"")</f>
        <v/>
      </c>
      <c r="H123" s="239" t="str">
        <f>IFERROR(VLOOKUP($A123,데이터입력!$A:$L,8,FALSE)+VLOOKUP($A123,데이터입력!$A:$L,9,FALSE)+VLOOKUP($A123,데이터입력!$A:$L,10,FALSE),"")</f>
        <v/>
      </c>
      <c r="I123" s="234" t="s">
        <v>136</v>
      </c>
      <c r="J123" s="234" t="s">
        <v>136</v>
      </c>
      <c r="K123" s="234" t="s">
        <v>136</v>
      </c>
      <c r="M123" s="235" t="str">
        <f>데이터입력!$AB$8</f>
        <v>00</v>
      </c>
      <c r="N123" s="238" t="str">
        <f>데이터입력!$AC$9</f>
        <v>일반사업[일반]</v>
      </c>
      <c r="O123" s="236" t="str">
        <f>IFERROR(VLOOKUP($A123,보수일람표!$A:$M,4,FALSE),"")</f>
        <v/>
      </c>
      <c r="P123" s="236" t="str">
        <f>IFERROR(VLOOKUP($A123,보수일람표!$A:$M,5,FALSE),"")</f>
        <v/>
      </c>
      <c r="Q123" s="923" t="str">
        <f>IFERROR(VLOOKUP($A123,보수일람표!$A:$M,6,FALSE),"")</f>
        <v/>
      </c>
      <c r="R123" s="236" t="str">
        <f>IFERROR(VLOOKUP($A123,보수일람표!$A:$M,7,FALSE),"")</f>
        <v>직접</v>
      </c>
      <c r="S123" s="236"/>
      <c r="T123" s="237">
        <f>IFERROR(VLOOKUP($A123,보수일람표!$A:$M,9,FALSE),"")</f>
        <v>0</v>
      </c>
      <c r="U123" s="237">
        <f>IFERROR(VLOOKUP($A123,보수일람표!$A:$M,10,FALSE),"")</f>
        <v>0</v>
      </c>
      <c r="V123" s="237">
        <f>IFERROR(VLOOKUP($A123,보수일람표!$A:$M,11,FALSE),"")</f>
        <v>0</v>
      </c>
      <c r="W123" s="237">
        <f>IFERROR(VLOOKUP($A123,보수일람표!$A:$M,12,FALSE),"")</f>
        <v>0</v>
      </c>
      <c r="X123" s="237">
        <f>IFERROR(VLOOKUP($A123,보수일람표!$A:$M,13,FALSE),"")</f>
        <v>0</v>
      </c>
    </row>
    <row r="124" spans="1:24">
      <c r="A124" s="225">
        <v>122</v>
      </c>
      <c r="B124" s="233" t="str">
        <f>IFERROR(IF(F124="06",데이터입력!$AB$8,IF(F124="07",데이터입력!$AD$8,IF(F124="05",데이터입력!$AF$8,데이터입력!$AB$8))),데이터입력!$AB$8)</f>
        <v>00</v>
      </c>
      <c r="C124" s="684" t="str">
        <f>데이터입력!$AC$9</f>
        <v>일반사업[일반]</v>
      </c>
      <c r="D124" s="238" t="str">
        <f>IFERROR(VLOOKUP($A124,데이터입력!$A:$H,4,FALSE),"")</f>
        <v/>
      </c>
      <c r="E124" s="238" t="str">
        <f>IFERROR(VLOOKUP($A124,데이터입력!$A:$H,2,FALSE),"")</f>
        <v/>
      </c>
      <c r="F124" s="238" t="str">
        <f>IFERROR(VLOOKUP($A124,데이터입력!$A:$H,5,FALSE),"")</f>
        <v/>
      </c>
      <c r="G124" s="238" t="str">
        <f>IFERROR(VLOOKUP($A124,데이터입력!$A:$H,6,FALSE),"")</f>
        <v/>
      </c>
      <c r="H124" s="239" t="str">
        <f>IFERROR(VLOOKUP($A124,데이터입력!$A:$L,8,FALSE)+VLOOKUP($A124,데이터입력!$A:$L,9,FALSE)+VLOOKUP($A124,데이터입력!$A:$L,10,FALSE),"")</f>
        <v/>
      </c>
      <c r="I124" s="234" t="s">
        <v>136</v>
      </c>
      <c r="J124" s="234" t="s">
        <v>136</v>
      </c>
      <c r="K124" s="234" t="s">
        <v>136</v>
      </c>
      <c r="M124" s="235" t="str">
        <f>데이터입력!$AB$8</f>
        <v>00</v>
      </c>
      <c r="N124" s="238" t="str">
        <f>데이터입력!$AC$9</f>
        <v>일반사업[일반]</v>
      </c>
      <c r="O124" s="236" t="str">
        <f>IFERROR(VLOOKUP($A124,보수일람표!$A:$M,4,FALSE),"")</f>
        <v/>
      </c>
      <c r="P124" s="236" t="str">
        <f>IFERROR(VLOOKUP($A124,보수일람표!$A:$M,5,FALSE),"")</f>
        <v/>
      </c>
      <c r="Q124" s="923" t="str">
        <f>IFERROR(VLOOKUP($A124,보수일람표!$A:$M,6,FALSE),"")</f>
        <v/>
      </c>
      <c r="R124" s="236" t="str">
        <f>IFERROR(VLOOKUP($A124,보수일람표!$A:$M,7,FALSE),"")</f>
        <v>직접</v>
      </c>
      <c r="S124" s="236"/>
      <c r="T124" s="237">
        <f>IFERROR(VLOOKUP($A124,보수일람표!$A:$M,9,FALSE),"")</f>
        <v>0</v>
      </c>
      <c r="U124" s="237">
        <f>IFERROR(VLOOKUP($A124,보수일람표!$A:$M,10,FALSE),"")</f>
        <v>0</v>
      </c>
      <c r="V124" s="237">
        <f>IFERROR(VLOOKUP($A124,보수일람표!$A:$M,11,FALSE),"")</f>
        <v>0</v>
      </c>
      <c r="W124" s="237">
        <f>IFERROR(VLOOKUP($A124,보수일람표!$A:$M,12,FALSE),"")</f>
        <v>0</v>
      </c>
      <c r="X124" s="237">
        <f>IFERROR(VLOOKUP($A124,보수일람표!$A:$M,13,FALSE),"")</f>
        <v>0</v>
      </c>
    </row>
    <row r="125" spans="1:24">
      <c r="A125" s="225">
        <v>123</v>
      </c>
      <c r="B125" s="233" t="str">
        <f>IFERROR(IF(F125="06",데이터입력!$AB$8,IF(F125="07",데이터입력!$AD$8,IF(F125="05",데이터입력!$AF$8,데이터입력!$AB$8))),데이터입력!$AB$8)</f>
        <v>00</v>
      </c>
      <c r="C125" s="684" t="str">
        <f>데이터입력!$AC$9</f>
        <v>일반사업[일반]</v>
      </c>
      <c r="D125" s="238" t="str">
        <f>IFERROR(VLOOKUP($A125,데이터입력!$A:$H,4,FALSE),"")</f>
        <v/>
      </c>
      <c r="E125" s="238" t="str">
        <f>IFERROR(VLOOKUP($A125,데이터입력!$A:$H,2,FALSE),"")</f>
        <v/>
      </c>
      <c r="F125" s="238" t="str">
        <f>IFERROR(VLOOKUP($A125,데이터입력!$A:$H,5,FALSE),"")</f>
        <v/>
      </c>
      <c r="G125" s="238" t="str">
        <f>IFERROR(VLOOKUP($A125,데이터입력!$A:$H,6,FALSE),"")</f>
        <v/>
      </c>
      <c r="H125" s="239" t="str">
        <f>IFERROR(VLOOKUP($A125,데이터입력!$A:$L,8,FALSE)+VLOOKUP($A125,데이터입력!$A:$L,9,FALSE)+VLOOKUP($A125,데이터입력!$A:$L,10,FALSE),"")</f>
        <v/>
      </c>
      <c r="I125" s="234" t="s">
        <v>136</v>
      </c>
      <c r="J125" s="234" t="s">
        <v>136</v>
      </c>
      <c r="K125" s="234" t="s">
        <v>136</v>
      </c>
      <c r="M125" s="235" t="str">
        <f>데이터입력!$AB$8</f>
        <v>00</v>
      </c>
      <c r="N125" s="238" t="str">
        <f>데이터입력!$AC$9</f>
        <v>일반사업[일반]</v>
      </c>
      <c r="O125" s="236" t="str">
        <f>IFERROR(VLOOKUP($A125,보수일람표!$A:$M,4,FALSE),"")</f>
        <v/>
      </c>
      <c r="P125" s="236" t="str">
        <f>IFERROR(VLOOKUP($A125,보수일람표!$A:$M,5,FALSE),"")</f>
        <v/>
      </c>
      <c r="Q125" s="923" t="str">
        <f>IFERROR(VLOOKUP($A125,보수일람표!$A:$M,6,FALSE),"")</f>
        <v/>
      </c>
      <c r="R125" s="236" t="str">
        <f>IFERROR(VLOOKUP($A125,보수일람표!$A:$M,7,FALSE),"")</f>
        <v>직접</v>
      </c>
      <c r="S125" s="236"/>
      <c r="T125" s="237">
        <f>IFERROR(VLOOKUP($A125,보수일람표!$A:$M,9,FALSE),"")</f>
        <v>0</v>
      </c>
      <c r="U125" s="237">
        <f>IFERROR(VLOOKUP($A125,보수일람표!$A:$M,10,FALSE),"")</f>
        <v>0</v>
      </c>
      <c r="V125" s="237">
        <f>IFERROR(VLOOKUP($A125,보수일람표!$A:$M,11,FALSE),"")</f>
        <v>0</v>
      </c>
      <c r="W125" s="237">
        <f>IFERROR(VLOOKUP($A125,보수일람표!$A:$M,12,FALSE),"")</f>
        <v>0</v>
      </c>
      <c r="X125" s="237">
        <f>IFERROR(VLOOKUP($A125,보수일람표!$A:$M,13,FALSE),"")</f>
        <v>0</v>
      </c>
    </row>
    <row r="126" spans="1:24">
      <c r="A126" s="225">
        <v>124</v>
      </c>
      <c r="B126" s="233" t="str">
        <f>IFERROR(IF(F126="06",데이터입력!$AB$8,IF(F126="07",데이터입력!$AD$8,IF(F126="05",데이터입력!$AF$8,데이터입력!$AB$8))),데이터입력!$AB$8)</f>
        <v>00</v>
      </c>
      <c r="C126" s="684" t="str">
        <f>데이터입력!$AC$9</f>
        <v>일반사업[일반]</v>
      </c>
      <c r="D126" s="238" t="str">
        <f>IFERROR(VLOOKUP($A126,데이터입력!$A:$H,4,FALSE),"")</f>
        <v/>
      </c>
      <c r="E126" s="238" t="str">
        <f>IFERROR(VLOOKUP($A126,데이터입력!$A:$H,2,FALSE),"")</f>
        <v/>
      </c>
      <c r="F126" s="238" t="str">
        <f>IFERROR(VLOOKUP($A126,데이터입력!$A:$H,5,FALSE),"")</f>
        <v/>
      </c>
      <c r="G126" s="238" t="str">
        <f>IFERROR(VLOOKUP($A126,데이터입력!$A:$H,6,FALSE),"")</f>
        <v/>
      </c>
      <c r="H126" s="239" t="str">
        <f>IFERROR(VLOOKUP($A126,데이터입력!$A:$L,8,FALSE)+VLOOKUP($A126,데이터입력!$A:$L,9,FALSE)+VLOOKUP($A126,데이터입력!$A:$L,10,FALSE),"")</f>
        <v/>
      </c>
      <c r="I126" s="234" t="s">
        <v>136</v>
      </c>
      <c r="J126" s="234" t="s">
        <v>136</v>
      </c>
      <c r="K126" s="234" t="s">
        <v>136</v>
      </c>
      <c r="M126" s="235" t="str">
        <f>데이터입력!$AB$8</f>
        <v>00</v>
      </c>
      <c r="N126" s="238" t="str">
        <f>데이터입력!$AC$9</f>
        <v>일반사업[일반]</v>
      </c>
      <c r="O126" s="236" t="str">
        <f>IFERROR(VLOOKUP($A126,보수일람표!$A:$M,4,FALSE),"")</f>
        <v/>
      </c>
      <c r="P126" s="236" t="str">
        <f>IFERROR(VLOOKUP($A126,보수일람표!$A:$M,5,FALSE),"")</f>
        <v/>
      </c>
      <c r="Q126" s="923" t="str">
        <f>IFERROR(VLOOKUP($A126,보수일람표!$A:$M,6,FALSE),"")</f>
        <v/>
      </c>
      <c r="R126" s="236" t="str">
        <f>IFERROR(VLOOKUP($A126,보수일람표!$A:$M,7,FALSE),"")</f>
        <v>직접</v>
      </c>
      <c r="S126" s="236"/>
      <c r="T126" s="237">
        <f>IFERROR(VLOOKUP($A126,보수일람표!$A:$M,9,FALSE),"")</f>
        <v>0</v>
      </c>
      <c r="U126" s="237">
        <f>IFERROR(VLOOKUP($A126,보수일람표!$A:$M,10,FALSE),"")</f>
        <v>0</v>
      </c>
      <c r="V126" s="237">
        <f>IFERROR(VLOOKUP($A126,보수일람표!$A:$M,11,FALSE),"")</f>
        <v>0</v>
      </c>
      <c r="W126" s="237">
        <f>IFERROR(VLOOKUP($A126,보수일람표!$A:$M,12,FALSE),"")</f>
        <v>0</v>
      </c>
      <c r="X126" s="237">
        <f>IFERROR(VLOOKUP($A126,보수일람표!$A:$M,13,FALSE),"")</f>
        <v>0</v>
      </c>
    </row>
    <row r="127" spans="1:24">
      <c r="A127" s="225">
        <v>125</v>
      </c>
      <c r="B127" s="233" t="str">
        <f>IFERROR(IF(F127="06",데이터입력!$AB$8,IF(F127="07",데이터입력!$AD$8,IF(F127="05",데이터입력!$AF$8,데이터입력!$AB$8))),데이터입력!$AB$8)</f>
        <v>00</v>
      </c>
      <c r="C127" s="684" t="str">
        <f>데이터입력!$AC$9</f>
        <v>일반사업[일반]</v>
      </c>
      <c r="D127" s="238" t="str">
        <f>IFERROR(VLOOKUP($A127,데이터입력!$A:$H,4,FALSE),"")</f>
        <v/>
      </c>
      <c r="E127" s="238" t="str">
        <f>IFERROR(VLOOKUP($A127,데이터입력!$A:$H,2,FALSE),"")</f>
        <v/>
      </c>
      <c r="F127" s="238" t="str">
        <f>IFERROR(VLOOKUP($A127,데이터입력!$A:$H,5,FALSE),"")</f>
        <v/>
      </c>
      <c r="G127" s="238" t="str">
        <f>IFERROR(VLOOKUP($A127,데이터입력!$A:$H,6,FALSE),"")</f>
        <v/>
      </c>
      <c r="H127" s="239" t="str">
        <f>IFERROR(VLOOKUP($A127,데이터입력!$A:$L,8,FALSE)+VLOOKUP($A127,데이터입력!$A:$L,9,FALSE)+VLOOKUP($A127,데이터입력!$A:$L,10,FALSE),"")</f>
        <v/>
      </c>
      <c r="I127" s="234" t="s">
        <v>136</v>
      </c>
      <c r="J127" s="234" t="s">
        <v>136</v>
      </c>
      <c r="K127" s="234" t="s">
        <v>136</v>
      </c>
      <c r="M127" s="235" t="str">
        <f>데이터입력!$AB$8</f>
        <v>00</v>
      </c>
      <c r="N127" s="238" t="str">
        <f>데이터입력!$AC$9</f>
        <v>일반사업[일반]</v>
      </c>
      <c r="O127" s="236" t="str">
        <f>IFERROR(VLOOKUP($A127,보수일람표!$A:$M,4,FALSE),"")</f>
        <v/>
      </c>
      <c r="P127" s="236" t="str">
        <f>IFERROR(VLOOKUP($A127,보수일람표!$A:$M,5,FALSE),"")</f>
        <v/>
      </c>
      <c r="Q127" s="923" t="str">
        <f>IFERROR(VLOOKUP($A127,보수일람표!$A:$M,6,FALSE),"")</f>
        <v/>
      </c>
      <c r="R127" s="236" t="str">
        <f>IFERROR(VLOOKUP($A127,보수일람표!$A:$M,7,FALSE),"")</f>
        <v>직접</v>
      </c>
      <c r="S127" s="236"/>
      <c r="T127" s="237">
        <f>IFERROR(VLOOKUP($A127,보수일람표!$A:$M,9,FALSE),"")</f>
        <v>0</v>
      </c>
      <c r="U127" s="237">
        <f>IFERROR(VLOOKUP($A127,보수일람표!$A:$M,10,FALSE),"")</f>
        <v>0</v>
      </c>
      <c r="V127" s="237">
        <f>IFERROR(VLOOKUP($A127,보수일람표!$A:$M,11,FALSE),"")</f>
        <v>0</v>
      </c>
      <c r="W127" s="237">
        <f>IFERROR(VLOOKUP($A127,보수일람표!$A:$M,12,FALSE),"")</f>
        <v>0</v>
      </c>
      <c r="X127" s="237">
        <f>IFERROR(VLOOKUP($A127,보수일람표!$A:$M,13,FALSE),"")</f>
        <v>0</v>
      </c>
    </row>
    <row r="128" spans="1:24">
      <c r="A128" s="225">
        <v>126</v>
      </c>
      <c r="B128" s="233" t="str">
        <f>IFERROR(IF(F128="06",데이터입력!$AB$8,IF(F128="07",데이터입력!$AD$8,IF(F128="05",데이터입력!$AF$8,데이터입력!$AB$8))),데이터입력!$AB$8)</f>
        <v>00</v>
      </c>
      <c r="C128" s="684" t="str">
        <f>데이터입력!$AC$9</f>
        <v>일반사업[일반]</v>
      </c>
      <c r="D128" s="238" t="str">
        <f>IFERROR(VLOOKUP($A128,데이터입력!$A:$H,4,FALSE),"")</f>
        <v/>
      </c>
      <c r="E128" s="238" t="str">
        <f>IFERROR(VLOOKUP($A128,데이터입력!$A:$H,2,FALSE),"")</f>
        <v/>
      </c>
      <c r="F128" s="238" t="str">
        <f>IFERROR(VLOOKUP($A128,데이터입력!$A:$H,5,FALSE),"")</f>
        <v/>
      </c>
      <c r="G128" s="238" t="str">
        <f>IFERROR(VLOOKUP($A128,데이터입력!$A:$H,6,FALSE),"")</f>
        <v/>
      </c>
      <c r="H128" s="239" t="str">
        <f>IFERROR(VLOOKUP($A128,데이터입력!$A:$L,8,FALSE)+VLOOKUP($A128,데이터입력!$A:$L,9,FALSE)+VLOOKUP($A128,데이터입력!$A:$L,10,FALSE),"")</f>
        <v/>
      </c>
      <c r="I128" s="234" t="s">
        <v>136</v>
      </c>
      <c r="J128" s="234" t="s">
        <v>136</v>
      </c>
      <c r="K128" s="234" t="s">
        <v>136</v>
      </c>
      <c r="M128" s="235" t="str">
        <f>데이터입력!$AB$8</f>
        <v>00</v>
      </c>
      <c r="N128" s="238" t="str">
        <f>데이터입력!$AC$9</f>
        <v>일반사업[일반]</v>
      </c>
      <c r="O128" s="236" t="str">
        <f>IFERROR(VLOOKUP($A128,보수일람표!$A:$M,4,FALSE),"")</f>
        <v/>
      </c>
      <c r="P128" s="236" t="str">
        <f>IFERROR(VLOOKUP($A128,보수일람표!$A:$M,5,FALSE),"")</f>
        <v/>
      </c>
      <c r="Q128" s="923" t="str">
        <f>IFERROR(VLOOKUP($A128,보수일람표!$A:$M,6,FALSE),"")</f>
        <v/>
      </c>
      <c r="R128" s="236" t="str">
        <f>IFERROR(VLOOKUP($A128,보수일람표!$A:$M,7,FALSE),"")</f>
        <v>직접</v>
      </c>
      <c r="S128" s="236"/>
      <c r="T128" s="237">
        <f>IFERROR(VLOOKUP($A128,보수일람표!$A:$M,9,FALSE),"")</f>
        <v>0</v>
      </c>
      <c r="U128" s="237">
        <f>IFERROR(VLOOKUP($A128,보수일람표!$A:$M,10,FALSE),"")</f>
        <v>0</v>
      </c>
      <c r="V128" s="237">
        <f>IFERROR(VLOOKUP($A128,보수일람표!$A:$M,11,FALSE),"")</f>
        <v>0</v>
      </c>
      <c r="W128" s="237">
        <f>IFERROR(VLOOKUP($A128,보수일람표!$A:$M,12,FALSE),"")</f>
        <v>0</v>
      </c>
      <c r="X128" s="237">
        <f>IFERROR(VLOOKUP($A128,보수일람표!$A:$M,13,FALSE),"")</f>
        <v>0</v>
      </c>
    </row>
    <row r="129" spans="1:24">
      <c r="A129" s="225">
        <v>127</v>
      </c>
      <c r="B129" s="233" t="str">
        <f>IFERROR(IF(F129="06",데이터입력!$AB$8,IF(F129="07",데이터입력!$AD$8,IF(F129="05",데이터입력!$AF$8,데이터입력!$AB$8))),데이터입력!$AB$8)</f>
        <v>00</v>
      </c>
      <c r="C129" s="684" t="str">
        <f>데이터입력!$AC$9</f>
        <v>일반사업[일반]</v>
      </c>
      <c r="D129" s="238" t="str">
        <f>IFERROR(VLOOKUP($A129,데이터입력!$A:$H,4,FALSE),"")</f>
        <v/>
      </c>
      <c r="E129" s="238" t="str">
        <f>IFERROR(VLOOKUP($A129,데이터입력!$A:$H,2,FALSE),"")</f>
        <v/>
      </c>
      <c r="F129" s="238" t="str">
        <f>IFERROR(VLOOKUP($A129,데이터입력!$A:$H,5,FALSE),"")</f>
        <v/>
      </c>
      <c r="G129" s="238" t="str">
        <f>IFERROR(VLOOKUP($A129,데이터입력!$A:$H,6,FALSE),"")</f>
        <v/>
      </c>
      <c r="H129" s="239" t="str">
        <f>IFERROR(VLOOKUP($A129,데이터입력!$A:$L,8,FALSE)+VLOOKUP($A129,데이터입력!$A:$L,9,FALSE)+VLOOKUP($A129,데이터입력!$A:$L,10,FALSE),"")</f>
        <v/>
      </c>
      <c r="I129" s="234" t="s">
        <v>136</v>
      </c>
      <c r="J129" s="234" t="s">
        <v>136</v>
      </c>
      <c r="K129" s="234" t="s">
        <v>136</v>
      </c>
      <c r="M129" s="235" t="str">
        <f>데이터입력!$AB$8</f>
        <v>00</v>
      </c>
      <c r="N129" s="238" t="str">
        <f>데이터입력!$AC$9</f>
        <v>일반사업[일반]</v>
      </c>
      <c r="O129" s="236" t="str">
        <f>IFERROR(VLOOKUP($A129,보수일람표!$A:$M,4,FALSE),"")</f>
        <v/>
      </c>
      <c r="P129" s="236" t="str">
        <f>IFERROR(VLOOKUP($A129,보수일람표!$A:$M,5,FALSE),"")</f>
        <v/>
      </c>
      <c r="Q129" s="923" t="str">
        <f>IFERROR(VLOOKUP($A129,보수일람표!$A:$M,6,FALSE),"")</f>
        <v/>
      </c>
      <c r="R129" s="236" t="str">
        <f>IFERROR(VLOOKUP($A129,보수일람표!$A:$M,7,FALSE),"")</f>
        <v>직접</v>
      </c>
      <c r="S129" s="236"/>
      <c r="T129" s="237">
        <f>IFERROR(VLOOKUP($A129,보수일람표!$A:$M,9,FALSE),"")</f>
        <v>0</v>
      </c>
      <c r="U129" s="237">
        <f>IFERROR(VLOOKUP($A129,보수일람표!$A:$M,10,FALSE),"")</f>
        <v>0</v>
      </c>
      <c r="V129" s="237">
        <f>IFERROR(VLOOKUP($A129,보수일람표!$A:$M,11,FALSE),"")</f>
        <v>0</v>
      </c>
      <c r="W129" s="237">
        <f>IFERROR(VLOOKUP($A129,보수일람표!$A:$M,12,FALSE),"")</f>
        <v>0</v>
      </c>
      <c r="X129" s="237">
        <f>IFERROR(VLOOKUP($A129,보수일람표!$A:$M,13,FALSE),"")</f>
        <v>0</v>
      </c>
    </row>
    <row r="130" spans="1:24">
      <c r="A130" s="225">
        <v>128</v>
      </c>
      <c r="B130" s="233" t="str">
        <f>IFERROR(IF(F130="06",데이터입력!$AB$8,IF(F130="07",데이터입력!$AD$8,IF(F130="05",데이터입력!$AF$8,데이터입력!$AB$8))),데이터입력!$AB$8)</f>
        <v>00</v>
      </c>
      <c r="C130" s="684" t="str">
        <f>데이터입력!$AC$9</f>
        <v>일반사업[일반]</v>
      </c>
      <c r="D130" s="238" t="str">
        <f>IFERROR(VLOOKUP($A130,데이터입력!$A:$H,4,FALSE),"")</f>
        <v/>
      </c>
      <c r="E130" s="238" t="str">
        <f>IFERROR(VLOOKUP($A130,데이터입력!$A:$H,2,FALSE),"")</f>
        <v/>
      </c>
      <c r="F130" s="238" t="str">
        <f>IFERROR(VLOOKUP($A130,데이터입력!$A:$H,5,FALSE),"")</f>
        <v/>
      </c>
      <c r="G130" s="238" t="str">
        <f>IFERROR(VLOOKUP($A130,데이터입력!$A:$H,6,FALSE),"")</f>
        <v/>
      </c>
      <c r="H130" s="239" t="str">
        <f>IFERROR(VLOOKUP($A130,데이터입력!$A:$L,8,FALSE)+VLOOKUP($A130,데이터입력!$A:$L,9,FALSE)+VLOOKUP($A130,데이터입력!$A:$L,10,FALSE),"")</f>
        <v/>
      </c>
      <c r="I130" s="234" t="s">
        <v>136</v>
      </c>
      <c r="J130" s="234" t="s">
        <v>136</v>
      </c>
      <c r="K130" s="234" t="s">
        <v>136</v>
      </c>
      <c r="M130" s="235" t="str">
        <f>데이터입력!$AB$8</f>
        <v>00</v>
      </c>
      <c r="N130" s="238" t="str">
        <f>데이터입력!$AC$9</f>
        <v>일반사업[일반]</v>
      </c>
      <c r="O130" s="236" t="str">
        <f>IFERROR(VLOOKUP($A130,보수일람표!$A:$M,4,FALSE),"")</f>
        <v/>
      </c>
      <c r="P130" s="236" t="str">
        <f>IFERROR(VLOOKUP($A130,보수일람표!$A:$M,5,FALSE),"")</f>
        <v/>
      </c>
      <c r="Q130" s="923" t="str">
        <f>IFERROR(VLOOKUP($A130,보수일람표!$A:$M,6,FALSE),"")</f>
        <v/>
      </c>
      <c r="R130" s="236" t="str">
        <f>IFERROR(VLOOKUP($A130,보수일람표!$A:$M,7,FALSE),"")</f>
        <v>직접</v>
      </c>
      <c r="S130" s="236"/>
      <c r="T130" s="237">
        <f>IFERROR(VLOOKUP($A130,보수일람표!$A:$M,9,FALSE),"")</f>
        <v>0</v>
      </c>
      <c r="U130" s="237">
        <f>IFERROR(VLOOKUP($A130,보수일람표!$A:$M,10,FALSE),"")</f>
        <v>0</v>
      </c>
      <c r="V130" s="237">
        <f>IFERROR(VLOOKUP($A130,보수일람표!$A:$M,11,FALSE),"")</f>
        <v>0</v>
      </c>
      <c r="W130" s="237">
        <f>IFERROR(VLOOKUP($A130,보수일람표!$A:$M,12,FALSE),"")</f>
        <v>0</v>
      </c>
      <c r="X130" s="237">
        <f>IFERROR(VLOOKUP($A130,보수일람표!$A:$M,13,FALSE),"")</f>
        <v>0</v>
      </c>
    </row>
    <row r="131" spans="1:24">
      <c r="A131" s="225">
        <v>129</v>
      </c>
      <c r="B131" s="233" t="str">
        <f>IFERROR(IF(F131="06",데이터입력!$AB$8,IF(F131="07",데이터입력!$AD$8,IF(F131="05",데이터입력!$AF$8,데이터입력!$AB$8))),데이터입력!$AB$8)</f>
        <v>00</v>
      </c>
      <c r="C131" s="684" t="str">
        <f>데이터입력!$AC$9</f>
        <v>일반사업[일반]</v>
      </c>
      <c r="D131" s="238" t="str">
        <f>IFERROR(VLOOKUP($A131,데이터입력!$A:$H,4,FALSE),"")</f>
        <v/>
      </c>
      <c r="E131" s="238" t="str">
        <f>IFERROR(VLOOKUP($A131,데이터입력!$A:$H,2,FALSE),"")</f>
        <v/>
      </c>
      <c r="F131" s="238" t="str">
        <f>IFERROR(VLOOKUP($A131,데이터입력!$A:$H,5,FALSE),"")</f>
        <v/>
      </c>
      <c r="G131" s="238" t="str">
        <f>IFERROR(VLOOKUP($A131,데이터입력!$A:$H,6,FALSE),"")</f>
        <v/>
      </c>
      <c r="H131" s="239" t="str">
        <f>IFERROR(VLOOKUP($A131,데이터입력!$A:$L,8,FALSE)+VLOOKUP($A131,데이터입력!$A:$L,9,FALSE)+VLOOKUP($A131,데이터입력!$A:$L,10,FALSE),"")</f>
        <v/>
      </c>
      <c r="I131" s="234" t="s">
        <v>136</v>
      </c>
      <c r="J131" s="234" t="s">
        <v>136</v>
      </c>
      <c r="K131" s="234" t="s">
        <v>136</v>
      </c>
      <c r="M131" s="235" t="str">
        <f>데이터입력!$AB$8</f>
        <v>00</v>
      </c>
      <c r="N131" s="238" t="str">
        <f>데이터입력!$AC$9</f>
        <v>일반사업[일반]</v>
      </c>
      <c r="O131" s="236" t="str">
        <f>IFERROR(VLOOKUP($A131,보수일람표!$A:$M,4,FALSE),"")</f>
        <v/>
      </c>
      <c r="P131" s="236" t="str">
        <f>IFERROR(VLOOKUP($A131,보수일람표!$A:$M,5,FALSE),"")</f>
        <v/>
      </c>
      <c r="Q131" s="923" t="str">
        <f>IFERROR(VLOOKUP($A131,보수일람표!$A:$M,6,FALSE),"")</f>
        <v/>
      </c>
      <c r="R131" s="236" t="str">
        <f>IFERROR(VLOOKUP($A131,보수일람표!$A:$M,7,FALSE),"")</f>
        <v>직접</v>
      </c>
      <c r="S131" s="236"/>
      <c r="T131" s="237">
        <f>IFERROR(VLOOKUP($A131,보수일람표!$A:$M,9,FALSE),"")</f>
        <v>0</v>
      </c>
      <c r="U131" s="237">
        <f>IFERROR(VLOOKUP($A131,보수일람표!$A:$M,10,FALSE),"")</f>
        <v>0</v>
      </c>
      <c r="V131" s="237">
        <f>IFERROR(VLOOKUP($A131,보수일람표!$A:$M,11,FALSE),"")</f>
        <v>0</v>
      </c>
      <c r="W131" s="237">
        <f>IFERROR(VLOOKUP($A131,보수일람표!$A:$M,12,FALSE),"")</f>
        <v>0</v>
      </c>
      <c r="X131" s="237">
        <f>IFERROR(VLOOKUP($A131,보수일람표!$A:$M,13,FALSE),"")</f>
        <v>0</v>
      </c>
    </row>
    <row r="132" spans="1:24">
      <c r="A132" s="225">
        <v>130</v>
      </c>
      <c r="B132" s="233" t="str">
        <f>IFERROR(IF(F132="06",데이터입력!$AB$8,IF(F132="07",데이터입력!$AD$8,IF(F132="05",데이터입력!$AF$8,데이터입력!$AB$8))),데이터입력!$AB$8)</f>
        <v>00</v>
      </c>
      <c r="C132" s="684" t="str">
        <f>데이터입력!$AC$9</f>
        <v>일반사업[일반]</v>
      </c>
      <c r="D132" s="238" t="str">
        <f>IFERROR(VLOOKUP($A132,데이터입력!$A:$H,4,FALSE),"")</f>
        <v/>
      </c>
      <c r="E132" s="238" t="str">
        <f>IFERROR(VLOOKUP($A132,데이터입력!$A:$H,2,FALSE),"")</f>
        <v/>
      </c>
      <c r="F132" s="238" t="str">
        <f>IFERROR(VLOOKUP($A132,데이터입력!$A:$H,5,FALSE),"")</f>
        <v/>
      </c>
      <c r="G132" s="238" t="str">
        <f>IFERROR(VLOOKUP($A132,데이터입력!$A:$H,6,FALSE),"")</f>
        <v/>
      </c>
      <c r="H132" s="239" t="str">
        <f>IFERROR(VLOOKUP($A132,데이터입력!$A:$L,8,FALSE)+VLOOKUP($A132,데이터입력!$A:$L,9,FALSE)+VLOOKUP($A132,데이터입력!$A:$L,10,FALSE),"")</f>
        <v/>
      </c>
      <c r="I132" s="234" t="s">
        <v>136</v>
      </c>
      <c r="J132" s="234" t="s">
        <v>136</v>
      </c>
      <c r="K132" s="234" t="s">
        <v>136</v>
      </c>
      <c r="M132" s="235" t="str">
        <f>데이터입력!$AB$8</f>
        <v>00</v>
      </c>
      <c r="N132" s="238" t="str">
        <f>데이터입력!$AC$9</f>
        <v>일반사업[일반]</v>
      </c>
      <c r="O132" s="236" t="str">
        <f>IFERROR(VLOOKUP($A132,보수일람표!$A:$M,4,FALSE),"")</f>
        <v/>
      </c>
      <c r="P132" s="236" t="str">
        <f>IFERROR(VLOOKUP($A132,보수일람표!$A:$M,5,FALSE),"")</f>
        <v/>
      </c>
      <c r="Q132" s="923" t="str">
        <f>IFERROR(VLOOKUP($A132,보수일람표!$A:$M,6,FALSE),"")</f>
        <v/>
      </c>
      <c r="R132" s="236" t="str">
        <f>IFERROR(VLOOKUP($A132,보수일람표!$A:$M,7,FALSE),"")</f>
        <v>직접</v>
      </c>
      <c r="S132" s="236"/>
      <c r="T132" s="237">
        <f>IFERROR(VLOOKUP($A132,보수일람표!$A:$M,9,FALSE),"")</f>
        <v>0</v>
      </c>
      <c r="U132" s="237">
        <f>IFERROR(VLOOKUP($A132,보수일람표!$A:$M,10,FALSE),"")</f>
        <v>0</v>
      </c>
      <c r="V132" s="237">
        <f>IFERROR(VLOOKUP($A132,보수일람표!$A:$M,11,FALSE),"")</f>
        <v>0</v>
      </c>
      <c r="W132" s="237">
        <f>IFERROR(VLOOKUP($A132,보수일람표!$A:$M,12,FALSE),"")</f>
        <v>0</v>
      </c>
      <c r="X132" s="237">
        <f>IFERROR(VLOOKUP($A132,보수일람표!$A:$M,13,FALSE),"")</f>
        <v>0</v>
      </c>
    </row>
    <row r="133" spans="1:24">
      <c r="A133" s="225">
        <v>131</v>
      </c>
      <c r="B133" s="233" t="str">
        <f>IFERROR(IF(F133="06",데이터입력!$AB$8,IF(F133="07",데이터입력!$AD$8,IF(F133="05",데이터입력!$AF$8,데이터입력!$AB$8))),데이터입력!$AB$8)</f>
        <v>00</v>
      </c>
      <c r="C133" s="684" t="str">
        <f>데이터입력!$AC$9</f>
        <v>일반사업[일반]</v>
      </c>
      <c r="D133" s="238" t="str">
        <f>IFERROR(VLOOKUP($A133,데이터입력!$A:$H,4,FALSE),"")</f>
        <v/>
      </c>
      <c r="E133" s="238" t="str">
        <f>IFERROR(VLOOKUP($A133,데이터입력!$A:$H,2,FALSE),"")</f>
        <v/>
      </c>
      <c r="F133" s="238" t="str">
        <f>IFERROR(VLOOKUP($A133,데이터입력!$A:$H,5,FALSE),"")</f>
        <v/>
      </c>
      <c r="G133" s="238" t="str">
        <f>IFERROR(VLOOKUP($A133,데이터입력!$A:$H,6,FALSE),"")</f>
        <v/>
      </c>
      <c r="H133" s="239" t="str">
        <f>IFERROR(VLOOKUP($A133,데이터입력!$A:$L,8,FALSE)+VLOOKUP($A133,데이터입력!$A:$L,9,FALSE)+VLOOKUP($A133,데이터입력!$A:$L,10,FALSE),"")</f>
        <v/>
      </c>
      <c r="I133" s="234" t="s">
        <v>136</v>
      </c>
      <c r="J133" s="234" t="s">
        <v>136</v>
      </c>
      <c r="K133" s="234" t="s">
        <v>136</v>
      </c>
      <c r="M133" s="235" t="str">
        <f>데이터입력!$AB$8</f>
        <v>00</v>
      </c>
      <c r="N133" s="238" t="str">
        <f>데이터입력!$AC$9</f>
        <v>일반사업[일반]</v>
      </c>
      <c r="O133" s="236" t="str">
        <f>IFERROR(VLOOKUP($A133,보수일람표!$A:$M,4,FALSE),"")</f>
        <v/>
      </c>
      <c r="P133" s="236" t="str">
        <f>IFERROR(VLOOKUP($A133,보수일람표!$A:$M,5,FALSE),"")</f>
        <v/>
      </c>
      <c r="Q133" s="923" t="str">
        <f>IFERROR(VLOOKUP($A133,보수일람표!$A:$M,6,FALSE),"")</f>
        <v/>
      </c>
      <c r="R133" s="236" t="str">
        <f>IFERROR(VLOOKUP($A133,보수일람표!$A:$M,7,FALSE),"")</f>
        <v>직접</v>
      </c>
      <c r="S133" s="236"/>
      <c r="T133" s="237">
        <f>IFERROR(VLOOKUP($A133,보수일람표!$A:$M,9,FALSE),"")</f>
        <v>0</v>
      </c>
      <c r="U133" s="237">
        <f>IFERROR(VLOOKUP($A133,보수일람표!$A:$M,10,FALSE),"")</f>
        <v>0</v>
      </c>
      <c r="V133" s="237">
        <f>IFERROR(VLOOKUP($A133,보수일람표!$A:$M,11,FALSE),"")</f>
        <v>0</v>
      </c>
      <c r="W133" s="237">
        <f>IFERROR(VLOOKUP($A133,보수일람표!$A:$M,12,FALSE),"")</f>
        <v>0</v>
      </c>
      <c r="X133" s="237">
        <f>IFERROR(VLOOKUP($A133,보수일람표!$A:$M,13,FALSE),"")</f>
        <v>0</v>
      </c>
    </row>
    <row r="134" spans="1:24">
      <c r="A134" s="225">
        <v>132</v>
      </c>
      <c r="B134" s="233" t="str">
        <f>IFERROR(IF(F134="06",데이터입력!$AB$8,IF(F134="07",데이터입력!$AD$8,IF(F134="05",데이터입력!$AF$8,데이터입력!$AB$8))),데이터입력!$AB$8)</f>
        <v>00</v>
      </c>
      <c r="C134" s="684" t="str">
        <f>데이터입력!$AC$9</f>
        <v>일반사업[일반]</v>
      </c>
      <c r="D134" s="238" t="str">
        <f>IFERROR(VLOOKUP($A134,데이터입력!$A:$H,4,FALSE),"")</f>
        <v/>
      </c>
      <c r="E134" s="238" t="str">
        <f>IFERROR(VLOOKUP($A134,데이터입력!$A:$H,2,FALSE),"")</f>
        <v/>
      </c>
      <c r="F134" s="238" t="str">
        <f>IFERROR(VLOOKUP($A134,데이터입력!$A:$H,5,FALSE),"")</f>
        <v/>
      </c>
      <c r="G134" s="238" t="str">
        <f>IFERROR(VLOOKUP($A134,데이터입력!$A:$H,6,FALSE),"")</f>
        <v/>
      </c>
      <c r="H134" s="239" t="str">
        <f>IFERROR(VLOOKUP($A134,데이터입력!$A:$L,8,FALSE)+VLOOKUP($A134,데이터입력!$A:$L,9,FALSE)+VLOOKUP($A134,데이터입력!$A:$L,10,FALSE),"")</f>
        <v/>
      </c>
      <c r="I134" s="234" t="s">
        <v>136</v>
      </c>
      <c r="J134" s="234" t="s">
        <v>136</v>
      </c>
      <c r="K134" s="234" t="s">
        <v>136</v>
      </c>
      <c r="M134" s="235" t="str">
        <f>데이터입력!$AB$8</f>
        <v>00</v>
      </c>
      <c r="N134" s="238" t="str">
        <f>데이터입력!$AC$9</f>
        <v>일반사업[일반]</v>
      </c>
      <c r="O134" s="236" t="str">
        <f>IFERROR(VLOOKUP($A134,보수일람표!$A:$M,4,FALSE),"")</f>
        <v/>
      </c>
      <c r="P134" s="236" t="str">
        <f>IFERROR(VLOOKUP($A134,보수일람표!$A:$M,5,FALSE),"")</f>
        <v/>
      </c>
      <c r="Q134" s="923" t="str">
        <f>IFERROR(VLOOKUP($A134,보수일람표!$A:$M,6,FALSE),"")</f>
        <v/>
      </c>
      <c r="R134" s="236" t="str">
        <f>IFERROR(VLOOKUP($A134,보수일람표!$A:$M,7,FALSE),"")</f>
        <v>직접</v>
      </c>
      <c r="S134" s="236"/>
      <c r="T134" s="237">
        <f>IFERROR(VLOOKUP($A134,보수일람표!$A:$M,9,FALSE),"")</f>
        <v>0</v>
      </c>
      <c r="U134" s="237">
        <f>IFERROR(VLOOKUP($A134,보수일람표!$A:$M,10,FALSE),"")</f>
        <v>0</v>
      </c>
      <c r="V134" s="237">
        <f>IFERROR(VLOOKUP($A134,보수일람표!$A:$M,11,FALSE),"")</f>
        <v>0</v>
      </c>
      <c r="W134" s="237">
        <f>IFERROR(VLOOKUP($A134,보수일람표!$A:$M,12,FALSE),"")</f>
        <v>0</v>
      </c>
      <c r="X134" s="237">
        <f>IFERROR(VLOOKUP($A134,보수일람표!$A:$M,13,FALSE),"")</f>
        <v>0</v>
      </c>
    </row>
    <row r="135" spans="1:24">
      <c r="A135" s="225">
        <v>133</v>
      </c>
      <c r="B135" s="233" t="str">
        <f>IFERROR(IF(F135="06",데이터입력!$AB$8,IF(F135="07",데이터입력!$AD$8,IF(F135="05",데이터입력!$AF$8,데이터입력!$AB$8))),데이터입력!$AB$8)</f>
        <v>00</v>
      </c>
      <c r="C135" s="684" t="str">
        <f>데이터입력!$AC$9</f>
        <v>일반사업[일반]</v>
      </c>
      <c r="D135" s="238" t="str">
        <f>IFERROR(VLOOKUP($A135,데이터입력!$A:$H,4,FALSE),"")</f>
        <v/>
      </c>
      <c r="E135" s="238" t="str">
        <f>IFERROR(VLOOKUP($A135,데이터입력!$A:$H,2,FALSE),"")</f>
        <v/>
      </c>
      <c r="F135" s="238" t="str">
        <f>IFERROR(VLOOKUP($A135,데이터입력!$A:$H,5,FALSE),"")</f>
        <v/>
      </c>
      <c r="G135" s="238" t="str">
        <f>IFERROR(VLOOKUP($A135,데이터입력!$A:$H,6,FALSE),"")</f>
        <v/>
      </c>
      <c r="H135" s="239" t="str">
        <f>IFERROR(VLOOKUP($A135,데이터입력!$A:$L,8,FALSE)+VLOOKUP($A135,데이터입력!$A:$L,9,FALSE)+VLOOKUP($A135,데이터입력!$A:$L,10,FALSE),"")</f>
        <v/>
      </c>
      <c r="I135" s="234" t="s">
        <v>136</v>
      </c>
      <c r="J135" s="234" t="s">
        <v>136</v>
      </c>
      <c r="K135" s="234" t="s">
        <v>136</v>
      </c>
      <c r="M135" s="235" t="str">
        <f>데이터입력!$AB$8</f>
        <v>00</v>
      </c>
      <c r="N135" s="238" t="str">
        <f>데이터입력!$AC$9</f>
        <v>일반사업[일반]</v>
      </c>
      <c r="O135" s="236" t="str">
        <f>IFERROR(VLOOKUP($A135,보수일람표!$A:$M,4,FALSE),"")</f>
        <v/>
      </c>
      <c r="P135" s="236" t="str">
        <f>IFERROR(VLOOKUP($A135,보수일람표!$A:$M,5,FALSE),"")</f>
        <v/>
      </c>
      <c r="Q135" s="923" t="str">
        <f>IFERROR(VLOOKUP($A135,보수일람표!$A:$M,6,FALSE),"")</f>
        <v/>
      </c>
      <c r="R135" s="236" t="str">
        <f>IFERROR(VLOOKUP($A135,보수일람표!$A:$M,7,FALSE),"")</f>
        <v>직접</v>
      </c>
      <c r="S135" s="236"/>
      <c r="T135" s="237">
        <f>IFERROR(VLOOKUP($A135,보수일람표!$A:$M,9,FALSE),"")</f>
        <v>0</v>
      </c>
      <c r="U135" s="237">
        <f>IFERROR(VLOOKUP($A135,보수일람표!$A:$M,10,FALSE),"")</f>
        <v>0</v>
      </c>
      <c r="V135" s="237">
        <f>IFERROR(VLOOKUP($A135,보수일람표!$A:$M,11,FALSE),"")</f>
        <v>0</v>
      </c>
      <c r="W135" s="237">
        <f>IFERROR(VLOOKUP($A135,보수일람표!$A:$M,12,FALSE),"")</f>
        <v>0</v>
      </c>
      <c r="X135" s="237">
        <f>IFERROR(VLOOKUP($A135,보수일람표!$A:$M,13,FALSE),"")</f>
        <v>0</v>
      </c>
    </row>
    <row r="136" spans="1:24">
      <c r="A136" s="225">
        <v>134</v>
      </c>
      <c r="B136" s="233" t="str">
        <f>IFERROR(IF(F136="06",데이터입력!$AB$8,IF(F136="07",데이터입력!$AD$8,IF(F136="05",데이터입력!$AF$8,데이터입력!$AB$8))),데이터입력!$AB$8)</f>
        <v>00</v>
      </c>
      <c r="C136" s="684" t="str">
        <f>데이터입력!$AC$9</f>
        <v>일반사업[일반]</v>
      </c>
      <c r="D136" s="238" t="str">
        <f>IFERROR(VLOOKUP($A136,데이터입력!$A:$H,4,FALSE),"")</f>
        <v/>
      </c>
      <c r="E136" s="238" t="str">
        <f>IFERROR(VLOOKUP($A136,데이터입력!$A:$H,2,FALSE),"")</f>
        <v/>
      </c>
      <c r="F136" s="238" t="str">
        <f>IFERROR(VLOOKUP($A136,데이터입력!$A:$H,5,FALSE),"")</f>
        <v/>
      </c>
      <c r="G136" s="238" t="str">
        <f>IFERROR(VLOOKUP($A136,데이터입력!$A:$H,6,FALSE),"")</f>
        <v/>
      </c>
      <c r="H136" s="239" t="str">
        <f>IFERROR(VLOOKUP($A136,데이터입력!$A:$L,8,FALSE)+VLOOKUP($A136,데이터입력!$A:$L,9,FALSE)+VLOOKUP($A136,데이터입력!$A:$L,10,FALSE),"")</f>
        <v/>
      </c>
      <c r="I136" s="234" t="s">
        <v>136</v>
      </c>
      <c r="J136" s="234" t="s">
        <v>136</v>
      </c>
      <c r="K136" s="234" t="s">
        <v>136</v>
      </c>
      <c r="M136" s="235" t="str">
        <f>데이터입력!$AB$8</f>
        <v>00</v>
      </c>
      <c r="N136" s="238" t="str">
        <f>데이터입력!$AC$9</f>
        <v>일반사업[일반]</v>
      </c>
      <c r="O136" s="236" t="str">
        <f>IFERROR(VLOOKUP($A136,보수일람표!$A:$M,4,FALSE),"")</f>
        <v/>
      </c>
      <c r="P136" s="236" t="str">
        <f>IFERROR(VLOOKUP($A136,보수일람표!$A:$M,5,FALSE),"")</f>
        <v/>
      </c>
      <c r="Q136" s="923" t="str">
        <f>IFERROR(VLOOKUP($A136,보수일람표!$A:$M,6,FALSE),"")</f>
        <v/>
      </c>
      <c r="R136" s="236" t="str">
        <f>IFERROR(VLOOKUP($A136,보수일람표!$A:$M,7,FALSE),"")</f>
        <v>직접</v>
      </c>
      <c r="S136" s="236"/>
      <c r="T136" s="237">
        <f>IFERROR(VLOOKUP($A136,보수일람표!$A:$M,9,FALSE),"")</f>
        <v>0</v>
      </c>
      <c r="U136" s="237">
        <f>IFERROR(VLOOKUP($A136,보수일람표!$A:$M,10,FALSE),"")</f>
        <v>0</v>
      </c>
      <c r="V136" s="237">
        <f>IFERROR(VLOOKUP($A136,보수일람표!$A:$M,11,FALSE),"")</f>
        <v>0</v>
      </c>
      <c r="W136" s="237">
        <f>IFERROR(VLOOKUP($A136,보수일람표!$A:$M,12,FALSE),"")</f>
        <v>0</v>
      </c>
      <c r="X136" s="237">
        <f>IFERROR(VLOOKUP($A136,보수일람표!$A:$M,13,FALSE),"")</f>
        <v>0</v>
      </c>
    </row>
    <row r="137" spans="1:24">
      <c r="A137" s="225">
        <v>135</v>
      </c>
      <c r="B137" s="233" t="str">
        <f>IFERROR(IF(F137="06",데이터입력!$AB$8,IF(F137="07",데이터입력!$AD$8,IF(F137="05",데이터입력!$AF$8,데이터입력!$AB$8))),데이터입력!$AB$8)</f>
        <v>00</v>
      </c>
      <c r="C137" s="684" t="str">
        <f>데이터입력!$AC$9</f>
        <v>일반사업[일반]</v>
      </c>
      <c r="D137" s="238" t="str">
        <f>IFERROR(VLOOKUP($A137,데이터입력!$A:$H,4,FALSE),"")</f>
        <v/>
      </c>
      <c r="E137" s="238" t="str">
        <f>IFERROR(VLOOKUP($A137,데이터입력!$A:$H,2,FALSE),"")</f>
        <v/>
      </c>
      <c r="F137" s="238" t="str">
        <f>IFERROR(VLOOKUP($A137,데이터입력!$A:$H,5,FALSE),"")</f>
        <v/>
      </c>
      <c r="G137" s="238" t="str">
        <f>IFERROR(VLOOKUP($A137,데이터입력!$A:$H,6,FALSE),"")</f>
        <v/>
      </c>
      <c r="H137" s="239" t="str">
        <f>IFERROR(VLOOKUP($A137,데이터입력!$A:$L,8,FALSE)+VLOOKUP($A137,데이터입력!$A:$L,9,FALSE)+VLOOKUP($A137,데이터입력!$A:$L,10,FALSE),"")</f>
        <v/>
      </c>
      <c r="I137" s="234" t="s">
        <v>136</v>
      </c>
      <c r="J137" s="234" t="s">
        <v>136</v>
      </c>
      <c r="K137" s="234" t="s">
        <v>136</v>
      </c>
      <c r="M137" s="235" t="str">
        <f>데이터입력!$AB$8</f>
        <v>00</v>
      </c>
      <c r="N137" s="238" t="str">
        <f>데이터입력!$AC$9</f>
        <v>일반사업[일반]</v>
      </c>
      <c r="O137" s="236" t="str">
        <f>IFERROR(VLOOKUP($A137,보수일람표!$A:$M,4,FALSE),"")</f>
        <v/>
      </c>
      <c r="P137" s="236" t="str">
        <f>IFERROR(VLOOKUP($A137,보수일람표!$A:$M,5,FALSE),"")</f>
        <v/>
      </c>
      <c r="Q137" s="923" t="str">
        <f>IFERROR(VLOOKUP($A137,보수일람표!$A:$M,6,FALSE),"")</f>
        <v/>
      </c>
      <c r="R137" s="236" t="str">
        <f>IFERROR(VLOOKUP($A137,보수일람표!$A:$M,7,FALSE),"")</f>
        <v>직접</v>
      </c>
      <c r="S137" s="236"/>
      <c r="T137" s="237">
        <f>IFERROR(VLOOKUP($A137,보수일람표!$A:$M,9,FALSE),"")</f>
        <v>0</v>
      </c>
      <c r="U137" s="237">
        <f>IFERROR(VLOOKUP($A137,보수일람표!$A:$M,10,FALSE),"")</f>
        <v>0</v>
      </c>
      <c r="V137" s="237">
        <f>IFERROR(VLOOKUP($A137,보수일람표!$A:$M,11,FALSE),"")</f>
        <v>0</v>
      </c>
      <c r="W137" s="237">
        <f>IFERROR(VLOOKUP($A137,보수일람표!$A:$M,12,FALSE),"")</f>
        <v>0</v>
      </c>
      <c r="X137" s="237">
        <f>IFERROR(VLOOKUP($A137,보수일람표!$A:$M,13,FALSE),"")</f>
        <v>0</v>
      </c>
    </row>
    <row r="138" spans="1:24">
      <c r="A138" s="225">
        <v>136</v>
      </c>
      <c r="B138" s="233" t="str">
        <f>IFERROR(IF(F138="06",데이터입력!$AB$8,IF(F138="07",데이터입력!$AD$8,IF(F138="05",데이터입력!$AF$8,데이터입력!$AB$8))),데이터입력!$AB$8)</f>
        <v>00</v>
      </c>
      <c r="C138" s="684" t="str">
        <f>데이터입력!$AC$9</f>
        <v>일반사업[일반]</v>
      </c>
      <c r="D138" s="238" t="str">
        <f>IFERROR(VLOOKUP($A138,데이터입력!$A:$H,4,FALSE),"")</f>
        <v/>
      </c>
      <c r="E138" s="238" t="str">
        <f>IFERROR(VLOOKUP($A138,데이터입력!$A:$H,2,FALSE),"")</f>
        <v/>
      </c>
      <c r="F138" s="238" t="str">
        <f>IFERROR(VLOOKUP($A138,데이터입력!$A:$H,5,FALSE),"")</f>
        <v/>
      </c>
      <c r="G138" s="238" t="str">
        <f>IFERROR(VLOOKUP($A138,데이터입력!$A:$H,6,FALSE),"")</f>
        <v/>
      </c>
      <c r="H138" s="239" t="str">
        <f>IFERROR(VLOOKUP($A138,데이터입력!$A:$L,8,FALSE)+VLOOKUP($A138,데이터입력!$A:$L,9,FALSE)+VLOOKUP($A138,데이터입력!$A:$L,10,FALSE),"")</f>
        <v/>
      </c>
      <c r="I138" s="234" t="s">
        <v>136</v>
      </c>
      <c r="J138" s="234" t="s">
        <v>136</v>
      </c>
      <c r="K138" s="234" t="s">
        <v>136</v>
      </c>
      <c r="M138" s="235" t="str">
        <f>데이터입력!$AB$8</f>
        <v>00</v>
      </c>
      <c r="N138" s="238" t="str">
        <f>데이터입력!$AC$9</f>
        <v>일반사업[일반]</v>
      </c>
      <c r="O138" s="236" t="str">
        <f>IFERROR(VLOOKUP($A138,보수일람표!$A:$M,4,FALSE),"")</f>
        <v/>
      </c>
      <c r="P138" s="236" t="str">
        <f>IFERROR(VLOOKUP($A138,보수일람표!$A:$M,5,FALSE),"")</f>
        <v/>
      </c>
      <c r="Q138" s="923" t="str">
        <f>IFERROR(VLOOKUP($A138,보수일람표!$A:$M,6,FALSE),"")</f>
        <v/>
      </c>
      <c r="R138" s="236" t="str">
        <f>IFERROR(VLOOKUP($A138,보수일람표!$A:$M,7,FALSE),"")</f>
        <v>직접</v>
      </c>
      <c r="S138" s="236"/>
      <c r="T138" s="237">
        <f>IFERROR(VLOOKUP($A138,보수일람표!$A:$M,9,FALSE),"")</f>
        <v>0</v>
      </c>
      <c r="U138" s="237">
        <f>IFERROR(VLOOKUP($A138,보수일람표!$A:$M,10,FALSE),"")</f>
        <v>0</v>
      </c>
      <c r="V138" s="237">
        <f>IFERROR(VLOOKUP($A138,보수일람표!$A:$M,11,FALSE),"")</f>
        <v>0</v>
      </c>
      <c r="W138" s="237">
        <f>IFERROR(VLOOKUP($A138,보수일람표!$A:$M,12,FALSE),"")</f>
        <v>0</v>
      </c>
      <c r="X138" s="237">
        <f>IFERROR(VLOOKUP($A138,보수일람표!$A:$M,13,FALSE),"")</f>
        <v>0</v>
      </c>
    </row>
    <row r="139" spans="1:24">
      <c r="A139" s="225">
        <v>137</v>
      </c>
      <c r="B139" s="233" t="str">
        <f>IFERROR(IF(F139="06",데이터입력!$AB$8,IF(F139="07",데이터입력!$AD$8,IF(F139="05",데이터입력!$AF$8,데이터입력!$AB$8))),데이터입력!$AB$8)</f>
        <v>00</v>
      </c>
      <c r="C139" s="684" t="str">
        <f>데이터입력!$AC$9</f>
        <v>일반사업[일반]</v>
      </c>
      <c r="D139" s="238" t="str">
        <f>IFERROR(VLOOKUP($A139,데이터입력!$A:$H,4,FALSE),"")</f>
        <v/>
      </c>
      <c r="E139" s="238" t="str">
        <f>IFERROR(VLOOKUP($A139,데이터입력!$A:$H,2,FALSE),"")</f>
        <v/>
      </c>
      <c r="F139" s="238" t="str">
        <f>IFERROR(VLOOKUP($A139,데이터입력!$A:$H,5,FALSE),"")</f>
        <v/>
      </c>
      <c r="G139" s="238" t="str">
        <f>IFERROR(VLOOKUP($A139,데이터입력!$A:$H,6,FALSE),"")</f>
        <v/>
      </c>
      <c r="H139" s="239" t="str">
        <f>IFERROR(VLOOKUP($A139,데이터입력!$A:$L,8,FALSE)+VLOOKUP($A139,데이터입력!$A:$L,9,FALSE)+VLOOKUP($A139,데이터입력!$A:$L,10,FALSE),"")</f>
        <v/>
      </c>
      <c r="I139" s="234" t="s">
        <v>136</v>
      </c>
      <c r="J139" s="234" t="s">
        <v>136</v>
      </c>
      <c r="K139" s="234" t="s">
        <v>136</v>
      </c>
      <c r="M139" s="235" t="str">
        <f>데이터입력!$AB$8</f>
        <v>00</v>
      </c>
      <c r="N139" s="238" t="str">
        <f>데이터입력!$AC$9</f>
        <v>일반사업[일반]</v>
      </c>
      <c r="O139" s="236" t="str">
        <f>IFERROR(VLOOKUP($A139,보수일람표!$A:$M,4,FALSE),"")</f>
        <v/>
      </c>
      <c r="P139" s="236" t="str">
        <f>IFERROR(VLOOKUP($A139,보수일람표!$A:$M,5,FALSE),"")</f>
        <v/>
      </c>
      <c r="Q139" s="923" t="str">
        <f>IFERROR(VLOOKUP($A139,보수일람표!$A:$M,6,FALSE),"")</f>
        <v/>
      </c>
      <c r="R139" s="236" t="str">
        <f>IFERROR(VLOOKUP($A139,보수일람표!$A:$M,7,FALSE),"")</f>
        <v>직접</v>
      </c>
      <c r="S139" s="236"/>
      <c r="T139" s="237">
        <f>IFERROR(VLOOKUP($A139,보수일람표!$A:$M,9,FALSE),"")</f>
        <v>0</v>
      </c>
      <c r="U139" s="237">
        <f>IFERROR(VLOOKUP($A139,보수일람표!$A:$M,10,FALSE),"")</f>
        <v>0</v>
      </c>
      <c r="V139" s="237">
        <f>IFERROR(VLOOKUP($A139,보수일람표!$A:$M,11,FALSE),"")</f>
        <v>0</v>
      </c>
      <c r="W139" s="237">
        <f>IFERROR(VLOOKUP($A139,보수일람표!$A:$M,12,FALSE),"")</f>
        <v>0</v>
      </c>
      <c r="X139" s="237">
        <f>IFERROR(VLOOKUP($A139,보수일람표!$A:$M,13,FALSE),"")</f>
        <v>0</v>
      </c>
    </row>
    <row r="140" spans="1:24">
      <c r="A140" s="225">
        <v>138</v>
      </c>
      <c r="B140" s="233" t="str">
        <f>IFERROR(IF(F140="06",데이터입력!$AB$8,IF(F140="07",데이터입력!$AD$8,IF(F140="05",데이터입력!$AF$8,데이터입력!$AB$8))),데이터입력!$AB$8)</f>
        <v>00</v>
      </c>
      <c r="C140" s="684" t="str">
        <f>데이터입력!$AC$9</f>
        <v>일반사업[일반]</v>
      </c>
      <c r="D140" s="238" t="str">
        <f>IFERROR(VLOOKUP($A140,데이터입력!$A:$H,4,FALSE),"")</f>
        <v/>
      </c>
      <c r="E140" s="238" t="str">
        <f>IFERROR(VLOOKUP($A140,데이터입력!$A:$H,2,FALSE),"")</f>
        <v/>
      </c>
      <c r="F140" s="238" t="str">
        <f>IFERROR(VLOOKUP($A140,데이터입력!$A:$H,5,FALSE),"")</f>
        <v/>
      </c>
      <c r="G140" s="238" t="str">
        <f>IFERROR(VLOOKUP($A140,데이터입력!$A:$H,6,FALSE),"")</f>
        <v/>
      </c>
      <c r="H140" s="239" t="str">
        <f>IFERROR(VLOOKUP($A140,데이터입력!$A:$L,8,FALSE)+VLOOKUP($A140,데이터입력!$A:$L,9,FALSE)+VLOOKUP($A140,데이터입력!$A:$L,10,FALSE),"")</f>
        <v/>
      </c>
      <c r="I140" s="234" t="s">
        <v>136</v>
      </c>
      <c r="J140" s="234" t="s">
        <v>136</v>
      </c>
      <c r="K140" s="234" t="s">
        <v>136</v>
      </c>
      <c r="M140" s="235" t="str">
        <f>데이터입력!$AB$8</f>
        <v>00</v>
      </c>
      <c r="N140" s="238" t="str">
        <f>데이터입력!$AC$9</f>
        <v>일반사업[일반]</v>
      </c>
      <c r="O140" s="236" t="str">
        <f>IFERROR(VLOOKUP($A140,보수일람표!$A:$M,4,FALSE),"")</f>
        <v/>
      </c>
      <c r="P140" s="236" t="str">
        <f>IFERROR(VLOOKUP($A140,보수일람표!$A:$M,5,FALSE),"")</f>
        <v/>
      </c>
      <c r="Q140" s="923" t="str">
        <f>IFERROR(VLOOKUP($A140,보수일람표!$A:$M,6,FALSE),"")</f>
        <v/>
      </c>
      <c r="R140" s="236" t="str">
        <f>IFERROR(VLOOKUP($A140,보수일람표!$A:$M,7,FALSE),"")</f>
        <v>직접</v>
      </c>
      <c r="S140" s="236"/>
      <c r="T140" s="237">
        <f>IFERROR(VLOOKUP($A140,보수일람표!$A:$M,9,FALSE),"")</f>
        <v>0</v>
      </c>
      <c r="U140" s="237">
        <f>IFERROR(VLOOKUP($A140,보수일람표!$A:$M,10,FALSE),"")</f>
        <v>0</v>
      </c>
      <c r="V140" s="237">
        <f>IFERROR(VLOOKUP($A140,보수일람표!$A:$M,11,FALSE),"")</f>
        <v>0</v>
      </c>
      <c r="W140" s="237">
        <f>IFERROR(VLOOKUP($A140,보수일람표!$A:$M,12,FALSE),"")</f>
        <v>0</v>
      </c>
      <c r="X140" s="237">
        <f>IFERROR(VLOOKUP($A140,보수일람표!$A:$M,13,FALSE),"")</f>
        <v>0</v>
      </c>
    </row>
    <row r="141" spans="1:24">
      <c r="A141" s="225">
        <v>139</v>
      </c>
      <c r="B141" s="233" t="str">
        <f>IFERROR(IF(F141="06",데이터입력!$AB$8,IF(F141="07",데이터입력!$AD$8,IF(F141="05",데이터입력!$AF$8,데이터입력!$AB$8))),데이터입력!$AB$8)</f>
        <v>00</v>
      </c>
      <c r="C141" s="684" t="str">
        <f>데이터입력!$AC$9</f>
        <v>일반사업[일반]</v>
      </c>
      <c r="D141" s="238" t="str">
        <f>IFERROR(VLOOKUP($A141,데이터입력!$A:$H,4,FALSE),"")</f>
        <v/>
      </c>
      <c r="E141" s="238" t="str">
        <f>IFERROR(VLOOKUP($A141,데이터입력!$A:$H,2,FALSE),"")</f>
        <v/>
      </c>
      <c r="F141" s="238" t="str">
        <f>IFERROR(VLOOKUP($A141,데이터입력!$A:$H,5,FALSE),"")</f>
        <v/>
      </c>
      <c r="G141" s="238" t="str">
        <f>IFERROR(VLOOKUP($A141,데이터입력!$A:$H,6,FALSE),"")</f>
        <v/>
      </c>
      <c r="H141" s="239" t="str">
        <f>IFERROR(VLOOKUP($A141,데이터입력!$A:$L,8,FALSE)+VLOOKUP($A141,데이터입력!$A:$L,9,FALSE)+VLOOKUP($A141,데이터입력!$A:$L,10,FALSE),"")</f>
        <v/>
      </c>
      <c r="I141" s="234" t="s">
        <v>136</v>
      </c>
      <c r="J141" s="234" t="s">
        <v>136</v>
      </c>
      <c r="K141" s="234" t="s">
        <v>136</v>
      </c>
      <c r="M141" s="235" t="str">
        <f>데이터입력!$AB$8</f>
        <v>00</v>
      </c>
      <c r="N141" s="238" t="str">
        <f>데이터입력!$AC$9</f>
        <v>일반사업[일반]</v>
      </c>
      <c r="O141" s="236" t="str">
        <f>IFERROR(VLOOKUP($A141,보수일람표!$A:$M,4,FALSE),"")</f>
        <v/>
      </c>
      <c r="P141" s="236" t="str">
        <f>IFERROR(VLOOKUP($A141,보수일람표!$A:$M,5,FALSE),"")</f>
        <v/>
      </c>
      <c r="Q141" s="923" t="str">
        <f>IFERROR(VLOOKUP($A141,보수일람표!$A:$M,6,FALSE),"")</f>
        <v/>
      </c>
      <c r="R141" s="236" t="str">
        <f>IFERROR(VLOOKUP($A141,보수일람표!$A:$M,7,FALSE),"")</f>
        <v>직접</v>
      </c>
      <c r="S141" s="236"/>
      <c r="T141" s="237">
        <f>IFERROR(VLOOKUP($A141,보수일람표!$A:$M,9,FALSE),"")</f>
        <v>0</v>
      </c>
      <c r="U141" s="237">
        <f>IFERROR(VLOOKUP($A141,보수일람표!$A:$M,10,FALSE),"")</f>
        <v>0</v>
      </c>
      <c r="V141" s="237">
        <f>IFERROR(VLOOKUP($A141,보수일람표!$A:$M,11,FALSE),"")</f>
        <v>0</v>
      </c>
      <c r="W141" s="237">
        <f>IFERROR(VLOOKUP($A141,보수일람표!$A:$M,12,FALSE),"")</f>
        <v>0</v>
      </c>
      <c r="X141" s="237">
        <f>IFERROR(VLOOKUP($A141,보수일람표!$A:$M,13,FALSE),"")</f>
        <v>0</v>
      </c>
    </row>
    <row r="142" spans="1:24">
      <c r="A142" s="225">
        <v>140</v>
      </c>
      <c r="B142" s="233" t="str">
        <f>IFERROR(IF(F142="06",데이터입력!$AB$8,IF(F142="07",데이터입력!$AD$8,IF(F142="05",데이터입력!$AF$8,데이터입력!$AB$8))),데이터입력!$AB$8)</f>
        <v>00</v>
      </c>
      <c r="C142" s="684" t="str">
        <f>데이터입력!$AC$9</f>
        <v>일반사업[일반]</v>
      </c>
      <c r="D142" s="238" t="str">
        <f>IFERROR(VLOOKUP($A142,데이터입력!$A:$H,4,FALSE),"")</f>
        <v/>
      </c>
      <c r="E142" s="238" t="str">
        <f>IFERROR(VLOOKUP($A142,데이터입력!$A:$H,2,FALSE),"")</f>
        <v/>
      </c>
      <c r="F142" s="238" t="str">
        <f>IFERROR(VLOOKUP($A142,데이터입력!$A:$H,5,FALSE),"")</f>
        <v/>
      </c>
      <c r="G142" s="238" t="str">
        <f>IFERROR(VLOOKUP($A142,데이터입력!$A:$H,6,FALSE),"")</f>
        <v/>
      </c>
      <c r="H142" s="239" t="str">
        <f>IFERROR(VLOOKUP($A142,데이터입력!$A:$L,8,FALSE)+VLOOKUP($A142,데이터입력!$A:$L,9,FALSE)+VLOOKUP($A142,데이터입력!$A:$L,10,FALSE),"")</f>
        <v/>
      </c>
      <c r="I142" s="234" t="s">
        <v>136</v>
      </c>
      <c r="J142" s="234" t="s">
        <v>136</v>
      </c>
      <c r="K142" s="234" t="s">
        <v>136</v>
      </c>
      <c r="M142" s="235" t="str">
        <f>데이터입력!$AB$8</f>
        <v>00</v>
      </c>
      <c r="N142" s="238" t="str">
        <f>데이터입력!$AC$9</f>
        <v>일반사업[일반]</v>
      </c>
      <c r="O142" s="236" t="str">
        <f>IFERROR(VLOOKUP($A142,보수일람표!$A:$M,4,FALSE),"")</f>
        <v/>
      </c>
      <c r="P142" s="236" t="str">
        <f>IFERROR(VLOOKUP($A142,보수일람표!$A:$M,5,FALSE),"")</f>
        <v/>
      </c>
      <c r="Q142" s="923" t="str">
        <f>IFERROR(VLOOKUP($A142,보수일람표!$A:$M,6,FALSE),"")</f>
        <v/>
      </c>
      <c r="R142" s="236" t="str">
        <f>IFERROR(VLOOKUP($A142,보수일람표!$A:$M,7,FALSE),"")</f>
        <v>직접</v>
      </c>
      <c r="S142" s="236"/>
      <c r="T142" s="237">
        <f>IFERROR(VLOOKUP($A142,보수일람표!$A:$M,9,FALSE),"")</f>
        <v>0</v>
      </c>
      <c r="U142" s="237">
        <f>IFERROR(VLOOKUP($A142,보수일람표!$A:$M,10,FALSE),"")</f>
        <v>0</v>
      </c>
      <c r="V142" s="237">
        <f>IFERROR(VLOOKUP($A142,보수일람표!$A:$M,11,FALSE),"")</f>
        <v>0</v>
      </c>
      <c r="W142" s="237">
        <f>IFERROR(VLOOKUP($A142,보수일람표!$A:$M,12,FALSE),"")</f>
        <v>0</v>
      </c>
      <c r="X142" s="237">
        <f>IFERROR(VLOOKUP($A142,보수일람표!$A:$M,13,FALSE),"")</f>
        <v>0</v>
      </c>
    </row>
    <row r="143" spans="1:24">
      <c r="A143" s="225">
        <v>141</v>
      </c>
      <c r="B143" s="233" t="str">
        <f>IFERROR(IF(F143="06",데이터입력!$AB$8,IF(F143="07",데이터입력!$AD$8,IF(F143="05",데이터입력!$AF$8,데이터입력!$AB$8))),데이터입력!$AB$8)</f>
        <v>00</v>
      </c>
      <c r="C143" s="684" t="str">
        <f>데이터입력!$AC$9</f>
        <v>일반사업[일반]</v>
      </c>
      <c r="D143" s="238" t="str">
        <f>IFERROR(VLOOKUP($A143,데이터입력!$A:$H,4,FALSE),"")</f>
        <v/>
      </c>
      <c r="E143" s="238" t="str">
        <f>IFERROR(VLOOKUP($A143,데이터입력!$A:$H,2,FALSE),"")</f>
        <v/>
      </c>
      <c r="F143" s="238" t="str">
        <f>IFERROR(VLOOKUP($A143,데이터입력!$A:$H,5,FALSE),"")</f>
        <v/>
      </c>
      <c r="G143" s="238" t="str">
        <f>IFERROR(VLOOKUP($A143,데이터입력!$A:$H,6,FALSE),"")</f>
        <v/>
      </c>
      <c r="H143" s="239" t="str">
        <f>IFERROR(VLOOKUP($A143,데이터입력!$A:$L,8,FALSE)+VLOOKUP($A143,데이터입력!$A:$L,9,FALSE)+VLOOKUP($A143,데이터입력!$A:$L,10,FALSE),"")</f>
        <v/>
      </c>
      <c r="I143" s="234" t="s">
        <v>136</v>
      </c>
      <c r="J143" s="234" t="s">
        <v>136</v>
      </c>
      <c r="K143" s="234" t="s">
        <v>136</v>
      </c>
      <c r="M143" s="235" t="str">
        <f>데이터입력!$AB$8</f>
        <v>00</v>
      </c>
      <c r="N143" s="238" t="str">
        <f>데이터입력!$AC$9</f>
        <v>일반사업[일반]</v>
      </c>
      <c r="O143" s="236" t="str">
        <f>IFERROR(VLOOKUP($A143,보수일람표!$A:$M,4,FALSE),"")</f>
        <v/>
      </c>
      <c r="P143" s="236" t="str">
        <f>IFERROR(VLOOKUP($A143,보수일람표!$A:$M,5,FALSE),"")</f>
        <v/>
      </c>
      <c r="Q143" s="923" t="str">
        <f>IFERROR(VLOOKUP($A143,보수일람표!$A:$M,6,FALSE),"")</f>
        <v/>
      </c>
      <c r="R143" s="236" t="str">
        <f>IFERROR(VLOOKUP($A143,보수일람표!$A:$M,7,FALSE),"")</f>
        <v>직접</v>
      </c>
      <c r="S143" s="236"/>
      <c r="T143" s="237">
        <f>IFERROR(VLOOKUP($A143,보수일람표!$A:$M,9,FALSE),"")</f>
        <v>0</v>
      </c>
      <c r="U143" s="237">
        <f>IFERROR(VLOOKUP($A143,보수일람표!$A:$M,10,FALSE),"")</f>
        <v>0</v>
      </c>
      <c r="V143" s="237">
        <f>IFERROR(VLOOKUP($A143,보수일람표!$A:$M,11,FALSE),"")</f>
        <v>0</v>
      </c>
      <c r="W143" s="237">
        <f>IFERROR(VLOOKUP($A143,보수일람표!$A:$M,12,FALSE),"")</f>
        <v>0</v>
      </c>
      <c r="X143" s="237">
        <f>IFERROR(VLOOKUP($A143,보수일람표!$A:$M,13,FALSE),"")</f>
        <v>0</v>
      </c>
    </row>
    <row r="144" spans="1:24">
      <c r="A144" s="225">
        <v>142</v>
      </c>
      <c r="B144" s="233" t="str">
        <f>IFERROR(IF(F144="06",데이터입력!$AB$8,IF(F144="07",데이터입력!$AD$8,IF(F144="05",데이터입력!$AF$8,데이터입력!$AB$8))),데이터입력!$AB$8)</f>
        <v>00</v>
      </c>
      <c r="C144" s="684" t="str">
        <f>데이터입력!$AC$9</f>
        <v>일반사업[일반]</v>
      </c>
      <c r="D144" s="238" t="str">
        <f>IFERROR(VLOOKUP($A144,데이터입력!$A:$H,4,FALSE),"")</f>
        <v/>
      </c>
      <c r="E144" s="238" t="str">
        <f>IFERROR(VLOOKUP($A144,데이터입력!$A:$H,2,FALSE),"")</f>
        <v/>
      </c>
      <c r="F144" s="238" t="str">
        <f>IFERROR(VLOOKUP($A144,데이터입력!$A:$H,5,FALSE),"")</f>
        <v/>
      </c>
      <c r="G144" s="238" t="str">
        <f>IFERROR(VLOOKUP($A144,데이터입력!$A:$H,6,FALSE),"")</f>
        <v/>
      </c>
      <c r="H144" s="239" t="str">
        <f>IFERROR(VLOOKUP($A144,데이터입력!$A:$L,8,FALSE)+VLOOKUP($A144,데이터입력!$A:$L,9,FALSE)+VLOOKUP($A144,데이터입력!$A:$L,10,FALSE),"")</f>
        <v/>
      </c>
      <c r="I144" s="234" t="s">
        <v>136</v>
      </c>
      <c r="J144" s="234" t="s">
        <v>136</v>
      </c>
      <c r="K144" s="234" t="s">
        <v>136</v>
      </c>
      <c r="M144" s="235" t="str">
        <f>데이터입력!$AB$8</f>
        <v>00</v>
      </c>
      <c r="N144" s="238" t="str">
        <f>데이터입력!$AC$9</f>
        <v>일반사업[일반]</v>
      </c>
      <c r="O144" s="236" t="str">
        <f>IFERROR(VLOOKUP($A144,보수일람표!$A:$M,4,FALSE),"")</f>
        <v/>
      </c>
      <c r="P144" s="236" t="str">
        <f>IFERROR(VLOOKUP($A144,보수일람표!$A:$M,5,FALSE),"")</f>
        <v/>
      </c>
      <c r="Q144" s="923" t="str">
        <f>IFERROR(VLOOKUP($A144,보수일람표!$A:$M,6,FALSE),"")</f>
        <v/>
      </c>
      <c r="R144" s="236" t="str">
        <f>IFERROR(VLOOKUP($A144,보수일람표!$A:$M,7,FALSE),"")</f>
        <v>직접</v>
      </c>
      <c r="S144" s="236"/>
      <c r="T144" s="237">
        <f>IFERROR(VLOOKUP($A144,보수일람표!$A:$M,9,FALSE),"")</f>
        <v>0</v>
      </c>
      <c r="U144" s="237">
        <f>IFERROR(VLOOKUP($A144,보수일람표!$A:$M,10,FALSE),"")</f>
        <v>0</v>
      </c>
      <c r="V144" s="237">
        <f>IFERROR(VLOOKUP($A144,보수일람표!$A:$M,11,FALSE),"")</f>
        <v>0</v>
      </c>
      <c r="W144" s="237">
        <f>IFERROR(VLOOKUP($A144,보수일람표!$A:$M,12,FALSE),"")</f>
        <v>0</v>
      </c>
      <c r="X144" s="237">
        <f>IFERROR(VLOOKUP($A144,보수일람표!$A:$M,13,FALSE),"")</f>
        <v>0</v>
      </c>
    </row>
    <row r="145" spans="1:24">
      <c r="A145" s="225">
        <v>143</v>
      </c>
      <c r="B145" s="233" t="str">
        <f>IFERROR(IF(F145="06",데이터입력!$AB$8,IF(F145="07",데이터입력!$AD$8,IF(F145="05",데이터입력!$AF$8,데이터입력!$AB$8))),데이터입력!$AB$8)</f>
        <v>00</v>
      </c>
      <c r="C145" s="684" t="str">
        <f>데이터입력!$AC$9</f>
        <v>일반사업[일반]</v>
      </c>
      <c r="D145" s="238" t="str">
        <f>IFERROR(VLOOKUP($A145,데이터입력!$A:$H,4,FALSE),"")</f>
        <v/>
      </c>
      <c r="E145" s="238" t="str">
        <f>IFERROR(VLOOKUP($A145,데이터입력!$A:$H,2,FALSE),"")</f>
        <v/>
      </c>
      <c r="F145" s="238" t="str">
        <f>IFERROR(VLOOKUP($A145,데이터입력!$A:$H,5,FALSE),"")</f>
        <v/>
      </c>
      <c r="G145" s="238" t="str">
        <f>IFERROR(VLOOKUP($A145,데이터입력!$A:$H,6,FALSE),"")</f>
        <v/>
      </c>
      <c r="H145" s="239" t="str">
        <f>IFERROR(VLOOKUP($A145,데이터입력!$A:$L,8,FALSE)+VLOOKUP($A145,데이터입력!$A:$L,9,FALSE)+VLOOKUP($A145,데이터입력!$A:$L,10,FALSE),"")</f>
        <v/>
      </c>
      <c r="I145" s="234" t="s">
        <v>136</v>
      </c>
      <c r="J145" s="234" t="s">
        <v>136</v>
      </c>
      <c r="K145" s="234" t="s">
        <v>136</v>
      </c>
      <c r="M145" s="235" t="str">
        <f>데이터입력!$AB$8</f>
        <v>00</v>
      </c>
      <c r="N145" s="238" t="str">
        <f>데이터입력!$AC$9</f>
        <v>일반사업[일반]</v>
      </c>
      <c r="O145" s="236" t="str">
        <f>IFERROR(VLOOKUP($A145,보수일람표!$A:$M,4,FALSE),"")</f>
        <v/>
      </c>
      <c r="P145" s="236" t="str">
        <f>IFERROR(VLOOKUP($A145,보수일람표!$A:$M,5,FALSE),"")</f>
        <v/>
      </c>
      <c r="Q145" s="923" t="str">
        <f>IFERROR(VLOOKUP($A145,보수일람표!$A:$M,6,FALSE),"")</f>
        <v/>
      </c>
      <c r="R145" s="236" t="str">
        <f>IFERROR(VLOOKUP($A145,보수일람표!$A:$M,7,FALSE),"")</f>
        <v>직접</v>
      </c>
      <c r="S145" s="236"/>
      <c r="T145" s="237">
        <f>IFERROR(VLOOKUP($A145,보수일람표!$A:$M,9,FALSE),"")</f>
        <v>0</v>
      </c>
      <c r="U145" s="237">
        <f>IFERROR(VLOOKUP($A145,보수일람표!$A:$M,10,FALSE),"")</f>
        <v>0</v>
      </c>
      <c r="V145" s="237">
        <f>IFERROR(VLOOKUP($A145,보수일람표!$A:$M,11,FALSE),"")</f>
        <v>0</v>
      </c>
      <c r="W145" s="237">
        <f>IFERROR(VLOOKUP($A145,보수일람표!$A:$M,12,FALSE),"")</f>
        <v>0</v>
      </c>
      <c r="X145" s="237">
        <f>IFERROR(VLOOKUP($A145,보수일람표!$A:$M,13,FALSE),"")</f>
        <v>0</v>
      </c>
    </row>
    <row r="146" spans="1:24">
      <c r="A146" s="225">
        <v>144</v>
      </c>
      <c r="B146" s="233" t="str">
        <f>IFERROR(IF(F146="06",데이터입력!$AB$8,IF(F146="07",데이터입력!$AD$8,IF(F146="05",데이터입력!$AF$8,데이터입력!$AB$8))),데이터입력!$AB$8)</f>
        <v>00</v>
      </c>
      <c r="C146" s="684" t="str">
        <f>데이터입력!$AC$9</f>
        <v>일반사업[일반]</v>
      </c>
      <c r="D146" s="238" t="str">
        <f>IFERROR(VLOOKUP($A146,데이터입력!$A:$H,4,FALSE),"")</f>
        <v/>
      </c>
      <c r="E146" s="238" t="str">
        <f>IFERROR(VLOOKUP($A146,데이터입력!$A:$H,2,FALSE),"")</f>
        <v/>
      </c>
      <c r="F146" s="238" t="str">
        <f>IFERROR(VLOOKUP($A146,데이터입력!$A:$H,5,FALSE),"")</f>
        <v/>
      </c>
      <c r="G146" s="238" t="str">
        <f>IFERROR(VLOOKUP($A146,데이터입력!$A:$H,6,FALSE),"")</f>
        <v/>
      </c>
      <c r="H146" s="239" t="str">
        <f>IFERROR(VLOOKUP($A146,데이터입력!$A:$L,8,FALSE)+VLOOKUP($A146,데이터입력!$A:$L,9,FALSE)+VLOOKUP($A146,데이터입력!$A:$L,10,FALSE),"")</f>
        <v/>
      </c>
      <c r="I146" s="234" t="s">
        <v>136</v>
      </c>
      <c r="J146" s="234" t="s">
        <v>136</v>
      </c>
      <c r="K146" s="234" t="s">
        <v>136</v>
      </c>
      <c r="M146" s="235" t="str">
        <f>데이터입력!$AB$8</f>
        <v>00</v>
      </c>
      <c r="N146" s="238" t="str">
        <f>데이터입력!$AC$9</f>
        <v>일반사업[일반]</v>
      </c>
      <c r="O146" s="236" t="str">
        <f>IFERROR(VLOOKUP($A146,보수일람표!$A:$M,4,FALSE),"")</f>
        <v/>
      </c>
      <c r="P146" s="236" t="str">
        <f>IFERROR(VLOOKUP($A146,보수일람표!$A:$M,5,FALSE),"")</f>
        <v/>
      </c>
      <c r="Q146" s="923" t="str">
        <f>IFERROR(VLOOKUP($A146,보수일람표!$A:$M,6,FALSE),"")</f>
        <v/>
      </c>
      <c r="R146" s="236" t="str">
        <f>IFERROR(VLOOKUP($A146,보수일람표!$A:$M,7,FALSE),"")</f>
        <v>직접</v>
      </c>
      <c r="S146" s="236"/>
      <c r="T146" s="237">
        <f>IFERROR(VLOOKUP($A146,보수일람표!$A:$M,9,FALSE),"")</f>
        <v>0</v>
      </c>
      <c r="U146" s="237">
        <f>IFERROR(VLOOKUP($A146,보수일람표!$A:$M,10,FALSE),"")</f>
        <v>0</v>
      </c>
      <c r="V146" s="237">
        <f>IFERROR(VLOOKUP($A146,보수일람표!$A:$M,11,FALSE),"")</f>
        <v>0</v>
      </c>
      <c r="W146" s="237">
        <f>IFERROR(VLOOKUP($A146,보수일람표!$A:$M,12,FALSE),"")</f>
        <v>0</v>
      </c>
      <c r="X146" s="237">
        <f>IFERROR(VLOOKUP($A146,보수일람표!$A:$M,13,FALSE),"")</f>
        <v>0</v>
      </c>
    </row>
    <row r="147" spans="1:24">
      <c r="A147" s="225">
        <v>145</v>
      </c>
      <c r="B147" s="233" t="str">
        <f>IFERROR(IF(F147="06",데이터입력!$AB$8,IF(F147="07",데이터입력!$AD$8,IF(F147="05",데이터입력!$AF$8,데이터입력!$AB$8))),데이터입력!$AB$8)</f>
        <v>00</v>
      </c>
      <c r="C147" s="684" t="str">
        <f>데이터입력!$AC$9</f>
        <v>일반사업[일반]</v>
      </c>
      <c r="D147" s="238" t="str">
        <f>IFERROR(VLOOKUP($A147,데이터입력!$A:$H,4,FALSE),"")</f>
        <v/>
      </c>
      <c r="E147" s="238" t="str">
        <f>IFERROR(VLOOKUP($A147,데이터입력!$A:$H,2,FALSE),"")</f>
        <v/>
      </c>
      <c r="F147" s="238" t="str">
        <f>IFERROR(VLOOKUP($A147,데이터입력!$A:$H,5,FALSE),"")</f>
        <v/>
      </c>
      <c r="G147" s="238" t="str">
        <f>IFERROR(VLOOKUP($A147,데이터입력!$A:$H,6,FALSE),"")</f>
        <v/>
      </c>
      <c r="H147" s="239" t="str">
        <f>IFERROR(VLOOKUP($A147,데이터입력!$A:$L,8,FALSE)+VLOOKUP($A147,데이터입력!$A:$L,9,FALSE)+VLOOKUP($A147,데이터입력!$A:$L,10,FALSE),"")</f>
        <v/>
      </c>
      <c r="I147" s="234" t="s">
        <v>136</v>
      </c>
      <c r="J147" s="234" t="s">
        <v>136</v>
      </c>
      <c r="K147" s="234" t="s">
        <v>136</v>
      </c>
      <c r="M147" s="235" t="str">
        <f>데이터입력!$AB$8</f>
        <v>00</v>
      </c>
      <c r="N147" s="238" t="str">
        <f>데이터입력!$AC$9</f>
        <v>일반사업[일반]</v>
      </c>
      <c r="O147" s="236" t="str">
        <f>IFERROR(VLOOKUP($A147,보수일람표!$A:$M,4,FALSE),"")</f>
        <v/>
      </c>
      <c r="P147" s="236" t="str">
        <f>IFERROR(VLOOKUP($A147,보수일람표!$A:$M,5,FALSE),"")</f>
        <v/>
      </c>
      <c r="Q147" s="923" t="str">
        <f>IFERROR(VLOOKUP($A147,보수일람표!$A:$M,6,FALSE),"")</f>
        <v/>
      </c>
      <c r="R147" s="236" t="str">
        <f>IFERROR(VLOOKUP($A147,보수일람표!$A:$M,7,FALSE),"")</f>
        <v>직접</v>
      </c>
      <c r="S147" s="236"/>
      <c r="T147" s="237">
        <f>IFERROR(VLOOKUP($A147,보수일람표!$A:$M,9,FALSE),"")</f>
        <v>0</v>
      </c>
      <c r="U147" s="237">
        <f>IFERROR(VLOOKUP($A147,보수일람표!$A:$M,10,FALSE),"")</f>
        <v>0</v>
      </c>
      <c r="V147" s="237">
        <f>IFERROR(VLOOKUP($A147,보수일람표!$A:$M,11,FALSE),"")</f>
        <v>0</v>
      </c>
      <c r="W147" s="237">
        <f>IFERROR(VLOOKUP($A147,보수일람표!$A:$M,12,FALSE),"")</f>
        <v>0</v>
      </c>
      <c r="X147" s="237">
        <f>IFERROR(VLOOKUP($A147,보수일람표!$A:$M,13,FALSE),"")</f>
        <v>0</v>
      </c>
    </row>
    <row r="148" spans="1:24">
      <c r="A148" s="225">
        <v>146</v>
      </c>
      <c r="B148" s="233" t="str">
        <f>IFERROR(IF(F148="06",데이터입력!$AB$8,IF(F148="07",데이터입력!$AD$8,IF(F148="05",데이터입력!$AF$8,데이터입력!$AB$8))),데이터입력!$AB$8)</f>
        <v>00</v>
      </c>
      <c r="C148" s="684" t="str">
        <f>데이터입력!$AC$9</f>
        <v>일반사업[일반]</v>
      </c>
      <c r="D148" s="238" t="str">
        <f>IFERROR(VLOOKUP($A148,데이터입력!$A:$H,4,FALSE),"")</f>
        <v/>
      </c>
      <c r="E148" s="238" t="str">
        <f>IFERROR(VLOOKUP($A148,데이터입력!$A:$H,2,FALSE),"")</f>
        <v/>
      </c>
      <c r="F148" s="238" t="str">
        <f>IFERROR(VLOOKUP($A148,데이터입력!$A:$H,5,FALSE),"")</f>
        <v/>
      </c>
      <c r="G148" s="238" t="str">
        <f>IFERROR(VLOOKUP($A148,데이터입력!$A:$H,6,FALSE),"")</f>
        <v/>
      </c>
      <c r="H148" s="239" t="str">
        <f>IFERROR(VLOOKUP($A148,데이터입력!$A:$L,8,FALSE)+VLOOKUP($A148,데이터입력!$A:$L,9,FALSE)+VLOOKUP($A148,데이터입력!$A:$L,10,FALSE),"")</f>
        <v/>
      </c>
      <c r="I148" s="234" t="s">
        <v>136</v>
      </c>
      <c r="J148" s="234" t="s">
        <v>136</v>
      </c>
      <c r="K148" s="234" t="s">
        <v>136</v>
      </c>
      <c r="M148" s="235" t="str">
        <f>데이터입력!$AB$8</f>
        <v>00</v>
      </c>
      <c r="N148" s="238" t="str">
        <f>데이터입력!$AC$9</f>
        <v>일반사업[일반]</v>
      </c>
      <c r="O148" s="236" t="str">
        <f>IFERROR(VLOOKUP($A148,보수일람표!$A:$M,4,FALSE),"")</f>
        <v/>
      </c>
      <c r="P148" s="236" t="str">
        <f>IFERROR(VLOOKUP($A148,보수일람표!$A:$M,5,FALSE),"")</f>
        <v/>
      </c>
      <c r="Q148" s="923" t="str">
        <f>IFERROR(VLOOKUP($A148,보수일람표!$A:$M,6,FALSE),"")</f>
        <v/>
      </c>
      <c r="R148" s="236" t="str">
        <f>IFERROR(VLOOKUP($A148,보수일람표!$A:$M,7,FALSE),"")</f>
        <v>직접</v>
      </c>
      <c r="S148" s="236"/>
      <c r="T148" s="237">
        <f>IFERROR(VLOOKUP($A148,보수일람표!$A:$M,9,FALSE),"")</f>
        <v>0</v>
      </c>
      <c r="U148" s="237">
        <f>IFERROR(VLOOKUP($A148,보수일람표!$A:$M,10,FALSE),"")</f>
        <v>0</v>
      </c>
      <c r="V148" s="237">
        <f>IFERROR(VLOOKUP($A148,보수일람표!$A:$M,11,FALSE),"")</f>
        <v>0</v>
      </c>
      <c r="W148" s="237">
        <f>IFERROR(VLOOKUP($A148,보수일람표!$A:$M,12,FALSE),"")</f>
        <v>0</v>
      </c>
      <c r="X148" s="237">
        <f>IFERROR(VLOOKUP($A148,보수일람표!$A:$M,13,FALSE),"")</f>
        <v>0</v>
      </c>
    </row>
    <row r="149" spans="1:24">
      <c r="A149" s="225">
        <v>147</v>
      </c>
      <c r="B149" s="233" t="str">
        <f>IFERROR(IF(F149="06",데이터입력!$AB$8,IF(F149="07",데이터입력!$AD$8,IF(F149="05",데이터입력!$AF$8,데이터입력!$AB$8))),데이터입력!$AB$8)</f>
        <v>00</v>
      </c>
      <c r="C149" s="684" t="str">
        <f>데이터입력!$AC$9</f>
        <v>일반사업[일반]</v>
      </c>
      <c r="D149" s="238" t="str">
        <f>IFERROR(VLOOKUP($A149,데이터입력!$A:$H,4,FALSE),"")</f>
        <v/>
      </c>
      <c r="E149" s="238" t="str">
        <f>IFERROR(VLOOKUP($A149,데이터입력!$A:$H,2,FALSE),"")</f>
        <v/>
      </c>
      <c r="F149" s="238" t="str">
        <f>IFERROR(VLOOKUP($A149,데이터입력!$A:$H,5,FALSE),"")</f>
        <v/>
      </c>
      <c r="G149" s="238" t="str">
        <f>IFERROR(VLOOKUP($A149,데이터입력!$A:$H,6,FALSE),"")</f>
        <v/>
      </c>
      <c r="H149" s="239" t="str">
        <f>IFERROR(VLOOKUP($A149,데이터입력!$A:$L,8,FALSE)+VLOOKUP($A149,데이터입력!$A:$L,9,FALSE)+VLOOKUP($A149,데이터입력!$A:$L,10,FALSE),"")</f>
        <v/>
      </c>
      <c r="I149" s="234" t="s">
        <v>136</v>
      </c>
      <c r="J149" s="234" t="s">
        <v>136</v>
      </c>
      <c r="K149" s="234" t="s">
        <v>136</v>
      </c>
      <c r="M149" s="235" t="str">
        <f>데이터입력!$AB$8</f>
        <v>00</v>
      </c>
      <c r="N149" s="238" t="str">
        <f>데이터입력!$AC$9</f>
        <v>일반사업[일반]</v>
      </c>
      <c r="O149" s="236" t="str">
        <f>IFERROR(VLOOKUP($A149,보수일람표!$A:$M,4,FALSE),"")</f>
        <v/>
      </c>
      <c r="P149" s="236" t="str">
        <f>IFERROR(VLOOKUP($A149,보수일람표!$A:$M,5,FALSE),"")</f>
        <v/>
      </c>
      <c r="Q149" s="923" t="str">
        <f>IFERROR(VLOOKUP($A149,보수일람표!$A:$M,6,FALSE),"")</f>
        <v/>
      </c>
      <c r="R149" s="236" t="str">
        <f>IFERROR(VLOOKUP($A149,보수일람표!$A:$M,7,FALSE),"")</f>
        <v>직접</v>
      </c>
      <c r="S149" s="236"/>
      <c r="T149" s="237">
        <f>IFERROR(VLOOKUP($A149,보수일람표!$A:$M,9,FALSE),"")</f>
        <v>0</v>
      </c>
      <c r="U149" s="237">
        <f>IFERROR(VLOOKUP($A149,보수일람표!$A:$M,10,FALSE),"")</f>
        <v>0</v>
      </c>
      <c r="V149" s="237">
        <f>IFERROR(VLOOKUP($A149,보수일람표!$A:$M,11,FALSE),"")</f>
        <v>0</v>
      </c>
      <c r="W149" s="237">
        <f>IFERROR(VLOOKUP($A149,보수일람표!$A:$M,12,FALSE),"")</f>
        <v>0</v>
      </c>
      <c r="X149" s="237">
        <f>IFERROR(VLOOKUP($A149,보수일람표!$A:$M,13,FALSE),"")</f>
        <v>0</v>
      </c>
    </row>
    <row r="150" spans="1:24">
      <c r="A150" s="225">
        <v>148</v>
      </c>
      <c r="B150" s="233" t="str">
        <f>IFERROR(IF(F150="06",데이터입력!$AB$8,IF(F150="07",데이터입력!$AD$8,IF(F150="05",데이터입력!$AF$8,데이터입력!$AB$8))),데이터입력!$AB$8)</f>
        <v>00</v>
      </c>
      <c r="C150" s="684" t="str">
        <f>데이터입력!$AC$9</f>
        <v>일반사업[일반]</v>
      </c>
      <c r="D150" s="238" t="str">
        <f>IFERROR(VLOOKUP($A150,데이터입력!$A:$H,4,FALSE),"")</f>
        <v/>
      </c>
      <c r="E150" s="238" t="str">
        <f>IFERROR(VLOOKUP($A150,데이터입력!$A:$H,2,FALSE),"")</f>
        <v/>
      </c>
      <c r="F150" s="238" t="str">
        <f>IFERROR(VLOOKUP($A150,데이터입력!$A:$H,5,FALSE),"")</f>
        <v/>
      </c>
      <c r="G150" s="238" t="str">
        <f>IFERROR(VLOOKUP($A150,데이터입력!$A:$H,6,FALSE),"")</f>
        <v/>
      </c>
      <c r="H150" s="239" t="str">
        <f>IFERROR(VLOOKUP($A150,데이터입력!$A:$L,8,FALSE)+VLOOKUP($A150,데이터입력!$A:$L,9,FALSE)+VLOOKUP($A150,데이터입력!$A:$L,10,FALSE),"")</f>
        <v/>
      </c>
      <c r="I150" s="234" t="s">
        <v>136</v>
      </c>
      <c r="J150" s="234" t="s">
        <v>136</v>
      </c>
      <c r="K150" s="234" t="s">
        <v>136</v>
      </c>
      <c r="M150" s="235" t="str">
        <f>데이터입력!$AB$8</f>
        <v>00</v>
      </c>
      <c r="N150" s="238" t="str">
        <f>데이터입력!$AC$9</f>
        <v>일반사업[일반]</v>
      </c>
      <c r="O150" s="236" t="str">
        <f>IFERROR(VLOOKUP($A150,보수일람표!$A:$M,4,FALSE),"")</f>
        <v/>
      </c>
      <c r="P150" s="236" t="str">
        <f>IFERROR(VLOOKUP($A150,보수일람표!$A:$M,5,FALSE),"")</f>
        <v/>
      </c>
      <c r="Q150" s="923" t="str">
        <f>IFERROR(VLOOKUP($A150,보수일람표!$A:$M,6,FALSE),"")</f>
        <v/>
      </c>
      <c r="R150" s="236" t="str">
        <f>IFERROR(VLOOKUP($A150,보수일람표!$A:$M,7,FALSE),"")</f>
        <v>직접</v>
      </c>
      <c r="S150" s="236"/>
      <c r="T150" s="237">
        <f>IFERROR(VLOOKUP($A150,보수일람표!$A:$M,9,FALSE),"")</f>
        <v>0</v>
      </c>
      <c r="U150" s="237">
        <f>IFERROR(VLOOKUP($A150,보수일람표!$A:$M,10,FALSE),"")</f>
        <v>0</v>
      </c>
      <c r="V150" s="237">
        <f>IFERROR(VLOOKUP($A150,보수일람표!$A:$M,11,FALSE),"")</f>
        <v>0</v>
      </c>
      <c r="W150" s="237">
        <f>IFERROR(VLOOKUP($A150,보수일람표!$A:$M,12,FALSE),"")</f>
        <v>0</v>
      </c>
      <c r="X150" s="237">
        <f>IFERROR(VLOOKUP($A150,보수일람표!$A:$M,13,FALSE),"")</f>
        <v>0</v>
      </c>
    </row>
    <row r="151" spans="1:24">
      <c r="A151" s="225">
        <v>149</v>
      </c>
      <c r="B151" s="233" t="str">
        <f>IFERROR(IF(F151="06",데이터입력!$AB$8,IF(F151="07",데이터입력!$AD$8,IF(F151="05",데이터입력!$AF$8,데이터입력!$AB$8))),데이터입력!$AB$8)</f>
        <v>00</v>
      </c>
      <c r="C151" s="684" t="str">
        <f>데이터입력!$AC$9</f>
        <v>일반사업[일반]</v>
      </c>
      <c r="D151" s="238" t="str">
        <f>IFERROR(VLOOKUP($A151,데이터입력!$A:$H,4,FALSE),"")</f>
        <v/>
      </c>
      <c r="E151" s="238" t="str">
        <f>IFERROR(VLOOKUP($A151,데이터입력!$A:$H,2,FALSE),"")</f>
        <v/>
      </c>
      <c r="F151" s="238" t="str">
        <f>IFERROR(VLOOKUP($A151,데이터입력!$A:$H,5,FALSE),"")</f>
        <v/>
      </c>
      <c r="G151" s="238" t="str">
        <f>IFERROR(VLOOKUP($A151,데이터입력!$A:$H,6,FALSE),"")</f>
        <v/>
      </c>
      <c r="H151" s="239" t="str">
        <f>IFERROR(VLOOKUP($A151,데이터입력!$A:$L,8,FALSE)+VLOOKUP($A151,데이터입력!$A:$L,9,FALSE)+VLOOKUP($A151,데이터입력!$A:$L,10,FALSE),"")</f>
        <v/>
      </c>
      <c r="I151" s="234" t="s">
        <v>136</v>
      </c>
      <c r="J151" s="234" t="s">
        <v>136</v>
      </c>
      <c r="K151" s="234" t="s">
        <v>136</v>
      </c>
      <c r="M151" s="235" t="str">
        <f>데이터입력!$AB$8</f>
        <v>00</v>
      </c>
      <c r="N151" s="238" t="str">
        <f>데이터입력!$AC$9</f>
        <v>일반사업[일반]</v>
      </c>
      <c r="O151" s="236" t="str">
        <f>IFERROR(VLOOKUP($A151,보수일람표!$A:$M,4,FALSE),"")</f>
        <v/>
      </c>
      <c r="P151" s="236" t="str">
        <f>IFERROR(VLOOKUP($A151,보수일람표!$A:$M,5,FALSE),"")</f>
        <v/>
      </c>
      <c r="Q151" s="923" t="str">
        <f>IFERROR(VLOOKUP($A151,보수일람표!$A:$M,6,FALSE),"")</f>
        <v/>
      </c>
      <c r="R151" s="236" t="str">
        <f>IFERROR(VLOOKUP($A151,보수일람표!$A:$M,7,FALSE),"")</f>
        <v>직접</v>
      </c>
      <c r="S151" s="236"/>
      <c r="T151" s="237">
        <f>IFERROR(VLOOKUP($A151,보수일람표!$A:$M,9,FALSE),"")</f>
        <v>0</v>
      </c>
      <c r="U151" s="237">
        <f>IFERROR(VLOOKUP($A151,보수일람표!$A:$M,10,FALSE),"")</f>
        <v>0</v>
      </c>
      <c r="V151" s="237">
        <f>IFERROR(VLOOKUP($A151,보수일람표!$A:$M,11,FALSE),"")</f>
        <v>0</v>
      </c>
      <c r="W151" s="237">
        <f>IFERROR(VLOOKUP($A151,보수일람표!$A:$M,12,FALSE),"")</f>
        <v>0</v>
      </c>
      <c r="X151" s="237">
        <f>IFERROR(VLOOKUP($A151,보수일람표!$A:$M,13,FALSE),"")</f>
        <v>0</v>
      </c>
    </row>
    <row r="152" spans="1:24">
      <c r="A152" s="225">
        <v>150</v>
      </c>
      <c r="B152" s="233" t="str">
        <f>IFERROR(IF(F152="06",데이터입력!$AB$8,IF(F152="07",데이터입력!$AD$8,IF(F152="05",데이터입력!$AF$8,데이터입력!$AB$8))),데이터입력!$AB$8)</f>
        <v>00</v>
      </c>
      <c r="C152" s="684" t="str">
        <f>데이터입력!$AC$9</f>
        <v>일반사업[일반]</v>
      </c>
      <c r="D152" s="238" t="str">
        <f>IFERROR(VLOOKUP($A152,데이터입력!$A:$H,4,FALSE),"")</f>
        <v/>
      </c>
      <c r="E152" s="238" t="str">
        <f>IFERROR(VLOOKUP($A152,데이터입력!$A:$H,2,FALSE),"")</f>
        <v/>
      </c>
      <c r="F152" s="238" t="str">
        <f>IFERROR(VLOOKUP($A152,데이터입력!$A:$H,5,FALSE),"")</f>
        <v/>
      </c>
      <c r="G152" s="238" t="str">
        <f>IFERROR(VLOOKUP($A152,데이터입력!$A:$H,6,FALSE),"")</f>
        <v/>
      </c>
      <c r="H152" s="239" t="str">
        <f>IFERROR(VLOOKUP($A152,데이터입력!$A:$L,8,FALSE)+VLOOKUP($A152,데이터입력!$A:$L,9,FALSE)+VLOOKUP($A152,데이터입력!$A:$L,10,FALSE),"")</f>
        <v/>
      </c>
      <c r="I152" s="234" t="s">
        <v>136</v>
      </c>
      <c r="J152" s="234" t="s">
        <v>136</v>
      </c>
      <c r="K152" s="234" t="s">
        <v>136</v>
      </c>
      <c r="M152" s="235" t="str">
        <f>데이터입력!$AB$8</f>
        <v>00</v>
      </c>
      <c r="N152" s="238" t="str">
        <f>데이터입력!$AC$9</f>
        <v>일반사업[일반]</v>
      </c>
      <c r="O152" s="236" t="str">
        <f>IFERROR(VLOOKUP($A152,보수일람표!$A:$M,4,FALSE),"")</f>
        <v/>
      </c>
      <c r="P152" s="236" t="str">
        <f>IFERROR(VLOOKUP($A152,보수일람표!$A:$M,5,FALSE),"")</f>
        <v/>
      </c>
      <c r="Q152" s="923" t="str">
        <f>IFERROR(VLOOKUP($A152,보수일람표!$A:$M,6,FALSE),"")</f>
        <v/>
      </c>
      <c r="R152" s="236" t="str">
        <f>IFERROR(VLOOKUP($A152,보수일람표!$A:$M,7,FALSE),"")</f>
        <v>직접</v>
      </c>
      <c r="S152" s="236"/>
      <c r="T152" s="237">
        <f>IFERROR(VLOOKUP($A152,보수일람표!$A:$M,9,FALSE),"")</f>
        <v>0</v>
      </c>
      <c r="U152" s="237">
        <f>IFERROR(VLOOKUP($A152,보수일람표!$A:$M,10,FALSE),"")</f>
        <v>0</v>
      </c>
      <c r="V152" s="237">
        <f>IFERROR(VLOOKUP($A152,보수일람표!$A:$M,11,FALSE),"")</f>
        <v>0</v>
      </c>
      <c r="W152" s="237">
        <f>IFERROR(VLOOKUP($A152,보수일람표!$A:$M,12,FALSE),"")</f>
        <v>0</v>
      </c>
      <c r="X152" s="237">
        <f>IFERROR(VLOOKUP($A152,보수일람표!$A:$M,13,FALSE),"")</f>
        <v>0</v>
      </c>
    </row>
    <row r="153" spans="1:24">
      <c r="A153" s="225">
        <v>151</v>
      </c>
      <c r="B153" s="233" t="str">
        <f>IFERROR(IF(F153="06",데이터입력!$AB$8,IF(F153="07",데이터입력!$AD$8,IF(F153="05",데이터입력!$AF$8,데이터입력!$AB$8))),데이터입력!$AB$8)</f>
        <v>00</v>
      </c>
      <c r="C153" s="684" t="str">
        <f>데이터입력!$AC$9</f>
        <v>일반사업[일반]</v>
      </c>
      <c r="D153" s="238" t="str">
        <f>IFERROR(VLOOKUP($A153,데이터입력!$A:$H,4,FALSE),"")</f>
        <v/>
      </c>
      <c r="E153" s="238" t="str">
        <f>IFERROR(VLOOKUP($A153,데이터입력!$A:$H,2,FALSE),"")</f>
        <v/>
      </c>
      <c r="F153" s="238" t="str">
        <f>IFERROR(VLOOKUP($A153,데이터입력!$A:$H,5,FALSE),"")</f>
        <v/>
      </c>
      <c r="G153" s="238" t="str">
        <f>IFERROR(VLOOKUP($A153,데이터입력!$A:$H,6,FALSE),"")</f>
        <v/>
      </c>
      <c r="H153" s="239" t="str">
        <f>IFERROR(VLOOKUP($A153,데이터입력!$A:$L,8,FALSE)+VLOOKUP($A153,데이터입력!$A:$L,9,FALSE)+VLOOKUP($A153,데이터입력!$A:$L,10,FALSE),"")</f>
        <v/>
      </c>
      <c r="I153" s="234" t="s">
        <v>136</v>
      </c>
      <c r="J153" s="234" t="s">
        <v>136</v>
      </c>
      <c r="K153" s="234" t="s">
        <v>136</v>
      </c>
      <c r="M153" s="235" t="str">
        <f>데이터입력!$AB$8</f>
        <v>00</v>
      </c>
      <c r="N153" s="238" t="str">
        <f>데이터입력!$AC$9</f>
        <v>일반사업[일반]</v>
      </c>
      <c r="O153" s="236" t="str">
        <f>IFERROR(VLOOKUP($A153,보수일람표!$A:$M,4,FALSE),"")</f>
        <v/>
      </c>
      <c r="P153" s="236" t="str">
        <f>IFERROR(VLOOKUP($A153,보수일람표!$A:$M,5,FALSE),"")</f>
        <v/>
      </c>
      <c r="Q153" s="923" t="str">
        <f>IFERROR(VLOOKUP($A153,보수일람표!$A:$M,6,FALSE),"")</f>
        <v/>
      </c>
      <c r="R153" s="236" t="str">
        <f>IFERROR(VLOOKUP($A153,보수일람표!$A:$M,7,FALSE),"")</f>
        <v>직접</v>
      </c>
      <c r="S153" s="236"/>
      <c r="T153" s="237">
        <f>IFERROR(VLOOKUP($A153,보수일람표!$A:$M,9,FALSE),"")</f>
        <v>0</v>
      </c>
      <c r="U153" s="237">
        <f>IFERROR(VLOOKUP($A153,보수일람표!$A:$M,10,FALSE),"")</f>
        <v>0</v>
      </c>
      <c r="V153" s="237">
        <f>IFERROR(VLOOKUP($A153,보수일람표!$A:$M,11,FALSE),"")</f>
        <v>0</v>
      </c>
      <c r="W153" s="237">
        <f>IFERROR(VLOOKUP($A153,보수일람표!$A:$M,12,FALSE),"")</f>
        <v>0</v>
      </c>
      <c r="X153" s="237">
        <f>IFERROR(VLOOKUP($A153,보수일람표!$A:$M,13,FALSE),"")</f>
        <v>0</v>
      </c>
    </row>
    <row r="154" spans="1:24">
      <c r="A154" s="225">
        <v>152</v>
      </c>
      <c r="B154" s="233" t="str">
        <f>IFERROR(IF(F154="06",데이터입력!$AB$8,IF(F154="07",데이터입력!$AD$8,IF(F154="05",데이터입력!$AF$8,데이터입력!$AB$8))),데이터입력!$AB$8)</f>
        <v>00</v>
      </c>
      <c r="C154" s="684" t="str">
        <f>데이터입력!$AC$9</f>
        <v>일반사업[일반]</v>
      </c>
      <c r="D154" s="238" t="str">
        <f>IFERROR(VLOOKUP($A154,데이터입력!$A:$H,4,FALSE),"")</f>
        <v/>
      </c>
      <c r="E154" s="238" t="str">
        <f>IFERROR(VLOOKUP($A154,데이터입력!$A:$H,2,FALSE),"")</f>
        <v/>
      </c>
      <c r="F154" s="238" t="str">
        <f>IFERROR(VLOOKUP($A154,데이터입력!$A:$H,5,FALSE),"")</f>
        <v/>
      </c>
      <c r="G154" s="238" t="str">
        <f>IFERROR(VLOOKUP($A154,데이터입력!$A:$H,6,FALSE),"")</f>
        <v/>
      </c>
      <c r="H154" s="239" t="str">
        <f>IFERROR(VLOOKUP($A154,데이터입력!$A:$L,8,FALSE)+VLOOKUP($A154,데이터입력!$A:$L,9,FALSE)+VLOOKUP($A154,데이터입력!$A:$L,10,FALSE),"")</f>
        <v/>
      </c>
      <c r="I154" s="234" t="s">
        <v>136</v>
      </c>
      <c r="J154" s="234" t="s">
        <v>136</v>
      </c>
      <c r="K154" s="234" t="s">
        <v>136</v>
      </c>
      <c r="M154" s="235" t="str">
        <f>데이터입력!$AB$8</f>
        <v>00</v>
      </c>
      <c r="N154" s="238" t="str">
        <f>데이터입력!$AC$9</f>
        <v>일반사업[일반]</v>
      </c>
      <c r="O154" s="236" t="str">
        <f>IFERROR(VLOOKUP($A154,보수일람표!$A:$M,4,FALSE),"")</f>
        <v/>
      </c>
      <c r="P154" s="236" t="str">
        <f>IFERROR(VLOOKUP($A154,보수일람표!$A:$M,5,FALSE),"")</f>
        <v/>
      </c>
      <c r="Q154" s="923" t="str">
        <f>IFERROR(VLOOKUP($A154,보수일람표!$A:$M,6,FALSE),"")</f>
        <v/>
      </c>
      <c r="R154" s="236" t="str">
        <f>IFERROR(VLOOKUP($A154,보수일람표!$A:$M,7,FALSE),"")</f>
        <v>직접</v>
      </c>
      <c r="S154" s="236"/>
      <c r="T154" s="237">
        <f>IFERROR(VLOOKUP($A154,보수일람표!$A:$M,9,FALSE),"")</f>
        <v>0</v>
      </c>
      <c r="U154" s="237">
        <f>IFERROR(VLOOKUP($A154,보수일람표!$A:$M,10,FALSE),"")</f>
        <v>0</v>
      </c>
      <c r="V154" s="237">
        <f>IFERROR(VLOOKUP($A154,보수일람표!$A:$M,11,FALSE),"")</f>
        <v>0</v>
      </c>
      <c r="W154" s="237">
        <f>IFERROR(VLOOKUP($A154,보수일람표!$A:$M,12,FALSE),"")</f>
        <v>0</v>
      </c>
      <c r="X154" s="237">
        <f>IFERROR(VLOOKUP($A154,보수일람표!$A:$M,13,FALSE),"")</f>
        <v>0</v>
      </c>
    </row>
    <row r="155" spans="1:24">
      <c r="A155" s="225">
        <v>153</v>
      </c>
      <c r="B155" s="233" t="str">
        <f>IFERROR(IF(F155="06",데이터입력!$AB$8,IF(F155="07",데이터입력!$AD$8,IF(F155="05",데이터입력!$AF$8,데이터입력!$AB$8))),데이터입력!$AB$8)</f>
        <v>00</v>
      </c>
      <c r="C155" s="684" t="str">
        <f>데이터입력!$AC$9</f>
        <v>일반사업[일반]</v>
      </c>
      <c r="D155" s="238" t="str">
        <f>IFERROR(VLOOKUP($A155,데이터입력!$A:$H,4,FALSE),"")</f>
        <v/>
      </c>
      <c r="E155" s="238" t="str">
        <f>IFERROR(VLOOKUP($A155,데이터입력!$A:$H,2,FALSE),"")</f>
        <v/>
      </c>
      <c r="F155" s="238" t="str">
        <f>IFERROR(VLOOKUP($A155,데이터입력!$A:$H,5,FALSE),"")</f>
        <v/>
      </c>
      <c r="G155" s="238" t="str">
        <f>IFERROR(VLOOKUP($A155,데이터입력!$A:$H,6,FALSE),"")</f>
        <v/>
      </c>
      <c r="H155" s="239" t="str">
        <f>IFERROR(VLOOKUP($A155,데이터입력!$A:$L,8,FALSE)+VLOOKUP($A155,데이터입력!$A:$L,9,FALSE)+VLOOKUP($A155,데이터입력!$A:$L,10,FALSE),"")</f>
        <v/>
      </c>
      <c r="I155" s="234" t="s">
        <v>136</v>
      </c>
      <c r="J155" s="234" t="s">
        <v>136</v>
      </c>
      <c r="K155" s="234" t="s">
        <v>136</v>
      </c>
      <c r="M155" s="235" t="str">
        <f>데이터입력!$AB$8</f>
        <v>00</v>
      </c>
      <c r="N155" s="238" t="str">
        <f>데이터입력!$AC$9</f>
        <v>일반사업[일반]</v>
      </c>
      <c r="O155" s="236" t="str">
        <f>IFERROR(VLOOKUP($A155,보수일람표!$A:$M,4,FALSE),"")</f>
        <v/>
      </c>
      <c r="P155" s="236" t="str">
        <f>IFERROR(VLOOKUP($A155,보수일람표!$A:$M,5,FALSE),"")</f>
        <v/>
      </c>
      <c r="Q155" s="923" t="str">
        <f>IFERROR(VLOOKUP($A155,보수일람표!$A:$M,6,FALSE),"")</f>
        <v/>
      </c>
      <c r="R155" s="236" t="str">
        <f>IFERROR(VLOOKUP($A155,보수일람표!$A:$M,7,FALSE),"")</f>
        <v>직접</v>
      </c>
      <c r="S155" s="236"/>
      <c r="T155" s="237">
        <f>IFERROR(VLOOKUP($A155,보수일람표!$A:$M,9,FALSE),"")</f>
        <v>0</v>
      </c>
      <c r="U155" s="237">
        <f>IFERROR(VLOOKUP($A155,보수일람표!$A:$M,10,FALSE),"")</f>
        <v>0</v>
      </c>
      <c r="V155" s="237">
        <f>IFERROR(VLOOKUP($A155,보수일람표!$A:$M,11,FALSE),"")</f>
        <v>0</v>
      </c>
      <c r="W155" s="237">
        <f>IFERROR(VLOOKUP($A155,보수일람표!$A:$M,12,FALSE),"")</f>
        <v>0</v>
      </c>
      <c r="X155" s="237">
        <f>IFERROR(VLOOKUP($A155,보수일람표!$A:$M,13,FALSE),"")</f>
        <v>0</v>
      </c>
    </row>
    <row r="156" spans="1:24">
      <c r="A156" s="225">
        <v>154</v>
      </c>
      <c r="B156" s="233" t="str">
        <f>IFERROR(IF(F156="06",데이터입력!$AB$8,IF(F156="07",데이터입력!$AD$8,IF(F156="05",데이터입력!$AF$8,데이터입력!$AB$8))),데이터입력!$AB$8)</f>
        <v>00</v>
      </c>
      <c r="C156" s="684" t="str">
        <f>데이터입력!$AC$9</f>
        <v>일반사업[일반]</v>
      </c>
      <c r="D156" s="238" t="str">
        <f>IFERROR(VLOOKUP($A156,데이터입력!$A:$H,4,FALSE),"")</f>
        <v/>
      </c>
      <c r="E156" s="238" t="str">
        <f>IFERROR(VLOOKUP($A156,데이터입력!$A:$H,2,FALSE),"")</f>
        <v/>
      </c>
      <c r="F156" s="238" t="str">
        <f>IFERROR(VLOOKUP($A156,데이터입력!$A:$H,5,FALSE),"")</f>
        <v/>
      </c>
      <c r="G156" s="238" t="str">
        <f>IFERROR(VLOOKUP($A156,데이터입력!$A:$H,6,FALSE),"")</f>
        <v/>
      </c>
      <c r="H156" s="239" t="str">
        <f>IFERROR(VLOOKUP($A156,데이터입력!$A:$L,8,FALSE)+VLOOKUP($A156,데이터입력!$A:$L,9,FALSE)+VLOOKUP($A156,데이터입력!$A:$L,10,FALSE),"")</f>
        <v/>
      </c>
      <c r="I156" s="234" t="s">
        <v>136</v>
      </c>
      <c r="J156" s="234" t="s">
        <v>136</v>
      </c>
      <c r="K156" s="234" t="s">
        <v>136</v>
      </c>
      <c r="M156" s="235" t="str">
        <f>데이터입력!$AB$8</f>
        <v>00</v>
      </c>
      <c r="N156" s="238" t="str">
        <f>데이터입력!$AC$9</f>
        <v>일반사업[일반]</v>
      </c>
      <c r="O156" s="236" t="str">
        <f>IFERROR(VLOOKUP($A156,보수일람표!$A:$M,4,FALSE),"")</f>
        <v/>
      </c>
      <c r="P156" s="236" t="str">
        <f>IFERROR(VLOOKUP($A156,보수일람표!$A:$M,5,FALSE),"")</f>
        <v/>
      </c>
      <c r="Q156" s="923" t="str">
        <f>IFERROR(VLOOKUP($A156,보수일람표!$A:$M,6,FALSE),"")</f>
        <v/>
      </c>
      <c r="R156" s="236" t="str">
        <f>IFERROR(VLOOKUP($A156,보수일람표!$A:$M,7,FALSE),"")</f>
        <v>직접</v>
      </c>
      <c r="S156" s="236"/>
      <c r="T156" s="237">
        <f>IFERROR(VLOOKUP($A156,보수일람표!$A:$M,9,FALSE),"")</f>
        <v>0</v>
      </c>
      <c r="U156" s="237">
        <f>IFERROR(VLOOKUP($A156,보수일람표!$A:$M,10,FALSE),"")</f>
        <v>0</v>
      </c>
      <c r="V156" s="237">
        <f>IFERROR(VLOOKUP($A156,보수일람표!$A:$M,11,FALSE),"")</f>
        <v>0</v>
      </c>
      <c r="W156" s="237">
        <f>IFERROR(VLOOKUP($A156,보수일람표!$A:$M,12,FALSE),"")</f>
        <v>0</v>
      </c>
      <c r="X156" s="237">
        <f>IFERROR(VLOOKUP($A156,보수일람표!$A:$M,13,FALSE),"")</f>
        <v>0</v>
      </c>
    </row>
    <row r="157" spans="1:24">
      <c r="A157" s="225">
        <v>155</v>
      </c>
      <c r="B157" s="233" t="str">
        <f>IFERROR(IF(F157="06",데이터입력!$AB$8,IF(F157="07",데이터입력!$AD$8,IF(F157="05",데이터입력!$AF$8,데이터입력!$AB$8))),데이터입력!$AB$8)</f>
        <v>00</v>
      </c>
      <c r="C157" s="684" t="str">
        <f>데이터입력!$AC$9</f>
        <v>일반사업[일반]</v>
      </c>
      <c r="D157" s="238" t="str">
        <f>IFERROR(VLOOKUP($A157,데이터입력!$A:$H,4,FALSE),"")</f>
        <v/>
      </c>
      <c r="E157" s="238" t="str">
        <f>IFERROR(VLOOKUP($A157,데이터입력!$A:$H,2,FALSE),"")</f>
        <v/>
      </c>
      <c r="F157" s="238" t="str">
        <f>IFERROR(VLOOKUP($A157,데이터입력!$A:$H,5,FALSE),"")</f>
        <v/>
      </c>
      <c r="G157" s="238" t="str">
        <f>IFERROR(VLOOKUP($A157,데이터입력!$A:$H,6,FALSE),"")</f>
        <v/>
      </c>
      <c r="H157" s="239" t="str">
        <f>IFERROR(VLOOKUP($A157,데이터입력!$A:$L,8,FALSE)+VLOOKUP($A157,데이터입력!$A:$L,9,FALSE)+VLOOKUP($A157,데이터입력!$A:$L,10,FALSE),"")</f>
        <v/>
      </c>
      <c r="I157" s="234" t="s">
        <v>136</v>
      </c>
      <c r="J157" s="234" t="s">
        <v>136</v>
      </c>
      <c r="K157" s="234" t="s">
        <v>136</v>
      </c>
      <c r="M157" s="235" t="str">
        <f>데이터입력!$AB$8</f>
        <v>00</v>
      </c>
      <c r="N157" s="238" t="str">
        <f>데이터입력!$AC$9</f>
        <v>일반사업[일반]</v>
      </c>
      <c r="O157" s="236" t="str">
        <f>IFERROR(VLOOKUP($A157,보수일람표!$A:$M,4,FALSE),"")</f>
        <v/>
      </c>
      <c r="P157" s="236" t="str">
        <f>IFERROR(VLOOKUP($A157,보수일람표!$A:$M,5,FALSE),"")</f>
        <v/>
      </c>
      <c r="Q157" s="923" t="str">
        <f>IFERROR(VLOOKUP($A157,보수일람표!$A:$M,6,FALSE),"")</f>
        <v/>
      </c>
      <c r="R157" s="236" t="str">
        <f>IFERROR(VLOOKUP($A157,보수일람표!$A:$M,7,FALSE),"")</f>
        <v>직접</v>
      </c>
      <c r="S157" s="236"/>
      <c r="T157" s="237">
        <f>IFERROR(VLOOKUP($A157,보수일람표!$A:$M,9,FALSE),"")</f>
        <v>0</v>
      </c>
      <c r="U157" s="237">
        <f>IFERROR(VLOOKUP($A157,보수일람표!$A:$M,10,FALSE),"")</f>
        <v>0</v>
      </c>
      <c r="V157" s="237">
        <f>IFERROR(VLOOKUP($A157,보수일람표!$A:$M,11,FALSE),"")</f>
        <v>0</v>
      </c>
      <c r="W157" s="237">
        <f>IFERROR(VLOOKUP($A157,보수일람표!$A:$M,12,FALSE),"")</f>
        <v>0</v>
      </c>
      <c r="X157" s="237">
        <f>IFERROR(VLOOKUP($A157,보수일람표!$A:$M,13,FALSE),"")</f>
        <v>0</v>
      </c>
    </row>
    <row r="158" spans="1:24">
      <c r="A158" s="225">
        <v>156</v>
      </c>
      <c r="B158" s="233" t="str">
        <f>IFERROR(IF(F158="06",데이터입력!$AB$8,IF(F158="07",데이터입력!$AD$8,IF(F158="05",데이터입력!$AF$8,데이터입력!$AB$8))),데이터입력!$AB$8)</f>
        <v>00</v>
      </c>
      <c r="C158" s="684" t="str">
        <f>데이터입력!$AC$9</f>
        <v>일반사업[일반]</v>
      </c>
      <c r="D158" s="238" t="str">
        <f>IFERROR(VLOOKUP($A158,데이터입력!$A:$H,4,FALSE),"")</f>
        <v/>
      </c>
      <c r="E158" s="238" t="str">
        <f>IFERROR(VLOOKUP($A158,데이터입력!$A:$H,2,FALSE),"")</f>
        <v/>
      </c>
      <c r="F158" s="238" t="str">
        <f>IFERROR(VLOOKUP($A158,데이터입력!$A:$H,5,FALSE),"")</f>
        <v/>
      </c>
      <c r="G158" s="238" t="str">
        <f>IFERROR(VLOOKUP($A158,데이터입력!$A:$H,6,FALSE),"")</f>
        <v/>
      </c>
      <c r="H158" s="239" t="str">
        <f>IFERROR(VLOOKUP($A158,데이터입력!$A:$L,8,FALSE)+VLOOKUP($A158,데이터입력!$A:$L,9,FALSE)+VLOOKUP($A158,데이터입력!$A:$L,10,FALSE),"")</f>
        <v/>
      </c>
      <c r="I158" s="234" t="s">
        <v>136</v>
      </c>
      <c r="J158" s="234" t="s">
        <v>136</v>
      </c>
      <c r="K158" s="234" t="s">
        <v>136</v>
      </c>
      <c r="M158" s="235" t="str">
        <f>데이터입력!$AB$8</f>
        <v>00</v>
      </c>
      <c r="N158" s="238" t="str">
        <f>데이터입력!$AC$9</f>
        <v>일반사업[일반]</v>
      </c>
      <c r="O158" s="236" t="str">
        <f>IFERROR(VLOOKUP($A158,보수일람표!$A:$M,4,FALSE),"")</f>
        <v/>
      </c>
      <c r="P158" s="236" t="str">
        <f>IFERROR(VLOOKUP($A158,보수일람표!$A:$M,5,FALSE),"")</f>
        <v/>
      </c>
      <c r="Q158" s="923" t="str">
        <f>IFERROR(VLOOKUP($A158,보수일람표!$A:$M,6,FALSE),"")</f>
        <v/>
      </c>
      <c r="R158" s="236" t="str">
        <f>IFERROR(VLOOKUP($A158,보수일람표!$A:$M,7,FALSE),"")</f>
        <v>직접</v>
      </c>
      <c r="S158" s="236"/>
      <c r="T158" s="237">
        <f>IFERROR(VLOOKUP($A158,보수일람표!$A:$M,9,FALSE),"")</f>
        <v>0</v>
      </c>
      <c r="U158" s="237">
        <f>IFERROR(VLOOKUP($A158,보수일람표!$A:$M,10,FALSE),"")</f>
        <v>0</v>
      </c>
      <c r="V158" s="237">
        <f>IFERROR(VLOOKUP($A158,보수일람표!$A:$M,11,FALSE),"")</f>
        <v>0</v>
      </c>
      <c r="W158" s="237">
        <f>IFERROR(VLOOKUP($A158,보수일람표!$A:$M,12,FALSE),"")</f>
        <v>0</v>
      </c>
      <c r="X158" s="237">
        <f>IFERROR(VLOOKUP($A158,보수일람표!$A:$M,13,FALSE),"")</f>
        <v>0</v>
      </c>
    </row>
    <row r="159" spans="1:24">
      <c r="A159" s="225">
        <v>157</v>
      </c>
      <c r="B159" s="233" t="str">
        <f>IFERROR(IF(F159="06",데이터입력!$AB$8,IF(F159="07",데이터입력!$AD$8,IF(F159="05",데이터입력!$AF$8,데이터입력!$AB$8))),데이터입력!$AB$8)</f>
        <v>00</v>
      </c>
      <c r="C159" s="684" t="str">
        <f>데이터입력!$AC$9</f>
        <v>일반사업[일반]</v>
      </c>
      <c r="D159" s="238" t="str">
        <f>IFERROR(VLOOKUP($A159,데이터입력!$A:$H,4,FALSE),"")</f>
        <v/>
      </c>
      <c r="E159" s="238" t="str">
        <f>IFERROR(VLOOKUP($A159,데이터입력!$A:$H,2,FALSE),"")</f>
        <v/>
      </c>
      <c r="F159" s="238" t="str">
        <f>IFERROR(VLOOKUP($A159,데이터입력!$A:$H,5,FALSE),"")</f>
        <v/>
      </c>
      <c r="G159" s="238" t="str">
        <f>IFERROR(VLOOKUP($A159,데이터입력!$A:$H,6,FALSE),"")</f>
        <v/>
      </c>
      <c r="H159" s="239" t="str">
        <f>IFERROR(VLOOKUP($A159,데이터입력!$A:$L,8,FALSE)+VLOOKUP($A159,데이터입력!$A:$L,9,FALSE)+VLOOKUP($A159,데이터입력!$A:$L,10,FALSE),"")</f>
        <v/>
      </c>
      <c r="I159" s="234" t="s">
        <v>136</v>
      </c>
      <c r="J159" s="234" t="s">
        <v>136</v>
      </c>
      <c r="K159" s="234" t="s">
        <v>136</v>
      </c>
      <c r="M159" s="235" t="str">
        <f>데이터입력!$AB$8</f>
        <v>00</v>
      </c>
      <c r="N159" s="238" t="str">
        <f>데이터입력!$AC$9</f>
        <v>일반사업[일반]</v>
      </c>
      <c r="O159" s="236" t="str">
        <f>IFERROR(VLOOKUP($A159,보수일람표!$A:$M,4,FALSE),"")</f>
        <v/>
      </c>
      <c r="P159" s="236" t="str">
        <f>IFERROR(VLOOKUP($A159,보수일람표!$A:$M,5,FALSE),"")</f>
        <v/>
      </c>
      <c r="Q159" s="923" t="str">
        <f>IFERROR(VLOOKUP($A159,보수일람표!$A:$M,6,FALSE),"")</f>
        <v/>
      </c>
      <c r="R159" s="236" t="str">
        <f>IFERROR(VLOOKUP($A159,보수일람표!$A:$M,7,FALSE),"")</f>
        <v>직접</v>
      </c>
      <c r="S159" s="236"/>
      <c r="T159" s="237">
        <f>IFERROR(VLOOKUP($A159,보수일람표!$A:$M,9,FALSE),"")</f>
        <v>0</v>
      </c>
      <c r="U159" s="237">
        <f>IFERROR(VLOOKUP($A159,보수일람표!$A:$M,10,FALSE),"")</f>
        <v>0</v>
      </c>
      <c r="V159" s="237">
        <f>IFERROR(VLOOKUP($A159,보수일람표!$A:$M,11,FALSE),"")</f>
        <v>0</v>
      </c>
      <c r="W159" s="237">
        <f>IFERROR(VLOOKUP($A159,보수일람표!$A:$M,12,FALSE),"")</f>
        <v>0</v>
      </c>
      <c r="X159" s="237">
        <f>IFERROR(VLOOKUP($A159,보수일람표!$A:$M,13,FALSE),"")</f>
        <v>0</v>
      </c>
    </row>
    <row r="160" spans="1:24">
      <c r="A160" s="225">
        <v>158</v>
      </c>
      <c r="B160" s="233" t="str">
        <f>IFERROR(IF(F160="06",데이터입력!$AB$8,IF(F160="07",데이터입력!$AD$8,IF(F160="05",데이터입력!$AF$8,데이터입력!$AB$8))),데이터입력!$AB$8)</f>
        <v>00</v>
      </c>
      <c r="C160" s="684" t="str">
        <f>데이터입력!$AC$9</f>
        <v>일반사업[일반]</v>
      </c>
      <c r="D160" s="238" t="str">
        <f>IFERROR(VLOOKUP($A160,데이터입력!$A:$H,4,FALSE),"")</f>
        <v/>
      </c>
      <c r="E160" s="238" t="str">
        <f>IFERROR(VLOOKUP($A160,데이터입력!$A:$H,2,FALSE),"")</f>
        <v/>
      </c>
      <c r="F160" s="238" t="str">
        <f>IFERROR(VLOOKUP($A160,데이터입력!$A:$H,5,FALSE),"")</f>
        <v/>
      </c>
      <c r="G160" s="238" t="str">
        <f>IFERROR(VLOOKUP($A160,데이터입력!$A:$H,6,FALSE),"")</f>
        <v/>
      </c>
      <c r="H160" s="239" t="str">
        <f>IFERROR(VLOOKUP($A160,데이터입력!$A:$L,8,FALSE)+VLOOKUP($A160,데이터입력!$A:$L,9,FALSE)+VLOOKUP($A160,데이터입력!$A:$L,10,FALSE),"")</f>
        <v/>
      </c>
      <c r="I160" s="234" t="s">
        <v>136</v>
      </c>
      <c r="J160" s="234" t="s">
        <v>136</v>
      </c>
      <c r="K160" s="234" t="s">
        <v>136</v>
      </c>
      <c r="M160" s="235" t="str">
        <f>데이터입력!$AB$8</f>
        <v>00</v>
      </c>
      <c r="N160" s="238" t="str">
        <f>데이터입력!$AC$9</f>
        <v>일반사업[일반]</v>
      </c>
      <c r="O160" s="236" t="str">
        <f>IFERROR(VLOOKUP($A160,보수일람표!$A:$M,4,FALSE),"")</f>
        <v/>
      </c>
      <c r="P160" s="236" t="str">
        <f>IFERROR(VLOOKUP($A160,보수일람표!$A:$M,5,FALSE),"")</f>
        <v/>
      </c>
      <c r="Q160" s="923" t="str">
        <f>IFERROR(VLOOKUP($A160,보수일람표!$A:$M,6,FALSE),"")</f>
        <v/>
      </c>
      <c r="R160" s="236" t="str">
        <f>IFERROR(VLOOKUP($A160,보수일람표!$A:$M,7,FALSE),"")</f>
        <v>직접</v>
      </c>
      <c r="S160" s="236"/>
      <c r="T160" s="237">
        <f>IFERROR(VLOOKUP($A160,보수일람표!$A:$M,9,FALSE),"")</f>
        <v>0</v>
      </c>
      <c r="U160" s="237">
        <f>IFERROR(VLOOKUP($A160,보수일람표!$A:$M,10,FALSE),"")</f>
        <v>0</v>
      </c>
      <c r="V160" s="237">
        <f>IFERROR(VLOOKUP($A160,보수일람표!$A:$M,11,FALSE),"")</f>
        <v>0</v>
      </c>
      <c r="W160" s="237">
        <f>IFERROR(VLOOKUP($A160,보수일람표!$A:$M,12,FALSE),"")</f>
        <v>0</v>
      </c>
      <c r="X160" s="237">
        <f>IFERROR(VLOOKUP($A160,보수일람표!$A:$M,13,FALSE),"")</f>
        <v>0</v>
      </c>
    </row>
    <row r="161" spans="1:24">
      <c r="A161" s="225">
        <v>159</v>
      </c>
      <c r="B161" s="233" t="str">
        <f>IFERROR(IF(F161="06",데이터입력!$AB$8,IF(F161="07",데이터입력!$AD$8,IF(F161="05",데이터입력!$AF$8,데이터입력!$AB$8))),데이터입력!$AB$8)</f>
        <v>00</v>
      </c>
      <c r="C161" s="684" t="str">
        <f>데이터입력!$AC$9</f>
        <v>일반사업[일반]</v>
      </c>
      <c r="D161" s="238" t="str">
        <f>IFERROR(VLOOKUP($A161,데이터입력!$A:$H,4,FALSE),"")</f>
        <v/>
      </c>
      <c r="E161" s="238" t="str">
        <f>IFERROR(VLOOKUP($A161,데이터입력!$A:$H,2,FALSE),"")</f>
        <v/>
      </c>
      <c r="F161" s="238" t="str">
        <f>IFERROR(VLOOKUP($A161,데이터입력!$A:$H,5,FALSE),"")</f>
        <v/>
      </c>
      <c r="G161" s="238" t="str">
        <f>IFERROR(VLOOKUP($A161,데이터입력!$A:$H,6,FALSE),"")</f>
        <v/>
      </c>
      <c r="H161" s="239" t="str">
        <f>IFERROR(VLOOKUP($A161,데이터입력!$A:$L,8,FALSE)+VLOOKUP($A161,데이터입력!$A:$L,9,FALSE)+VLOOKUP($A161,데이터입력!$A:$L,10,FALSE),"")</f>
        <v/>
      </c>
      <c r="I161" s="234" t="s">
        <v>136</v>
      </c>
      <c r="J161" s="234" t="s">
        <v>136</v>
      </c>
      <c r="K161" s="234" t="s">
        <v>136</v>
      </c>
      <c r="M161" s="235" t="str">
        <f>데이터입력!$AB$8</f>
        <v>00</v>
      </c>
      <c r="N161" s="238" t="str">
        <f>데이터입력!$AC$9</f>
        <v>일반사업[일반]</v>
      </c>
      <c r="O161" s="236" t="str">
        <f>IFERROR(VLOOKUP($A161,보수일람표!$A:$M,4,FALSE),"")</f>
        <v/>
      </c>
      <c r="P161" s="236" t="str">
        <f>IFERROR(VLOOKUP($A161,보수일람표!$A:$M,5,FALSE),"")</f>
        <v/>
      </c>
      <c r="Q161" s="923" t="str">
        <f>IFERROR(VLOOKUP($A161,보수일람표!$A:$M,6,FALSE),"")</f>
        <v/>
      </c>
      <c r="R161" s="236" t="str">
        <f>IFERROR(VLOOKUP($A161,보수일람표!$A:$M,7,FALSE),"")</f>
        <v>직접</v>
      </c>
      <c r="S161" s="236"/>
      <c r="T161" s="237">
        <f>IFERROR(VLOOKUP($A161,보수일람표!$A:$M,9,FALSE),"")</f>
        <v>0</v>
      </c>
      <c r="U161" s="237">
        <f>IFERROR(VLOOKUP($A161,보수일람표!$A:$M,10,FALSE),"")</f>
        <v>0</v>
      </c>
      <c r="V161" s="237">
        <f>IFERROR(VLOOKUP($A161,보수일람표!$A:$M,11,FALSE),"")</f>
        <v>0</v>
      </c>
      <c r="W161" s="237">
        <f>IFERROR(VLOOKUP($A161,보수일람표!$A:$M,12,FALSE),"")</f>
        <v>0</v>
      </c>
      <c r="X161" s="237">
        <f>IFERROR(VLOOKUP($A161,보수일람표!$A:$M,13,FALSE),"")</f>
        <v>0</v>
      </c>
    </row>
    <row r="162" spans="1:24">
      <c r="A162" s="225">
        <v>160</v>
      </c>
      <c r="B162" s="233" t="str">
        <f>IFERROR(IF(F162="06",데이터입력!$AB$8,IF(F162="07",데이터입력!$AD$8,IF(F162="05",데이터입력!$AF$8,데이터입력!$AB$8))),데이터입력!$AB$8)</f>
        <v>00</v>
      </c>
      <c r="C162" s="684" t="str">
        <f>데이터입력!$AC$9</f>
        <v>일반사업[일반]</v>
      </c>
      <c r="D162" s="238" t="str">
        <f>IFERROR(VLOOKUP($A162,데이터입력!$A:$H,4,FALSE),"")</f>
        <v/>
      </c>
      <c r="E162" s="238" t="str">
        <f>IFERROR(VLOOKUP($A162,데이터입력!$A:$H,2,FALSE),"")</f>
        <v/>
      </c>
      <c r="F162" s="238" t="str">
        <f>IFERROR(VLOOKUP($A162,데이터입력!$A:$H,5,FALSE),"")</f>
        <v/>
      </c>
      <c r="G162" s="238" t="str">
        <f>IFERROR(VLOOKUP($A162,데이터입력!$A:$H,6,FALSE),"")</f>
        <v/>
      </c>
      <c r="H162" s="239" t="str">
        <f>IFERROR(VLOOKUP($A162,데이터입력!$A:$L,8,FALSE)+VLOOKUP($A162,데이터입력!$A:$L,9,FALSE)+VLOOKUP($A162,데이터입력!$A:$L,10,FALSE),"")</f>
        <v/>
      </c>
      <c r="I162" s="234" t="s">
        <v>136</v>
      </c>
      <c r="J162" s="234" t="s">
        <v>136</v>
      </c>
      <c r="K162" s="234" t="s">
        <v>136</v>
      </c>
      <c r="M162" s="235" t="str">
        <f>데이터입력!$AB$8</f>
        <v>00</v>
      </c>
      <c r="N162" s="238" t="str">
        <f>데이터입력!$AC$9</f>
        <v>일반사업[일반]</v>
      </c>
      <c r="O162" s="236" t="str">
        <f>IFERROR(VLOOKUP($A162,보수일람표!$A:$M,4,FALSE),"")</f>
        <v/>
      </c>
      <c r="P162" s="236" t="str">
        <f>IFERROR(VLOOKUP($A162,보수일람표!$A:$M,5,FALSE),"")</f>
        <v/>
      </c>
      <c r="Q162" s="923" t="str">
        <f>IFERROR(VLOOKUP($A162,보수일람표!$A:$M,6,FALSE),"")</f>
        <v/>
      </c>
      <c r="R162" s="236" t="str">
        <f>IFERROR(VLOOKUP($A162,보수일람표!$A:$M,7,FALSE),"")</f>
        <v>직접</v>
      </c>
      <c r="S162" s="236"/>
      <c r="T162" s="237">
        <f>IFERROR(VLOOKUP($A162,보수일람표!$A:$M,9,FALSE),"")</f>
        <v>0</v>
      </c>
      <c r="U162" s="237">
        <f>IFERROR(VLOOKUP($A162,보수일람표!$A:$M,10,FALSE),"")</f>
        <v>0</v>
      </c>
      <c r="V162" s="237">
        <f>IFERROR(VLOOKUP($A162,보수일람표!$A:$M,11,FALSE),"")</f>
        <v>0</v>
      </c>
      <c r="W162" s="237">
        <f>IFERROR(VLOOKUP($A162,보수일람표!$A:$M,12,FALSE),"")</f>
        <v>0</v>
      </c>
      <c r="X162" s="237">
        <f>IFERROR(VLOOKUP($A162,보수일람표!$A:$M,13,FALSE),"")</f>
        <v>0</v>
      </c>
    </row>
    <row r="163" spans="1:24">
      <c r="A163" s="225">
        <v>161</v>
      </c>
      <c r="B163" s="233" t="str">
        <f>IFERROR(IF(F163="06",데이터입력!$AB$8,IF(F163="07",데이터입력!$AD$8,IF(F163="05",데이터입력!$AF$8,데이터입력!$AB$8))),데이터입력!$AB$8)</f>
        <v>00</v>
      </c>
      <c r="C163" s="684" t="str">
        <f>데이터입력!$AC$9</f>
        <v>일반사업[일반]</v>
      </c>
      <c r="D163" s="238" t="str">
        <f>IFERROR(VLOOKUP($A163,데이터입력!$A:$H,4,FALSE),"")</f>
        <v/>
      </c>
      <c r="E163" s="238" t="str">
        <f>IFERROR(VLOOKUP($A163,데이터입력!$A:$H,2,FALSE),"")</f>
        <v/>
      </c>
      <c r="F163" s="238" t="str">
        <f>IFERROR(VLOOKUP($A163,데이터입력!$A:$H,5,FALSE),"")</f>
        <v/>
      </c>
      <c r="G163" s="238" t="str">
        <f>IFERROR(VLOOKUP($A163,데이터입력!$A:$H,6,FALSE),"")</f>
        <v/>
      </c>
      <c r="H163" s="239" t="str">
        <f>IFERROR(VLOOKUP($A163,데이터입력!$A:$L,8,FALSE)+VLOOKUP($A163,데이터입력!$A:$L,9,FALSE)+VLOOKUP($A163,데이터입력!$A:$L,10,FALSE),"")</f>
        <v/>
      </c>
      <c r="I163" s="234" t="s">
        <v>136</v>
      </c>
      <c r="J163" s="234" t="s">
        <v>136</v>
      </c>
      <c r="K163" s="234" t="s">
        <v>136</v>
      </c>
      <c r="M163" s="235" t="str">
        <f>데이터입력!$AB$8</f>
        <v>00</v>
      </c>
      <c r="N163" s="238" t="str">
        <f>데이터입력!$AC$9</f>
        <v>일반사업[일반]</v>
      </c>
      <c r="O163" s="236" t="str">
        <f>IFERROR(VLOOKUP($A163,보수일람표!$A:$M,4,FALSE),"")</f>
        <v/>
      </c>
      <c r="P163" s="236" t="str">
        <f>IFERROR(VLOOKUP($A163,보수일람표!$A:$M,5,FALSE),"")</f>
        <v/>
      </c>
      <c r="Q163" s="923" t="str">
        <f>IFERROR(VLOOKUP($A163,보수일람표!$A:$M,6,FALSE),"")</f>
        <v/>
      </c>
      <c r="R163" s="236" t="str">
        <f>IFERROR(VLOOKUP($A163,보수일람표!$A:$M,7,FALSE),"")</f>
        <v>직접</v>
      </c>
      <c r="S163" s="236"/>
      <c r="T163" s="237">
        <f>IFERROR(VLOOKUP($A163,보수일람표!$A:$M,9,FALSE),"")</f>
        <v>0</v>
      </c>
      <c r="U163" s="237">
        <f>IFERROR(VLOOKUP($A163,보수일람표!$A:$M,10,FALSE),"")</f>
        <v>0</v>
      </c>
      <c r="V163" s="237">
        <f>IFERROR(VLOOKUP($A163,보수일람표!$A:$M,11,FALSE),"")</f>
        <v>0</v>
      </c>
      <c r="W163" s="237">
        <f>IFERROR(VLOOKUP($A163,보수일람표!$A:$M,12,FALSE),"")</f>
        <v>0</v>
      </c>
      <c r="X163" s="237">
        <f>IFERROR(VLOOKUP($A163,보수일람표!$A:$M,13,FALSE),"")</f>
        <v>0</v>
      </c>
    </row>
    <row r="164" spans="1:24">
      <c r="A164" s="225">
        <v>162</v>
      </c>
      <c r="B164" s="233" t="str">
        <f>IFERROR(IF(F164="06",데이터입력!$AB$8,IF(F164="07",데이터입력!$AD$8,IF(F164="05",데이터입력!$AF$8,데이터입력!$AB$8))),데이터입력!$AB$8)</f>
        <v>00</v>
      </c>
      <c r="C164" s="684" t="str">
        <f>데이터입력!$AC$9</f>
        <v>일반사업[일반]</v>
      </c>
      <c r="D164" s="238" t="str">
        <f>IFERROR(VLOOKUP($A164,데이터입력!$A:$H,4,FALSE),"")</f>
        <v/>
      </c>
      <c r="E164" s="238" t="str">
        <f>IFERROR(VLOOKUP($A164,데이터입력!$A:$H,2,FALSE),"")</f>
        <v/>
      </c>
      <c r="F164" s="238" t="str">
        <f>IFERROR(VLOOKUP($A164,데이터입력!$A:$H,5,FALSE),"")</f>
        <v/>
      </c>
      <c r="G164" s="238" t="str">
        <f>IFERROR(VLOOKUP($A164,데이터입력!$A:$H,6,FALSE),"")</f>
        <v/>
      </c>
      <c r="H164" s="239" t="str">
        <f>IFERROR(VLOOKUP($A164,데이터입력!$A:$L,8,FALSE)+VLOOKUP($A164,데이터입력!$A:$L,9,FALSE)+VLOOKUP($A164,데이터입력!$A:$L,10,FALSE),"")</f>
        <v/>
      </c>
      <c r="I164" s="234" t="s">
        <v>136</v>
      </c>
      <c r="J164" s="234" t="s">
        <v>136</v>
      </c>
      <c r="K164" s="234" t="s">
        <v>136</v>
      </c>
      <c r="M164" s="235" t="str">
        <f>데이터입력!$AB$8</f>
        <v>00</v>
      </c>
      <c r="N164" s="238" t="str">
        <f>데이터입력!$AC$9</f>
        <v>일반사업[일반]</v>
      </c>
      <c r="O164" s="236" t="str">
        <f>IFERROR(VLOOKUP($A164,보수일람표!$A:$M,4,FALSE),"")</f>
        <v/>
      </c>
      <c r="P164" s="236" t="str">
        <f>IFERROR(VLOOKUP($A164,보수일람표!$A:$M,5,FALSE),"")</f>
        <v/>
      </c>
      <c r="Q164" s="923" t="str">
        <f>IFERROR(VLOOKUP($A164,보수일람표!$A:$M,6,FALSE),"")</f>
        <v/>
      </c>
      <c r="R164" s="236" t="str">
        <f>IFERROR(VLOOKUP($A164,보수일람표!$A:$M,7,FALSE),"")</f>
        <v>직접</v>
      </c>
      <c r="S164" s="236"/>
      <c r="T164" s="237">
        <f>IFERROR(VLOOKUP($A164,보수일람표!$A:$M,9,FALSE),"")</f>
        <v>0</v>
      </c>
      <c r="U164" s="237">
        <f>IFERROR(VLOOKUP($A164,보수일람표!$A:$M,10,FALSE),"")</f>
        <v>0</v>
      </c>
      <c r="V164" s="237">
        <f>IFERROR(VLOOKUP($A164,보수일람표!$A:$M,11,FALSE),"")</f>
        <v>0</v>
      </c>
      <c r="W164" s="237">
        <f>IFERROR(VLOOKUP($A164,보수일람표!$A:$M,12,FALSE),"")</f>
        <v>0</v>
      </c>
      <c r="X164" s="237">
        <f>IFERROR(VLOOKUP($A164,보수일람표!$A:$M,13,FALSE),"")</f>
        <v>0</v>
      </c>
    </row>
    <row r="165" spans="1:24">
      <c r="A165" s="225">
        <v>163</v>
      </c>
      <c r="M165" s="235" t="str">
        <f>데이터입력!$AB$8</f>
        <v>00</v>
      </c>
      <c r="N165" s="238" t="str">
        <f>데이터입력!$AC$9</f>
        <v>일반사업[일반]</v>
      </c>
      <c r="O165" s="236" t="str">
        <f>IFERROR(VLOOKUP($A165,보수일람표!$A:$M,4,FALSE),"")</f>
        <v/>
      </c>
      <c r="P165" s="236" t="str">
        <f>IFERROR(VLOOKUP($A165,보수일람표!$A:$M,5,FALSE),"")</f>
        <v/>
      </c>
      <c r="Q165" s="923" t="str">
        <f>IFERROR(VLOOKUP($A165,보수일람표!$A:$M,6,FALSE),"")</f>
        <v/>
      </c>
      <c r="R165" s="236" t="str">
        <f>IFERROR(VLOOKUP($A165,보수일람표!$A:$M,7,FALSE),"")</f>
        <v>직접</v>
      </c>
      <c r="S165" s="236"/>
      <c r="T165" s="237">
        <f>IFERROR(VLOOKUP($A165,보수일람표!$A:$M,9,FALSE),"")</f>
        <v>0</v>
      </c>
      <c r="U165" s="237">
        <f>IFERROR(VLOOKUP($A165,보수일람표!$A:$M,10,FALSE),"")</f>
        <v>0</v>
      </c>
      <c r="V165" s="237">
        <f>IFERROR(VLOOKUP($A165,보수일람표!$A:$M,11,FALSE),"")</f>
        <v>0</v>
      </c>
      <c r="W165" s="237">
        <f>IFERROR(VLOOKUP($A165,보수일람표!$A:$M,12,FALSE),"")</f>
        <v>0</v>
      </c>
      <c r="X165" s="237">
        <f>IFERROR(VLOOKUP($A165,보수일람표!$A:$M,13,FALSE),"")</f>
        <v>0</v>
      </c>
    </row>
    <row r="166" spans="1:24">
      <c r="A166" s="225">
        <v>164</v>
      </c>
      <c r="M166" s="235" t="str">
        <f>데이터입력!$AB$8</f>
        <v>00</v>
      </c>
      <c r="N166" s="238" t="str">
        <f>데이터입력!$AC$9</f>
        <v>일반사업[일반]</v>
      </c>
      <c r="O166" s="236" t="str">
        <f>IFERROR(VLOOKUP($A166,보수일람표!$A:$M,4,FALSE),"")</f>
        <v/>
      </c>
      <c r="P166" s="236" t="str">
        <f>IFERROR(VLOOKUP($A166,보수일람표!$A:$M,5,FALSE),"")</f>
        <v/>
      </c>
      <c r="Q166" s="923" t="str">
        <f>IFERROR(VLOOKUP($A166,보수일람표!$A:$M,6,FALSE),"")</f>
        <v/>
      </c>
      <c r="R166" s="236" t="str">
        <f>IFERROR(VLOOKUP($A166,보수일람표!$A:$M,7,FALSE),"")</f>
        <v>직접</v>
      </c>
      <c r="S166" s="236"/>
      <c r="T166" s="237">
        <f>IFERROR(VLOOKUP($A166,보수일람표!$A:$M,9,FALSE),"")</f>
        <v>0</v>
      </c>
      <c r="U166" s="237">
        <f>IFERROR(VLOOKUP($A166,보수일람표!$A:$M,10,FALSE),"")</f>
        <v>0</v>
      </c>
      <c r="V166" s="237">
        <f>IFERROR(VLOOKUP($A166,보수일람표!$A:$M,11,FALSE),"")</f>
        <v>0</v>
      </c>
      <c r="W166" s="237">
        <f>IFERROR(VLOOKUP($A166,보수일람표!$A:$M,12,FALSE),"")</f>
        <v>0</v>
      </c>
      <c r="X166" s="237">
        <f>IFERROR(VLOOKUP($A166,보수일람표!$A:$M,13,FALSE),"")</f>
        <v>0</v>
      </c>
    </row>
    <row r="167" spans="1:24">
      <c r="A167" s="225">
        <v>165</v>
      </c>
      <c r="M167" s="235" t="str">
        <f>데이터입력!$AB$8</f>
        <v>00</v>
      </c>
      <c r="N167" s="238" t="str">
        <f>데이터입력!$AC$9</f>
        <v>일반사업[일반]</v>
      </c>
      <c r="O167" s="236" t="str">
        <f>IFERROR(VLOOKUP($A167,보수일람표!$A:$M,4,FALSE),"")</f>
        <v/>
      </c>
      <c r="P167" s="236" t="str">
        <f>IFERROR(VLOOKUP($A167,보수일람표!$A:$M,5,FALSE),"")</f>
        <v/>
      </c>
      <c r="Q167" s="923" t="str">
        <f>IFERROR(VLOOKUP($A167,보수일람표!$A:$M,6,FALSE),"")</f>
        <v/>
      </c>
      <c r="R167" s="236" t="str">
        <f>IFERROR(VLOOKUP($A167,보수일람표!$A:$M,7,FALSE),"")</f>
        <v>직접</v>
      </c>
      <c r="S167" s="236"/>
      <c r="T167" s="237">
        <f>IFERROR(VLOOKUP($A167,보수일람표!$A:$M,9,FALSE),"")</f>
        <v>0</v>
      </c>
      <c r="U167" s="237">
        <f>IFERROR(VLOOKUP($A167,보수일람표!$A:$M,10,FALSE),"")</f>
        <v>0</v>
      </c>
      <c r="V167" s="237">
        <f>IFERROR(VLOOKUP($A167,보수일람표!$A:$M,11,FALSE),"")</f>
        <v>0</v>
      </c>
      <c r="W167" s="237">
        <f>IFERROR(VLOOKUP($A167,보수일람표!$A:$M,12,FALSE),"")</f>
        <v>0</v>
      </c>
      <c r="X167" s="237">
        <f>IFERROR(VLOOKUP($A167,보수일람표!$A:$M,13,FALSE),"")</f>
        <v>0</v>
      </c>
    </row>
    <row r="168" spans="1:24">
      <c r="A168" s="225">
        <v>166</v>
      </c>
      <c r="M168" s="235" t="str">
        <f>데이터입력!$AB$8</f>
        <v>00</v>
      </c>
      <c r="N168" s="238" t="str">
        <f>데이터입력!$AC$9</f>
        <v>일반사업[일반]</v>
      </c>
      <c r="O168" s="236" t="str">
        <f>IFERROR(VLOOKUP($A168,보수일람표!$A:$M,4,FALSE),"")</f>
        <v/>
      </c>
      <c r="P168" s="236" t="str">
        <f>IFERROR(VLOOKUP($A168,보수일람표!$A:$M,5,FALSE),"")</f>
        <v/>
      </c>
      <c r="Q168" s="923" t="str">
        <f>IFERROR(VLOOKUP($A168,보수일람표!$A:$M,6,FALSE),"")</f>
        <v/>
      </c>
      <c r="R168" s="236" t="str">
        <f>IFERROR(VLOOKUP($A168,보수일람표!$A:$M,7,FALSE),"")</f>
        <v>직접</v>
      </c>
      <c r="S168" s="236"/>
      <c r="T168" s="237">
        <f>IFERROR(VLOOKUP($A168,보수일람표!$A:$M,9,FALSE),"")</f>
        <v>0</v>
      </c>
      <c r="U168" s="237">
        <f>IFERROR(VLOOKUP($A168,보수일람표!$A:$M,10,FALSE),"")</f>
        <v>0</v>
      </c>
      <c r="V168" s="237">
        <f>IFERROR(VLOOKUP($A168,보수일람표!$A:$M,11,FALSE),"")</f>
        <v>0</v>
      </c>
      <c r="W168" s="237">
        <f>IFERROR(VLOOKUP($A168,보수일람표!$A:$M,12,FALSE),"")</f>
        <v>0</v>
      </c>
      <c r="X168" s="237">
        <f>IFERROR(VLOOKUP($A168,보수일람표!$A:$M,13,FALSE),"")</f>
        <v>0</v>
      </c>
    </row>
    <row r="169" spans="1:24">
      <c r="A169" s="225">
        <v>167</v>
      </c>
      <c r="M169" s="235" t="str">
        <f>데이터입력!$AB$8</f>
        <v>00</v>
      </c>
      <c r="N169" s="238" t="str">
        <f>데이터입력!$AC$9</f>
        <v>일반사업[일반]</v>
      </c>
      <c r="O169" s="236" t="str">
        <f>IFERROR(VLOOKUP($A169,보수일람표!$A:$M,4,FALSE),"")</f>
        <v/>
      </c>
      <c r="P169" s="236" t="str">
        <f>IFERROR(VLOOKUP($A169,보수일람표!$A:$M,5,FALSE),"")</f>
        <v/>
      </c>
      <c r="Q169" s="923" t="str">
        <f>IFERROR(VLOOKUP($A169,보수일람표!$A:$M,6,FALSE),"")</f>
        <v/>
      </c>
      <c r="R169" s="236" t="str">
        <f>IFERROR(VLOOKUP($A169,보수일람표!$A:$M,7,FALSE),"")</f>
        <v>직접</v>
      </c>
      <c r="S169" s="236"/>
      <c r="T169" s="237">
        <f>IFERROR(VLOOKUP($A169,보수일람표!$A:$M,9,FALSE),"")</f>
        <v>0</v>
      </c>
      <c r="U169" s="237">
        <f>IFERROR(VLOOKUP($A169,보수일람표!$A:$M,10,FALSE),"")</f>
        <v>0</v>
      </c>
      <c r="V169" s="237">
        <f>IFERROR(VLOOKUP($A169,보수일람표!$A:$M,11,FALSE),"")</f>
        <v>0</v>
      </c>
      <c r="W169" s="237">
        <f>IFERROR(VLOOKUP($A169,보수일람표!$A:$M,12,FALSE),"")</f>
        <v>0</v>
      </c>
      <c r="X169" s="237">
        <f>IFERROR(VLOOKUP($A169,보수일람표!$A:$M,13,FALSE),"")</f>
        <v>0</v>
      </c>
    </row>
    <row r="170" spans="1:24">
      <c r="A170" s="225">
        <v>168</v>
      </c>
      <c r="M170" s="235" t="str">
        <f>데이터입력!$AB$8</f>
        <v>00</v>
      </c>
      <c r="N170" s="238" t="str">
        <f>데이터입력!$AC$9</f>
        <v>일반사업[일반]</v>
      </c>
      <c r="O170" s="236" t="str">
        <f>IFERROR(VLOOKUP($A170,보수일람표!$A:$M,4,FALSE),"")</f>
        <v/>
      </c>
      <c r="P170" s="236" t="str">
        <f>IFERROR(VLOOKUP($A170,보수일람표!$A:$M,5,FALSE),"")</f>
        <v/>
      </c>
      <c r="Q170" s="923" t="str">
        <f>IFERROR(VLOOKUP($A170,보수일람표!$A:$M,6,FALSE),"")</f>
        <v/>
      </c>
      <c r="R170" s="236" t="str">
        <f>IFERROR(VLOOKUP($A170,보수일람표!$A:$M,7,FALSE),"")</f>
        <v>직접</v>
      </c>
      <c r="S170" s="236"/>
      <c r="T170" s="237">
        <f>IFERROR(VLOOKUP($A170,보수일람표!$A:$M,9,FALSE),"")</f>
        <v>0</v>
      </c>
      <c r="U170" s="237">
        <f>IFERROR(VLOOKUP($A170,보수일람표!$A:$M,10,FALSE),"")</f>
        <v>0</v>
      </c>
      <c r="V170" s="237">
        <f>IFERROR(VLOOKUP($A170,보수일람표!$A:$M,11,FALSE),"")</f>
        <v>0</v>
      </c>
      <c r="W170" s="237">
        <f>IFERROR(VLOOKUP($A170,보수일람표!$A:$M,12,FALSE),"")</f>
        <v>0</v>
      </c>
      <c r="X170" s="237">
        <f>IFERROR(VLOOKUP($A170,보수일람표!$A:$M,13,FALSE),"")</f>
        <v>0</v>
      </c>
    </row>
    <row r="171" spans="1:24">
      <c r="A171" s="225">
        <v>169</v>
      </c>
      <c r="M171" s="235" t="str">
        <f>데이터입력!$AB$8</f>
        <v>00</v>
      </c>
      <c r="N171" s="238" t="str">
        <f>데이터입력!$AC$9</f>
        <v>일반사업[일반]</v>
      </c>
      <c r="O171" s="236" t="str">
        <f>IFERROR(VLOOKUP($A171,보수일람표!$A:$M,4,FALSE),"")</f>
        <v/>
      </c>
      <c r="P171" s="236" t="str">
        <f>IFERROR(VLOOKUP($A171,보수일람표!$A:$M,5,FALSE),"")</f>
        <v/>
      </c>
      <c r="Q171" s="923" t="str">
        <f>IFERROR(VLOOKUP($A171,보수일람표!$A:$M,6,FALSE),"")</f>
        <v/>
      </c>
      <c r="R171" s="236" t="str">
        <f>IFERROR(VLOOKUP($A171,보수일람표!$A:$M,7,FALSE),"")</f>
        <v>직접</v>
      </c>
      <c r="S171" s="236"/>
      <c r="T171" s="237">
        <f>IFERROR(VLOOKUP($A171,보수일람표!$A:$M,9,FALSE),"")</f>
        <v>0</v>
      </c>
      <c r="U171" s="237">
        <f>IFERROR(VLOOKUP($A171,보수일람표!$A:$M,10,FALSE),"")</f>
        <v>0</v>
      </c>
      <c r="V171" s="237">
        <f>IFERROR(VLOOKUP($A171,보수일람표!$A:$M,11,FALSE),"")</f>
        <v>0</v>
      </c>
      <c r="W171" s="237">
        <f>IFERROR(VLOOKUP($A171,보수일람표!$A:$M,12,FALSE),"")</f>
        <v>0</v>
      </c>
      <c r="X171" s="237">
        <f>IFERROR(VLOOKUP($A171,보수일람표!$A:$M,13,FALSE),"")</f>
        <v>0</v>
      </c>
    </row>
    <row r="172" spans="1:24">
      <c r="A172" s="225">
        <v>170</v>
      </c>
      <c r="M172" s="235" t="str">
        <f>데이터입력!$AB$8</f>
        <v>00</v>
      </c>
      <c r="N172" s="238" t="str">
        <f>데이터입력!$AC$9</f>
        <v>일반사업[일반]</v>
      </c>
      <c r="O172" s="236" t="str">
        <f>IFERROR(VLOOKUP($A172,보수일람표!$A:$M,4,FALSE),"")</f>
        <v/>
      </c>
      <c r="P172" s="236" t="str">
        <f>IFERROR(VLOOKUP($A172,보수일람표!$A:$M,5,FALSE),"")</f>
        <v/>
      </c>
      <c r="Q172" s="923" t="str">
        <f>IFERROR(VLOOKUP($A172,보수일람표!$A:$M,6,FALSE),"")</f>
        <v/>
      </c>
      <c r="R172" s="236" t="str">
        <f>IFERROR(VLOOKUP($A172,보수일람표!$A:$M,7,FALSE),"")</f>
        <v>직접</v>
      </c>
      <c r="S172" s="236"/>
      <c r="T172" s="237">
        <f>IFERROR(VLOOKUP($A172,보수일람표!$A:$M,9,FALSE),"")</f>
        <v>0</v>
      </c>
      <c r="U172" s="237">
        <f>IFERROR(VLOOKUP($A172,보수일람표!$A:$M,10,FALSE),"")</f>
        <v>0</v>
      </c>
      <c r="V172" s="237">
        <f>IFERROR(VLOOKUP($A172,보수일람표!$A:$M,11,FALSE),"")</f>
        <v>0</v>
      </c>
      <c r="W172" s="237">
        <f>IFERROR(VLOOKUP($A172,보수일람표!$A:$M,12,FALSE),"")</f>
        <v>0</v>
      </c>
      <c r="X172" s="237">
        <f>IFERROR(VLOOKUP($A172,보수일람표!$A:$M,13,FALSE),"")</f>
        <v>0</v>
      </c>
    </row>
    <row r="173" spans="1:24">
      <c r="A173" s="225">
        <v>171</v>
      </c>
      <c r="M173" s="235" t="str">
        <f>데이터입력!$AB$8</f>
        <v>00</v>
      </c>
      <c r="N173" s="238" t="str">
        <f>데이터입력!$AC$9</f>
        <v>일반사업[일반]</v>
      </c>
      <c r="O173" s="236" t="str">
        <f>IFERROR(VLOOKUP($A173,보수일람표!$A:$M,4,FALSE),"")</f>
        <v/>
      </c>
      <c r="P173" s="236" t="str">
        <f>IFERROR(VLOOKUP($A173,보수일람표!$A:$M,5,FALSE),"")</f>
        <v/>
      </c>
      <c r="Q173" s="923" t="str">
        <f>IFERROR(VLOOKUP($A173,보수일람표!$A:$M,6,FALSE),"")</f>
        <v/>
      </c>
      <c r="R173" s="236" t="str">
        <f>IFERROR(VLOOKUP($A173,보수일람표!$A:$M,7,FALSE),"")</f>
        <v>직접</v>
      </c>
      <c r="S173" s="236"/>
      <c r="T173" s="237">
        <f>IFERROR(VLOOKUP($A173,보수일람표!$A:$M,9,FALSE),"")</f>
        <v>0</v>
      </c>
      <c r="U173" s="237">
        <f>IFERROR(VLOOKUP($A173,보수일람표!$A:$M,10,FALSE),"")</f>
        <v>0</v>
      </c>
      <c r="V173" s="237">
        <f>IFERROR(VLOOKUP($A173,보수일람표!$A:$M,11,FALSE),"")</f>
        <v>0</v>
      </c>
      <c r="W173" s="237">
        <f>IFERROR(VLOOKUP($A173,보수일람표!$A:$M,12,FALSE),"")</f>
        <v>0</v>
      </c>
      <c r="X173" s="237">
        <f>IFERROR(VLOOKUP($A173,보수일람표!$A:$M,13,FALSE),"")</f>
        <v>0</v>
      </c>
    </row>
    <row r="174" spans="1:24">
      <c r="A174" s="225">
        <v>172</v>
      </c>
      <c r="M174" s="235" t="str">
        <f>데이터입력!$AB$8</f>
        <v>00</v>
      </c>
      <c r="N174" s="238" t="str">
        <f>데이터입력!$AC$9</f>
        <v>일반사업[일반]</v>
      </c>
      <c r="O174" s="236" t="str">
        <f>IFERROR(VLOOKUP($A174,보수일람표!$A:$M,4,FALSE),"")</f>
        <v/>
      </c>
      <c r="P174" s="236" t="str">
        <f>IFERROR(VLOOKUP($A174,보수일람표!$A:$M,5,FALSE),"")</f>
        <v/>
      </c>
      <c r="Q174" s="923" t="str">
        <f>IFERROR(VLOOKUP($A174,보수일람표!$A:$M,6,FALSE),"")</f>
        <v/>
      </c>
      <c r="R174" s="236" t="str">
        <f>IFERROR(VLOOKUP($A174,보수일람표!$A:$M,7,FALSE),"")</f>
        <v>직접</v>
      </c>
      <c r="S174" s="236"/>
      <c r="T174" s="237">
        <f>IFERROR(VLOOKUP($A174,보수일람표!$A:$M,9,FALSE),"")</f>
        <v>0</v>
      </c>
      <c r="U174" s="237">
        <f>IFERROR(VLOOKUP($A174,보수일람표!$A:$M,10,FALSE),"")</f>
        <v>0</v>
      </c>
      <c r="V174" s="237">
        <f>IFERROR(VLOOKUP($A174,보수일람표!$A:$M,11,FALSE),"")</f>
        <v>0</v>
      </c>
      <c r="W174" s="237">
        <f>IFERROR(VLOOKUP($A174,보수일람표!$A:$M,12,FALSE),"")</f>
        <v>0</v>
      </c>
      <c r="X174" s="237">
        <f>IFERROR(VLOOKUP($A174,보수일람표!$A:$M,13,FALSE),"")</f>
        <v>0</v>
      </c>
    </row>
    <row r="175" spans="1:24">
      <c r="A175" s="225">
        <v>173</v>
      </c>
      <c r="M175" s="235" t="str">
        <f>데이터입력!$AB$8</f>
        <v>00</v>
      </c>
      <c r="N175" s="238" t="str">
        <f>데이터입력!$AC$9</f>
        <v>일반사업[일반]</v>
      </c>
      <c r="O175" s="236" t="str">
        <f>IFERROR(VLOOKUP($A175,보수일람표!$A:$M,4,FALSE),"")</f>
        <v/>
      </c>
      <c r="P175" s="236" t="str">
        <f>IFERROR(VLOOKUP($A175,보수일람표!$A:$M,5,FALSE),"")</f>
        <v/>
      </c>
      <c r="Q175" s="923" t="str">
        <f>IFERROR(VLOOKUP($A175,보수일람표!$A:$M,6,FALSE),"")</f>
        <v/>
      </c>
      <c r="R175" s="236" t="str">
        <f>IFERROR(VLOOKUP($A175,보수일람표!$A:$M,7,FALSE),"")</f>
        <v>직접</v>
      </c>
      <c r="S175" s="236"/>
      <c r="T175" s="237">
        <f>IFERROR(VLOOKUP($A175,보수일람표!$A:$M,9,FALSE),"")</f>
        <v>0</v>
      </c>
      <c r="U175" s="237">
        <f>IFERROR(VLOOKUP($A175,보수일람표!$A:$M,10,FALSE),"")</f>
        <v>0</v>
      </c>
      <c r="V175" s="237">
        <f>IFERROR(VLOOKUP($A175,보수일람표!$A:$M,11,FALSE),"")</f>
        <v>0</v>
      </c>
      <c r="W175" s="237">
        <f>IFERROR(VLOOKUP($A175,보수일람표!$A:$M,12,FALSE),"")</f>
        <v>0</v>
      </c>
      <c r="X175" s="237">
        <f>IFERROR(VLOOKUP($A175,보수일람표!$A:$M,13,FALSE),"")</f>
        <v>0</v>
      </c>
    </row>
    <row r="176" spans="1:24">
      <c r="A176" s="225">
        <v>174</v>
      </c>
      <c r="M176" s="235" t="str">
        <f>데이터입력!$AB$8</f>
        <v>00</v>
      </c>
      <c r="N176" s="238" t="str">
        <f>데이터입력!$AC$9</f>
        <v>일반사업[일반]</v>
      </c>
      <c r="O176" s="236" t="str">
        <f>IFERROR(VLOOKUP($A176,보수일람표!$A:$M,4,FALSE),"")</f>
        <v/>
      </c>
      <c r="P176" s="236" t="str">
        <f>IFERROR(VLOOKUP($A176,보수일람표!$A:$M,5,FALSE),"")</f>
        <v/>
      </c>
      <c r="Q176" s="923" t="str">
        <f>IFERROR(VLOOKUP($A176,보수일람표!$A:$M,6,FALSE),"")</f>
        <v/>
      </c>
      <c r="R176" s="236" t="str">
        <f>IFERROR(VLOOKUP($A176,보수일람표!$A:$M,7,FALSE),"")</f>
        <v>직접</v>
      </c>
      <c r="S176" s="236"/>
      <c r="T176" s="237">
        <f>IFERROR(VLOOKUP($A176,보수일람표!$A:$M,9,FALSE),"")</f>
        <v>0</v>
      </c>
      <c r="U176" s="237">
        <f>IFERROR(VLOOKUP($A176,보수일람표!$A:$M,10,FALSE),"")</f>
        <v>0</v>
      </c>
      <c r="V176" s="237">
        <f>IFERROR(VLOOKUP($A176,보수일람표!$A:$M,11,FALSE),"")</f>
        <v>0</v>
      </c>
      <c r="W176" s="237">
        <f>IFERROR(VLOOKUP($A176,보수일람표!$A:$M,12,FALSE),"")</f>
        <v>0</v>
      </c>
      <c r="X176" s="237">
        <f>IFERROR(VLOOKUP($A176,보수일람표!$A:$M,13,FALSE),"")</f>
        <v>0</v>
      </c>
    </row>
    <row r="177" spans="1:24">
      <c r="A177" s="225">
        <v>175</v>
      </c>
      <c r="M177" s="235" t="str">
        <f>데이터입력!$AB$8</f>
        <v>00</v>
      </c>
      <c r="N177" s="238" t="str">
        <f>데이터입력!$AC$9</f>
        <v>일반사업[일반]</v>
      </c>
      <c r="O177" s="236" t="str">
        <f>IFERROR(VLOOKUP($A177,보수일람표!$A:$M,4,FALSE),"")</f>
        <v/>
      </c>
      <c r="P177" s="236" t="str">
        <f>IFERROR(VLOOKUP($A177,보수일람표!$A:$M,5,FALSE),"")</f>
        <v/>
      </c>
      <c r="Q177" s="923" t="str">
        <f>IFERROR(VLOOKUP($A177,보수일람표!$A:$M,6,FALSE),"")</f>
        <v/>
      </c>
      <c r="R177" s="236" t="str">
        <f>IFERROR(VLOOKUP($A177,보수일람표!$A:$M,7,FALSE),"")</f>
        <v>직접</v>
      </c>
      <c r="S177" s="236"/>
      <c r="T177" s="237">
        <f>IFERROR(VLOOKUP($A177,보수일람표!$A:$M,9,FALSE),"")</f>
        <v>0</v>
      </c>
      <c r="U177" s="237">
        <f>IFERROR(VLOOKUP($A177,보수일람표!$A:$M,10,FALSE),"")</f>
        <v>0</v>
      </c>
      <c r="V177" s="237">
        <f>IFERROR(VLOOKUP($A177,보수일람표!$A:$M,11,FALSE),"")</f>
        <v>0</v>
      </c>
      <c r="W177" s="237">
        <f>IFERROR(VLOOKUP($A177,보수일람표!$A:$M,12,FALSE),"")</f>
        <v>0</v>
      </c>
      <c r="X177" s="237">
        <f>IFERROR(VLOOKUP($A177,보수일람표!$A:$M,13,FALSE),"")</f>
        <v>0</v>
      </c>
    </row>
    <row r="178" spans="1:24">
      <c r="A178" s="225">
        <v>176</v>
      </c>
      <c r="M178" s="235" t="str">
        <f>데이터입력!$AB$8</f>
        <v>00</v>
      </c>
      <c r="N178" s="238" t="str">
        <f>데이터입력!$AC$9</f>
        <v>일반사업[일반]</v>
      </c>
      <c r="O178" s="236" t="str">
        <f>IFERROR(VLOOKUP($A178,보수일람표!$A:$M,4,FALSE),"")</f>
        <v/>
      </c>
      <c r="P178" s="236" t="str">
        <f>IFERROR(VLOOKUP($A178,보수일람표!$A:$M,5,FALSE),"")</f>
        <v/>
      </c>
      <c r="Q178" s="923" t="str">
        <f>IFERROR(VLOOKUP($A178,보수일람표!$A:$M,6,FALSE),"")</f>
        <v/>
      </c>
      <c r="R178" s="236" t="str">
        <f>IFERROR(VLOOKUP($A178,보수일람표!$A:$M,7,FALSE),"")</f>
        <v>직접</v>
      </c>
      <c r="S178" s="236"/>
      <c r="T178" s="237">
        <f>IFERROR(VLOOKUP($A178,보수일람표!$A:$M,9,FALSE),"")</f>
        <v>0</v>
      </c>
      <c r="U178" s="237">
        <f>IFERROR(VLOOKUP($A178,보수일람표!$A:$M,10,FALSE),"")</f>
        <v>0</v>
      </c>
      <c r="V178" s="237">
        <f>IFERROR(VLOOKUP($A178,보수일람표!$A:$M,11,FALSE),"")</f>
        <v>0</v>
      </c>
      <c r="W178" s="237">
        <f>IFERROR(VLOOKUP($A178,보수일람표!$A:$M,12,FALSE),"")</f>
        <v>0</v>
      </c>
      <c r="X178" s="237">
        <f>IFERROR(VLOOKUP($A178,보수일람표!$A:$M,13,FALSE),"")</f>
        <v>0</v>
      </c>
    </row>
    <row r="179" spans="1:24">
      <c r="A179" s="225">
        <v>177</v>
      </c>
      <c r="M179" s="235" t="str">
        <f>데이터입력!$AB$8</f>
        <v>00</v>
      </c>
      <c r="N179" s="238" t="str">
        <f>데이터입력!$AC$9</f>
        <v>일반사업[일반]</v>
      </c>
      <c r="O179" s="236" t="str">
        <f>IFERROR(VLOOKUP($A179,보수일람표!$A:$M,4,FALSE),"")</f>
        <v/>
      </c>
      <c r="P179" s="236" t="str">
        <f>IFERROR(VLOOKUP($A179,보수일람표!$A:$M,5,FALSE),"")</f>
        <v/>
      </c>
      <c r="Q179" s="923" t="str">
        <f>IFERROR(VLOOKUP($A179,보수일람표!$A:$M,6,FALSE),"")</f>
        <v/>
      </c>
      <c r="R179" s="236" t="str">
        <f>IFERROR(VLOOKUP($A179,보수일람표!$A:$M,7,FALSE),"")</f>
        <v>직접</v>
      </c>
      <c r="S179" s="236"/>
      <c r="T179" s="237">
        <f>IFERROR(VLOOKUP($A179,보수일람표!$A:$M,9,FALSE),"")</f>
        <v>0</v>
      </c>
      <c r="U179" s="237">
        <f>IFERROR(VLOOKUP($A179,보수일람표!$A:$M,10,FALSE),"")</f>
        <v>0</v>
      </c>
      <c r="V179" s="237">
        <f>IFERROR(VLOOKUP($A179,보수일람표!$A:$M,11,FALSE),"")</f>
        <v>0</v>
      </c>
      <c r="W179" s="237">
        <f>IFERROR(VLOOKUP($A179,보수일람표!$A:$M,12,FALSE),"")</f>
        <v>0</v>
      </c>
      <c r="X179" s="237">
        <f>IFERROR(VLOOKUP($A179,보수일람표!$A:$M,13,FALSE),"")</f>
        <v>0</v>
      </c>
    </row>
    <row r="180" spans="1:24">
      <c r="A180" s="225">
        <v>178</v>
      </c>
      <c r="M180" s="235" t="str">
        <f>데이터입력!$AB$8</f>
        <v>00</v>
      </c>
      <c r="N180" s="238" t="str">
        <f>데이터입력!$AC$9</f>
        <v>일반사업[일반]</v>
      </c>
      <c r="O180" s="236" t="str">
        <f>IFERROR(VLOOKUP($A180,보수일람표!$A:$M,4,FALSE),"")</f>
        <v/>
      </c>
      <c r="P180" s="236" t="str">
        <f>IFERROR(VLOOKUP($A180,보수일람표!$A:$M,5,FALSE),"")</f>
        <v/>
      </c>
      <c r="Q180" s="923" t="str">
        <f>IFERROR(VLOOKUP($A180,보수일람표!$A:$M,6,FALSE),"")</f>
        <v/>
      </c>
      <c r="R180" s="236" t="str">
        <f>IFERROR(VLOOKUP($A180,보수일람표!$A:$M,7,FALSE),"")</f>
        <v>직접</v>
      </c>
      <c r="S180" s="236"/>
      <c r="T180" s="237">
        <f>IFERROR(VLOOKUP($A180,보수일람표!$A:$M,9,FALSE),"")</f>
        <v>0</v>
      </c>
      <c r="U180" s="237">
        <f>IFERROR(VLOOKUP($A180,보수일람표!$A:$M,10,FALSE),"")</f>
        <v>0</v>
      </c>
      <c r="V180" s="237">
        <f>IFERROR(VLOOKUP($A180,보수일람표!$A:$M,11,FALSE),"")</f>
        <v>0</v>
      </c>
      <c r="W180" s="237">
        <f>IFERROR(VLOOKUP($A180,보수일람표!$A:$M,12,FALSE),"")</f>
        <v>0</v>
      </c>
      <c r="X180" s="237">
        <f>IFERROR(VLOOKUP($A180,보수일람표!$A:$M,13,FALSE),"")</f>
        <v>0</v>
      </c>
    </row>
    <row r="181" spans="1:24">
      <c r="A181" s="225">
        <v>179</v>
      </c>
      <c r="M181" s="235" t="str">
        <f>데이터입력!$AB$8</f>
        <v>00</v>
      </c>
      <c r="N181" s="238" t="str">
        <f>데이터입력!$AC$9</f>
        <v>일반사업[일반]</v>
      </c>
      <c r="O181" s="236" t="str">
        <f>IFERROR(VLOOKUP($A181,보수일람표!$A:$M,4,FALSE),"")</f>
        <v/>
      </c>
      <c r="P181" s="236" t="str">
        <f>IFERROR(VLOOKUP($A181,보수일람표!$A:$M,5,FALSE),"")</f>
        <v/>
      </c>
      <c r="Q181" s="923" t="str">
        <f>IFERROR(VLOOKUP($A181,보수일람표!$A:$M,6,FALSE),"")</f>
        <v/>
      </c>
      <c r="R181" s="236" t="str">
        <f>IFERROR(VLOOKUP($A181,보수일람표!$A:$M,7,FALSE),"")</f>
        <v>직접</v>
      </c>
      <c r="S181" s="236"/>
      <c r="T181" s="237">
        <f>IFERROR(VLOOKUP($A181,보수일람표!$A:$M,9,FALSE),"")</f>
        <v>0</v>
      </c>
      <c r="U181" s="237">
        <f>IFERROR(VLOOKUP($A181,보수일람표!$A:$M,10,FALSE),"")</f>
        <v>0</v>
      </c>
      <c r="V181" s="237">
        <f>IFERROR(VLOOKUP($A181,보수일람표!$A:$M,11,FALSE),"")</f>
        <v>0</v>
      </c>
      <c r="W181" s="237">
        <f>IFERROR(VLOOKUP($A181,보수일람표!$A:$M,12,FALSE),"")</f>
        <v>0</v>
      </c>
      <c r="X181" s="237">
        <f>IFERROR(VLOOKUP($A181,보수일람표!$A:$M,13,FALSE),"")</f>
        <v>0</v>
      </c>
    </row>
    <row r="182" spans="1:24">
      <c r="A182" s="225">
        <v>180</v>
      </c>
      <c r="M182" s="235" t="str">
        <f>데이터입력!$AB$8</f>
        <v>00</v>
      </c>
      <c r="N182" s="238" t="str">
        <f>데이터입력!$AC$9</f>
        <v>일반사업[일반]</v>
      </c>
      <c r="O182" s="236" t="str">
        <f>IFERROR(VLOOKUP($A182,보수일람표!$A:$M,4,FALSE),"")</f>
        <v/>
      </c>
      <c r="P182" s="236" t="str">
        <f>IFERROR(VLOOKUP($A182,보수일람표!$A:$M,5,FALSE),"")</f>
        <v/>
      </c>
      <c r="Q182" s="923" t="str">
        <f>IFERROR(VLOOKUP($A182,보수일람표!$A:$M,6,FALSE),"")</f>
        <v/>
      </c>
      <c r="R182" s="236" t="str">
        <f>IFERROR(VLOOKUP($A182,보수일람표!$A:$M,7,FALSE),"")</f>
        <v>직접</v>
      </c>
      <c r="S182" s="236"/>
      <c r="T182" s="237">
        <f>IFERROR(VLOOKUP($A182,보수일람표!$A:$M,9,FALSE),"")</f>
        <v>0</v>
      </c>
      <c r="U182" s="237">
        <f>IFERROR(VLOOKUP($A182,보수일람표!$A:$M,10,FALSE),"")</f>
        <v>0</v>
      </c>
      <c r="V182" s="237">
        <f>IFERROR(VLOOKUP($A182,보수일람표!$A:$M,11,FALSE),"")</f>
        <v>0</v>
      </c>
      <c r="W182" s="237">
        <f>IFERROR(VLOOKUP($A182,보수일람표!$A:$M,12,FALSE),"")</f>
        <v>0</v>
      </c>
      <c r="X182" s="237">
        <f>IFERROR(VLOOKUP($A182,보수일람표!$A:$M,13,FALSE),"")</f>
        <v>0</v>
      </c>
    </row>
    <row r="183" spans="1:24">
      <c r="A183" s="225">
        <v>181</v>
      </c>
      <c r="M183" s="235" t="str">
        <f>데이터입력!$AB$8</f>
        <v>00</v>
      </c>
      <c r="N183" s="238" t="str">
        <f>데이터입력!$AC$9</f>
        <v>일반사업[일반]</v>
      </c>
      <c r="O183" s="236" t="str">
        <f>IFERROR(VLOOKUP($A183,보수일람표!$A:$M,4,FALSE),"")</f>
        <v/>
      </c>
      <c r="P183" s="236" t="str">
        <f>IFERROR(VLOOKUP($A183,보수일람표!$A:$M,5,FALSE),"")</f>
        <v/>
      </c>
      <c r="Q183" s="923" t="str">
        <f>IFERROR(VLOOKUP($A183,보수일람표!$A:$M,6,FALSE),"")</f>
        <v/>
      </c>
      <c r="R183" s="236" t="str">
        <f>IFERROR(VLOOKUP($A183,보수일람표!$A:$M,7,FALSE),"")</f>
        <v>직접</v>
      </c>
      <c r="S183" s="236"/>
      <c r="T183" s="237">
        <f>IFERROR(VLOOKUP($A183,보수일람표!$A:$M,9,FALSE),"")</f>
        <v>0</v>
      </c>
      <c r="U183" s="237">
        <f>IFERROR(VLOOKUP($A183,보수일람표!$A:$M,10,FALSE),"")</f>
        <v>0</v>
      </c>
      <c r="V183" s="237">
        <f>IFERROR(VLOOKUP($A183,보수일람표!$A:$M,11,FALSE),"")</f>
        <v>0</v>
      </c>
      <c r="W183" s="237">
        <f>IFERROR(VLOOKUP($A183,보수일람표!$A:$M,12,FALSE),"")</f>
        <v>0</v>
      </c>
      <c r="X183" s="237">
        <f>IFERROR(VLOOKUP($A183,보수일람표!$A:$M,13,FALSE),"")</f>
        <v>0</v>
      </c>
    </row>
    <row r="184" spans="1:24">
      <c r="A184" s="225">
        <v>182</v>
      </c>
      <c r="M184" s="235" t="str">
        <f>데이터입력!$AB$8</f>
        <v>00</v>
      </c>
      <c r="N184" s="238" t="str">
        <f>데이터입력!$AC$9</f>
        <v>일반사업[일반]</v>
      </c>
      <c r="O184" s="236" t="str">
        <f>IFERROR(VLOOKUP($A184,보수일람표!$A:$M,4,FALSE),"")</f>
        <v/>
      </c>
      <c r="P184" s="236" t="str">
        <f>IFERROR(VLOOKUP($A184,보수일람표!$A:$M,5,FALSE),"")</f>
        <v/>
      </c>
      <c r="Q184" s="923" t="str">
        <f>IFERROR(VLOOKUP($A184,보수일람표!$A:$M,6,FALSE),"")</f>
        <v/>
      </c>
      <c r="R184" s="236" t="str">
        <f>IFERROR(VLOOKUP($A184,보수일람표!$A:$M,7,FALSE),"")</f>
        <v>직접</v>
      </c>
      <c r="S184" s="236"/>
      <c r="T184" s="237">
        <f>IFERROR(VLOOKUP($A184,보수일람표!$A:$M,9,FALSE),"")</f>
        <v>0</v>
      </c>
      <c r="U184" s="237">
        <f>IFERROR(VLOOKUP($A184,보수일람표!$A:$M,10,FALSE),"")</f>
        <v>0</v>
      </c>
      <c r="V184" s="237">
        <f>IFERROR(VLOOKUP($A184,보수일람표!$A:$M,11,FALSE),"")</f>
        <v>0</v>
      </c>
      <c r="W184" s="237">
        <f>IFERROR(VLOOKUP($A184,보수일람표!$A:$M,12,FALSE),"")</f>
        <v>0</v>
      </c>
      <c r="X184" s="237">
        <f>IFERROR(VLOOKUP($A184,보수일람표!$A:$M,13,FALSE),"")</f>
        <v>0</v>
      </c>
    </row>
    <row r="185" spans="1:24">
      <c r="A185" s="225">
        <v>183</v>
      </c>
      <c r="M185" s="235" t="str">
        <f>데이터입력!$AB$8</f>
        <v>00</v>
      </c>
      <c r="N185" s="238" t="str">
        <f>데이터입력!$AC$9</f>
        <v>일반사업[일반]</v>
      </c>
      <c r="O185" s="236" t="str">
        <f>IFERROR(VLOOKUP($A185,보수일람표!$A:$M,4,FALSE),"")</f>
        <v/>
      </c>
      <c r="P185" s="236" t="str">
        <f>IFERROR(VLOOKUP($A185,보수일람표!$A:$M,5,FALSE),"")</f>
        <v/>
      </c>
      <c r="Q185" s="923" t="str">
        <f>IFERROR(VLOOKUP($A185,보수일람표!$A:$M,6,FALSE),"")</f>
        <v/>
      </c>
      <c r="R185" s="236" t="str">
        <f>IFERROR(VLOOKUP($A185,보수일람표!$A:$M,7,FALSE),"")</f>
        <v>직접</v>
      </c>
      <c r="S185" s="236"/>
      <c r="T185" s="237">
        <f>IFERROR(VLOOKUP($A185,보수일람표!$A:$M,9,FALSE),"")</f>
        <v>0</v>
      </c>
      <c r="U185" s="237">
        <f>IFERROR(VLOOKUP($A185,보수일람표!$A:$M,10,FALSE),"")</f>
        <v>0</v>
      </c>
      <c r="V185" s="237">
        <f>IFERROR(VLOOKUP($A185,보수일람표!$A:$M,11,FALSE),"")</f>
        <v>0</v>
      </c>
      <c r="W185" s="237">
        <f>IFERROR(VLOOKUP($A185,보수일람표!$A:$M,12,FALSE),"")</f>
        <v>0</v>
      </c>
      <c r="X185" s="237">
        <f>IFERROR(VLOOKUP($A185,보수일람표!$A:$M,13,FALSE),"")</f>
        <v>0</v>
      </c>
    </row>
    <row r="186" spans="1:24">
      <c r="A186" s="225">
        <v>184</v>
      </c>
      <c r="M186" s="235" t="str">
        <f>데이터입력!$AB$8</f>
        <v>00</v>
      </c>
      <c r="N186" s="238" t="str">
        <f>데이터입력!$AC$9</f>
        <v>일반사업[일반]</v>
      </c>
      <c r="O186" s="236" t="str">
        <f>IFERROR(VLOOKUP($A186,보수일람표!$A:$M,4,FALSE),"")</f>
        <v/>
      </c>
      <c r="P186" s="236" t="str">
        <f>IFERROR(VLOOKUP($A186,보수일람표!$A:$M,5,FALSE),"")</f>
        <v/>
      </c>
      <c r="Q186" s="923" t="str">
        <f>IFERROR(VLOOKUP($A186,보수일람표!$A:$M,6,FALSE),"")</f>
        <v/>
      </c>
      <c r="R186" s="236" t="str">
        <f>IFERROR(VLOOKUP($A186,보수일람표!$A:$M,7,FALSE),"")</f>
        <v>직접</v>
      </c>
      <c r="S186" s="236"/>
      <c r="T186" s="237">
        <f>IFERROR(VLOOKUP($A186,보수일람표!$A:$M,9,FALSE),"")</f>
        <v>0</v>
      </c>
      <c r="U186" s="237">
        <f>IFERROR(VLOOKUP($A186,보수일람표!$A:$M,10,FALSE),"")</f>
        <v>0</v>
      </c>
      <c r="V186" s="237">
        <f>IFERROR(VLOOKUP($A186,보수일람표!$A:$M,11,FALSE),"")</f>
        <v>0</v>
      </c>
      <c r="W186" s="237">
        <f>IFERROR(VLOOKUP($A186,보수일람표!$A:$M,12,FALSE),"")</f>
        <v>0</v>
      </c>
      <c r="X186" s="237">
        <f>IFERROR(VLOOKUP($A186,보수일람표!$A:$M,13,FALSE),"")</f>
        <v>0</v>
      </c>
    </row>
    <row r="187" spans="1:24">
      <c r="A187" s="225">
        <v>185</v>
      </c>
      <c r="M187" s="235" t="str">
        <f>데이터입력!$AB$8</f>
        <v>00</v>
      </c>
      <c r="N187" s="238" t="str">
        <f>데이터입력!$AC$9</f>
        <v>일반사업[일반]</v>
      </c>
      <c r="O187" s="236" t="str">
        <f>IFERROR(VLOOKUP($A187,보수일람표!$A:$M,4,FALSE),"")</f>
        <v/>
      </c>
      <c r="P187" s="236" t="str">
        <f>IFERROR(VLOOKUP($A187,보수일람표!$A:$M,5,FALSE),"")</f>
        <v/>
      </c>
      <c r="Q187" s="923" t="str">
        <f>IFERROR(VLOOKUP($A187,보수일람표!$A:$M,6,FALSE),"")</f>
        <v/>
      </c>
      <c r="R187" s="236" t="str">
        <f>IFERROR(VLOOKUP($A187,보수일람표!$A:$M,7,FALSE),"")</f>
        <v>직접</v>
      </c>
      <c r="S187" s="236"/>
      <c r="T187" s="237">
        <f>IFERROR(VLOOKUP($A187,보수일람표!$A:$M,9,FALSE),"")</f>
        <v>0</v>
      </c>
      <c r="U187" s="237">
        <f>IFERROR(VLOOKUP($A187,보수일람표!$A:$M,10,FALSE),"")</f>
        <v>0</v>
      </c>
      <c r="V187" s="237">
        <f>IFERROR(VLOOKUP($A187,보수일람표!$A:$M,11,FALSE),"")</f>
        <v>0</v>
      </c>
      <c r="W187" s="237">
        <f>IFERROR(VLOOKUP($A187,보수일람표!$A:$M,12,FALSE),"")</f>
        <v>0</v>
      </c>
      <c r="X187" s="237">
        <f>IFERROR(VLOOKUP($A187,보수일람표!$A:$M,13,FALSE),"")</f>
        <v>0</v>
      </c>
    </row>
    <row r="188" spans="1:24">
      <c r="A188" s="225">
        <v>186</v>
      </c>
      <c r="M188" s="235" t="str">
        <f>데이터입력!$AB$8</f>
        <v>00</v>
      </c>
      <c r="N188" s="238" t="str">
        <f>데이터입력!$AC$9</f>
        <v>일반사업[일반]</v>
      </c>
      <c r="O188" s="236" t="str">
        <f>IFERROR(VLOOKUP($A188,보수일람표!$A:$M,4,FALSE),"")</f>
        <v/>
      </c>
      <c r="P188" s="236" t="str">
        <f>IFERROR(VLOOKUP($A188,보수일람표!$A:$M,5,FALSE),"")</f>
        <v/>
      </c>
      <c r="Q188" s="923" t="str">
        <f>IFERROR(VLOOKUP($A188,보수일람표!$A:$M,6,FALSE),"")</f>
        <v/>
      </c>
      <c r="R188" s="236" t="str">
        <f>IFERROR(VLOOKUP($A188,보수일람표!$A:$M,7,FALSE),"")</f>
        <v>직접</v>
      </c>
      <c r="S188" s="236"/>
      <c r="T188" s="237">
        <f>IFERROR(VLOOKUP($A188,보수일람표!$A:$M,9,FALSE),"")</f>
        <v>0</v>
      </c>
      <c r="U188" s="237">
        <f>IFERROR(VLOOKUP($A188,보수일람표!$A:$M,10,FALSE),"")</f>
        <v>0</v>
      </c>
      <c r="V188" s="237">
        <f>IFERROR(VLOOKUP($A188,보수일람표!$A:$M,11,FALSE),"")</f>
        <v>0</v>
      </c>
      <c r="W188" s="237">
        <f>IFERROR(VLOOKUP($A188,보수일람표!$A:$M,12,FALSE),"")</f>
        <v>0</v>
      </c>
      <c r="X188" s="237">
        <f>IFERROR(VLOOKUP($A188,보수일람표!$A:$M,13,FALSE),"")</f>
        <v>0</v>
      </c>
    </row>
    <row r="189" spans="1:24">
      <c r="A189" s="225">
        <v>187</v>
      </c>
      <c r="M189" s="235" t="str">
        <f>데이터입력!$AB$8</f>
        <v>00</v>
      </c>
      <c r="N189" s="238" t="str">
        <f>데이터입력!$AC$9</f>
        <v>일반사업[일반]</v>
      </c>
      <c r="O189" s="236" t="str">
        <f>IFERROR(VLOOKUP($A189,보수일람표!$A:$M,4,FALSE),"")</f>
        <v/>
      </c>
      <c r="P189" s="236" t="str">
        <f>IFERROR(VLOOKUP($A189,보수일람표!$A:$M,5,FALSE),"")</f>
        <v/>
      </c>
      <c r="Q189" s="923" t="str">
        <f>IFERROR(VLOOKUP($A189,보수일람표!$A:$M,6,FALSE),"")</f>
        <v/>
      </c>
      <c r="R189" s="236" t="str">
        <f>IFERROR(VLOOKUP($A189,보수일람표!$A:$M,7,FALSE),"")</f>
        <v>직접</v>
      </c>
      <c r="S189" s="236"/>
      <c r="T189" s="237">
        <f>IFERROR(VLOOKUP($A189,보수일람표!$A:$M,9,FALSE),"")</f>
        <v>0</v>
      </c>
      <c r="U189" s="237">
        <f>IFERROR(VLOOKUP($A189,보수일람표!$A:$M,10,FALSE),"")</f>
        <v>0</v>
      </c>
      <c r="V189" s="237">
        <f>IFERROR(VLOOKUP($A189,보수일람표!$A:$M,11,FALSE),"")</f>
        <v>0</v>
      </c>
      <c r="W189" s="237">
        <f>IFERROR(VLOOKUP($A189,보수일람표!$A:$M,12,FALSE),"")</f>
        <v>0</v>
      </c>
      <c r="X189" s="237">
        <f>IFERROR(VLOOKUP($A189,보수일람표!$A:$M,13,FALSE),"")</f>
        <v>0</v>
      </c>
    </row>
    <row r="190" spans="1:24">
      <c r="A190" s="225">
        <v>188</v>
      </c>
      <c r="M190" s="235" t="str">
        <f>데이터입력!$AB$8</f>
        <v>00</v>
      </c>
      <c r="N190" s="238" t="str">
        <f>데이터입력!$AC$9</f>
        <v>일반사업[일반]</v>
      </c>
      <c r="O190" s="236" t="str">
        <f>IFERROR(VLOOKUP($A190,보수일람표!$A:$M,4,FALSE),"")</f>
        <v/>
      </c>
      <c r="P190" s="236" t="str">
        <f>IFERROR(VLOOKUP($A190,보수일람표!$A:$M,5,FALSE),"")</f>
        <v/>
      </c>
      <c r="Q190" s="923" t="str">
        <f>IFERROR(VLOOKUP($A190,보수일람표!$A:$M,6,FALSE),"")</f>
        <v/>
      </c>
      <c r="R190" s="236" t="str">
        <f>IFERROR(VLOOKUP($A190,보수일람표!$A:$M,7,FALSE),"")</f>
        <v>직접</v>
      </c>
      <c r="S190" s="236"/>
      <c r="T190" s="237">
        <f>IFERROR(VLOOKUP($A190,보수일람표!$A:$M,9,FALSE),"")</f>
        <v>0</v>
      </c>
      <c r="U190" s="237">
        <f>IFERROR(VLOOKUP($A190,보수일람표!$A:$M,10,FALSE),"")</f>
        <v>0</v>
      </c>
      <c r="V190" s="237">
        <f>IFERROR(VLOOKUP($A190,보수일람표!$A:$M,11,FALSE),"")</f>
        <v>0</v>
      </c>
      <c r="W190" s="237">
        <f>IFERROR(VLOOKUP($A190,보수일람표!$A:$M,12,FALSE),"")</f>
        <v>0</v>
      </c>
      <c r="X190" s="237">
        <f>IFERROR(VLOOKUP($A190,보수일람표!$A:$M,13,FALSE),"")</f>
        <v>0</v>
      </c>
    </row>
    <row r="191" spans="1:24">
      <c r="A191" s="225">
        <v>189</v>
      </c>
      <c r="M191" s="235" t="str">
        <f>데이터입력!$AB$8</f>
        <v>00</v>
      </c>
      <c r="N191" s="238" t="str">
        <f>데이터입력!$AC$9</f>
        <v>일반사업[일반]</v>
      </c>
      <c r="O191" s="236" t="str">
        <f>IFERROR(VLOOKUP($A191,보수일람표!$A:$M,4,FALSE),"")</f>
        <v/>
      </c>
      <c r="P191" s="236" t="str">
        <f>IFERROR(VLOOKUP($A191,보수일람표!$A:$M,5,FALSE),"")</f>
        <v/>
      </c>
      <c r="Q191" s="923" t="str">
        <f>IFERROR(VLOOKUP($A191,보수일람표!$A:$M,6,FALSE),"")</f>
        <v/>
      </c>
      <c r="R191" s="236" t="str">
        <f>IFERROR(VLOOKUP($A191,보수일람표!$A:$M,7,FALSE),"")</f>
        <v>직접</v>
      </c>
      <c r="S191" s="236"/>
      <c r="T191" s="237">
        <f>IFERROR(VLOOKUP($A191,보수일람표!$A:$M,9,FALSE),"")</f>
        <v>0</v>
      </c>
      <c r="U191" s="237">
        <f>IFERROR(VLOOKUP($A191,보수일람표!$A:$M,10,FALSE),"")</f>
        <v>0</v>
      </c>
      <c r="V191" s="237">
        <f>IFERROR(VLOOKUP($A191,보수일람표!$A:$M,11,FALSE),"")</f>
        <v>0</v>
      </c>
      <c r="W191" s="237">
        <f>IFERROR(VLOOKUP($A191,보수일람표!$A:$M,12,FALSE),"")</f>
        <v>0</v>
      </c>
      <c r="X191" s="237">
        <f>IFERROR(VLOOKUP($A191,보수일람표!$A:$M,13,FALSE),"")</f>
        <v>0</v>
      </c>
    </row>
    <row r="192" spans="1:24">
      <c r="A192" s="225">
        <v>190</v>
      </c>
      <c r="M192" s="235" t="str">
        <f>데이터입력!$AB$8</f>
        <v>00</v>
      </c>
      <c r="N192" s="238" t="str">
        <f>데이터입력!$AC$9</f>
        <v>일반사업[일반]</v>
      </c>
      <c r="O192" s="236" t="str">
        <f>IFERROR(VLOOKUP($A192,보수일람표!$A:$M,4,FALSE),"")</f>
        <v/>
      </c>
      <c r="P192" s="236" t="str">
        <f>IFERROR(VLOOKUP($A192,보수일람표!$A:$M,5,FALSE),"")</f>
        <v/>
      </c>
      <c r="Q192" s="923" t="str">
        <f>IFERROR(VLOOKUP($A192,보수일람표!$A:$M,6,FALSE),"")</f>
        <v/>
      </c>
      <c r="R192" s="236" t="str">
        <f>IFERROR(VLOOKUP($A192,보수일람표!$A:$M,7,FALSE),"")</f>
        <v>직접</v>
      </c>
      <c r="S192" s="236"/>
      <c r="T192" s="237">
        <f>IFERROR(VLOOKUP($A192,보수일람표!$A:$M,9,FALSE),"")</f>
        <v>0</v>
      </c>
      <c r="U192" s="237">
        <f>IFERROR(VLOOKUP($A192,보수일람표!$A:$M,10,FALSE),"")</f>
        <v>0</v>
      </c>
      <c r="V192" s="237">
        <f>IFERROR(VLOOKUP($A192,보수일람표!$A:$M,11,FALSE),"")</f>
        <v>0</v>
      </c>
      <c r="W192" s="237">
        <f>IFERROR(VLOOKUP($A192,보수일람표!$A:$M,12,FALSE),"")</f>
        <v>0</v>
      </c>
      <c r="X192" s="237">
        <f>IFERROR(VLOOKUP($A192,보수일람표!$A:$M,13,FALSE),"")</f>
        <v>0</v>
      </c>
    </row>
    <row r="193" spans="1:24">
      <c r="A193" s="225">
        <v>191</v>
      </c>
      <c r="M193" s="235" t="str">
        <f>데이터입력!$AB$8</f>
        <v>00</v>
      </c>
      <c r="N193" s="238" t="str">
        <f>데이터입력!$AC$9</f>
        <v>일반사업[일반]</v>
      </c>
      <c r="O193" s="236" t="str">
        <f>IFERROR(VLOOKUP($A193,보수일람표!$A:$M,4,FALSE),"")</f>
        <v/>
      </c>
      <c r="P193" s="236" t="str">
        <f>IFERROR(VLOOKUP($A193,보수일람표!$A:$M,5,FALSE),"")</f>
        <v/>
      </c>
      <c r="Q193" s="923" t="str">
        <f>IFERROR(VLOOKUP($A193,보수일람표!$A:$M,6,FALSE),"")</f>
        <v/>
      </c>
      <c r="R193" s="236" t="str">
        <f>IFERROR(VLOOKUP($A193,보수일람표!$A:$M,7,FALSE),"")</f>
        <v>직접</v>
      </c>
      <c r="S193" s="236"/>
      <c r="T193" s="237">
        <f>IFERROR(VLOOKUP($A193,보수일람표!$A:$M,9,FALSE),"")</f>
        <v>0</v>
      </c>
      <c r="U193" s="237">
        <f>IFERROR(VLOOKUP($A193,보수일람표!$A:$M,10,FALSE),"")</f>
        <v>0</v>
      </c>
      <c r="V193" s="237">
        <f>IFERROR(VLOOKUP($A193,보수일람표!$A:$M,11,FALSE),"")</f>
        <v>0</v>
      </c>
      <c r="W193" s="237">
        <f>IFERROR(VLOOKUP($A193,보수일람표!$A:$M,12,FALSE),"")</f>
        <v>0</v>
      </c>
      <c r="X193" s="237">
        <f>IFERROR(VLOOKUP($A193,보수일람표!$A:$M,13,FALSE),"")</f>
        <v>0</v>
      </c>
    </row>
    <row r="194" spans="1:24">
      <c r="A194" s="225">
        <v>192</v>
      </c>
      <c r="M194" s="235" t="str">
        <f>데이터입력!$AB$8</f>
        <v>00</v>
      </c>
      <c r="N194" s="238" t="str">
        <f>데이터입력!$AC$9</f>
        <v>일반사업[일반]</v>
      </c>
      <c r="O194" s="236" t="str">
        <f>IFERROR(VLOOKUP($A194,보수일람표!$A:$M,4,FALSE),"")</f>
        <v/>
      </c>
      <c r="P194" s="236" t="str">
        <f>IFERROR(VLOOKUP($A194,보수일람표!$A:$M,5,FALSE),"")</f>
        <v/>
      </c>
      <c r="Q194" s="923" t="str">
        <f>IFERROR(VLOOKUP($A194,보수일람표!$A:$M,6,FALSE),"")</f>
        <v/>
      </c>
      <c r="R194" s="236" t="str">
        <f>IFERROR(VLOOKUP($A194,보수일람표!$A:$M,7,FALSE),"")</f>
        <v>직접</v>
      </c>
      <c r="S194" s="236"/>
      <c r="T194" s="237">
        <f>IFERROR(VLOOKUP($A194,보수일람표!$A:$M,9,FALSE),"")</f>
        <v>0</v>
      </c>
      <c r="U194" s="237">
        <f>IFERROR(VLOOKUP($A194,보수일람표!$A:$M,10,FALSE),"")</f>
        <v>0</v>
      </c>
      <c r="V194" s="237">
        <f>IFERROR(VLOOKUP($A194,보수일람표!$A:$M,11,FALSE),"")</f>
        <v>0</v>
      </c>
      <c r="W194" s="237">
        <f>IFERROR(VLOOKUP($A194,보수일람표!$A:$M,12,FALSE),"")</f>
        <v>0</v>
      </c>
      <c r="X194" s="237">
        <f>IFERROR(VLOOKUP($A194,보수일람표!$A:$M,13,FALSE),"")</f>
        <v>0</v>
      </c>
    </row>
    <row r="195" spans="1:24">
      <c r="A195" s="225">
        <v>193</v>
      </c>
      <c r="M195" s="235" t="str">
        <f>데이터입력!$AB$8</f>
        <v>00</v>
      </c>
      <c r="N195" s="238" t="str">
        <f>데이터입력!$AC$9</f>
        <v>일반사업[일반]</v>
      </c>
      <c r="O195" s="236" t="str">
        <f>IFERROR(VLOOKUP($A195,보수일람표!$A:$M,4,FALSE),"")</f>
        <v/>
      </c>
      <c r="P195" s="236" t="str">
        <f>IFERROR(VLOOKUP($A195,보수일람표!$A:$M,5,FALSE),"")</f>
        <v/>
      </c>
      <c r="Q195" s="923" t="str">
        <f>IFERROR(VLOOKUP($A195,보수일람표!$A:$M,6,FALSE),"")</f>
        <v/>
      </c>
      <c r="R195" s="236" t="str">
        <f>IFERROR(VLOOKUP($A195,보수일람표!$A:$M,7,FALSE),"")</f>
        <v>직접</v>
      </c>
      <c r="S195" s="236"/>
      <c r="T195" s="237">
        <f>IFERROR(VLOOKUP($A195,보수일람표!$A:$M,9,FALSE),"")</f>
        <v>0</v>
      </c>
      <c r="U195" s="237">
        <f>IFERROR(VLOOKUP($A195,보수일람표!$A:$M,10,FALSE),"")</f>
        <v>0</v>
      </c>
      <c r="V195" s="237">
        <f>IFERROR(VLOOKUP($A195,보수일람표!$A:$M,11,FALSE),"")</f>
        <v>0</v>
      </c>
      <c r="W195" s="237">
        <f>IFERROR(VLOOKUP($A195,보수일람표!$A:$M,12,FALSE),"")</f>
        <v>0</v>
      </c>
      <c r="X195" s="237">
        <f>IFERROR(VLOOKUP($A195,보수일람표!$A:$M,13,FALSE),"")</f>
        <v>0</v>
      </c>
    </row>
    <row r="196" spans="1:24">
      <c r="A196" s="225">
        <v>194</v>
      </c>
      <c r="M196" s="235" t="str">
        <f>데이터입력!$AB$8</f>
        <v>00</v>
      </c>
      <c r="N196" s="238" t="str">
        <f>데이터입력!$AC$9</f>
        <v>일반사업[일반]</v>
      </c>
      <c r="O196" s="236" t="str">
        <f>IFERROR(VLOOKUP($A196,보수일람표!$A:$M,4,FALSE),"")</f>
        <v/>
      </c>
      <c r="P196" s="236" t="str">
        <f>IFERROR(VLOOKUP($A196,보수일람표!$A:$M,5,FALSE),"")</f>
        <v/>
      </c>
      <c r="Q196" s="923" t="str">
        <f>IFERROR(VLOOKUP($A196,보수일람표!$A:$M,6,FALSE),"")</f>
        <v/>
      </c>
      <c r="R196" s="236" t="str">
        <f>IFERROR(VLOOKUP($A196,보수일람표!$A:$M,7,FALSE),"")</f>
        <v>직접</v>
      </c>
      <c r="S196" s="236"/>
      <c r="T196" s="237">
        <f>IFERROR(VLOOKUP($A196,보수일람표!$A:$M,9,FALSE),"")</f>
        <v>0</v>
      </c>
      <c r="U196" s="237">
        <f>IFERROR(VLOOKUP($A196,보수일람표!$A:$M,10,FALSE),"")</f>
        <v>0</v>
      </c>
      <c r="V196" s="237">
        <f>IFERROR(VLOOKUP($A196,보수일람표!$A:$M,11,FALSE),"")</f>
        <v>0</v>
      </c>
      <c r="W196" s="237">
        <f>IFERROR(VLOOKUP($A196,보수일람표!$A:$M,12,FALSE),"")</f>
        <v>0</v>
      </c>
      <c r="X196" s="237">
        <f>IFERROR(VLOOKUP($A196,보수일람표!$A:$M,13,FALSE),"")</f>
        <v>0</v>
      </c>
    </row>
    <row r="197" spans="1:24">
      <c r="A197" s="225">
        <v>195</v>
      </c>
      <c r="M197" s="235" t="str">
        <f>데이터입력!$AB$8</f>
        <v>00</v>
      </c>
      <c r="N197" s="238" t="str">
        <f>데이터입력!$AC$9</f>
        <v>일반사업[일반]</v>
      </c>
      <c r="O197" s="236" t="str">
        <f>IFERROR(VLOOKUP($A197,보수일람표!$A:$M,4,FALSE),"")</f>
        <v/>
      </c>
      <c r="P197" s="236" t="str">
        <f>IFERROR(VLOOKUP($A197,보수일람표!$A:$M,5,FALSE),"")</f>
        <v/>
      </c>
      <c r="Q197" s="923" t="str">
        <f>IFERROR(VLOOKUP($A197,보수일람표!$A:$M,6,FALSE),"")</f>
        <v/>
      </c>
      <c r="R197" s="236" t="str">
        <f>IFERROR(VLOOKUP($A197,보수일람표!$A:$M,7,FALSE),"")</f>
        <v>직접</v>
      </c>
      <c r="S197" s="236"/>
      <c r="T197" s="237">
        <f>IFERROR(VLOOKUP($A197,보수일람표!$A:$M,9,FALSE),"")</f>
        <v>0</v>
      </c>
      <c r="U197" s="237">
        <f>IFERROR(VLOOKUP($A197,보수일람표!$A:$M,10,FALSE),"")</f>
        <v>0</v>
      </c>
      <c r="V197" s="237">
        <f>IFERROR(VLOOKUP($A197,보수일람표!$A:$M,11,FALSE),"")</f>
        <v>0</v>
      </c>
      <c r="W197" s="237">
        <f>IFERROR(VLOOKUP($A197,보수일람표!$A:$M,12,FALSE),"")</f>
        <v>0</v>
      </c>
      <c r="X197" s="237">
        <f>IFERROR(VLOOKUP($A197,보수일람표!$A:$M,13,FALSE),"")</f>
        <v>0</v>
      </c>
    </row>
    <row r="198" spans="1:24">
      <c r="A198" s="225">
        <v>196</v>
      </c>
      <c r="M198" s="235" t="str">
        <f>데이터입력!$AB$8</f>
        <v>00</v>
      </c>
      <c r="N198" s="238" t="str">
        <f>데이터입력!$AC$9</f>
        <v>일반사업[일반]</v>
      </c>
      <c r="O198" s="236" t="str">
        <f>IFERROR(VLOOKUP($A198,보수일람표!$A:$M,4,FALSE),"")</f>
        <v/>
      </c>
      <c r="P198" s="236" t="str">
        <f>IFERROR(VLOOKUP($A198,보수일람표!$A:$M,5,FALSE),"")</f>
        <v/>
      </c>
      <c r="Q198" s="923" t="str">
        <f>IFERROR(VLOOKUP($A198,보수일람표!$A:$M,6,FALSE),"")</f>
        <v/>
      </c>
      <c r="R198" s="236" t="str">
        <f>IFERROR(VLOOKUP($A198,보수일람표!$A:$M,7,FALSE),"")</f>
        <v>직접</v>
      </c>
      <c r="S198" s="236"/>
      <c r="T198" s="237">
        <f>IFERROR(VLOOKUP($A198,보수일람표!$A:$M,9,FALSE),"")</f>
        <v>0</v>
      </c>
      <c r="U198" s="237">
        <f>IFERROR(VLOOKUP($A198,보수일람표!$A:$M,10,FALSE),"")</f>
        <v>0</v>
      </c>
      <c r="V198" s="237">
        <f>IFERROR(VLOOKUP($A198,보수일람표!$A:$M,11,FALSE),"")</f>
        <v>0</v>
      </c>
      <c r="W198" s="237">
        <f>IFERROR(VLOOKUP($A198,보수일람표!$A:$M,12,FALSE),"")</f>
        <v>0</v>
      </c>
      <c r="X198" s="237">
        <f>IFERROR(VLOOKUP($A198,보수일람표!$A:$M,13,FALSE),"")</f>
        <v>0</v>
      </c>
    </row>
    <row r="199" spans="1:24">
      <c r="A199" s="225">
        <v>197</v>
      </c>
      <c r="M199" s="235" t="str">
        <f>데이터입력!$AB$8</f>
        <v>00</v>
      </c>
      <c r="N199" s="238" t="str">
        <f>데이터입력!$AC$9</f>
        <v>일반사업[일반]</v>
      </c>
      <c r="O199" s="236" t="str">
        <f>IFERROR(VLOOKUP($A199,보수일람표!$A:$M,4,FALSE),"")</f>
        <v/>
      </c>
      <c r="P199" s="236" t="str">
        <f>IFERROR(VLOOKUP($A199,보수일람표!$A:$M,5,FALSE),"")</f>
        <v/>
      </c>
      <c r="Q199" s="923" t="str">
        <f>IFERROR(VLOOKUP($A199,보수일람표!$A:$M,6,FALSE),"")</f>
        <v/>
      </c>
      <c r="R199" s="236" t="str">
        <f>IFERROR(VLOOKUP($A199,보수일람표!$A:$M,7,FALSE),"")</f>
        <v>직접</v>
      </c>
      <c r="S199" s="236"/>
      <c r="T199" s="237">
        <f>IFERROR(VLOOKUP($A199,보수일람표!$A:$M,9,FALSE),"")</f>
        <v>0</v>
      </c>
      <c r="U199" s="237">
        <f>IFERROR(VLOOKUP($A199,보수일람표!$A:$M,10,FALSE),"")</f>
        <v>0</v>
      </c>
      <c r="V199" s="237">
        <f>IFERROR(VLOOKUP($A199,보수일람표!$A:$M,11,FALSE),"")</f>
        <v>0</v>
      </c>
      <c r="W199" s="237">
        <f>IFERROR(VLOOKUP($A199,보수일람표!$A:$M,12,FALSE),"")</f>
        <v>0</v>
      </c>
      <c r="X199" s="237">
        <f>IFERROR(VLOOKUP($A199,보수일람표!$A:$M,13,FALSE),"")</f>
        <v>0</v>
      </c>
    </row>
    <row r="200" spans="1:24">
      <c r="A200" s="225">
        <v>198</v>
      </c>
      <c r="M200" s="235" t="str">
        <f>데이터입력!$AB$8</f>
        <v>00</v>
      </c>
      <c r="N200" s="238" t="str">
        <f>데이터입력!$AC$9</f>
        <v>일반사업[일반]</v>
      </c>
      <c r="O200" s="236" t="str">
        <f>IFERROR(VLOOKUP($A200,보수일람표!$A:$M,4,FALSE),"")</f>
        <v/>
      </c>
      <c r="P200" s="236" t="str">
        <f>IFERROR(VLOOKUP($A200,보수일람표!$A:$M,5,FALSE),"")</f>
        <v/>
      </c>
      <c r="Q200" s="923" t="str">
        <f>IFERROR(VLOOKUP($A200,보수일람표!$A:$M,6,FALSE),"")</f>
        <v/>
      </c>
      <c r="R200" s="236" t="str">
        <f>IFERROR(VLOOKUP($A200,보수일람표!$A:$M,7,FALSE),"")</f>
        <v>직접</v>
      </c>
      <c r="S200" s="236"/>
      <c r="T200" s="237">
        <f>IFERROR(VLOOKUP($A200,보수일람표!$A:$M,9,FALSE),"")</f>
        <v>0</v>
      </c>
      <c r="U200" s="237">
        <f>IFERROR(VLOOKUP($A200,보수일람표!$A:$M,10,FALSE),"")</f>
        <v>0</v>
      </c>
      <c r="V200" s="237">
        <f>IFERROR(VLOOKUP($A200,보수일람표!$A:$M,11,FALSE),"")</f>
        <v>0</v>
      </c>
      <c r="W200" s="237">
        <f>IFERROR(VLOOKUP($A200,보수일람표!$A:$M,12,FALSE),"")</f>
        <v>0</v>
      </c>
      <c r="X200" s="237">
        <f>IFERROR(VLOOKUP($A200,보수일람표!$A:$M,13,FALSE),"")</f>
        <v>0</v>
      </c>
    </row>
    <row r="201" spans="1:24">
      <c r="A201" s="225">
        <v>199</v>
      </c>
      <c r="M201" s="235" t="str">
        <f>데이터입력!$AB$8</f>
        <v>00</v>
      </c>
      <c r="N201" s="238" t="str">
        <f>데이터입력!$AC$9</f>
        <v>일반사업[일반]</v>
      </c>
      <c r="O201" s="236" t="str">
        <f>IFERROR(VLOOKUP($A201,보수일람표!$A:$M,4,FALSE),"")</f>
        <v/>
      </c>
      <c r="P201" s="236" t="str">
        <f>IFERROR(VLOOKUP($A201,보수일람표!$A:$M,5,FALSE),"")</f>
        <v/>
      </c>
      <c r="Q201" s="923" t="str">
        <f>IFERROR(VLOOKUP($A201,보수일람표!$A:$M,6,FALSE),"")</f>
        <v/>
      </c>
      <c r="R201" s="236" t="str">
        <f>IFERROR(VLOOKUP($A201,보수일람표!$A:$M,7,FALSE),"")</f>
        <v>직접</v>
      </c>
      <c r="S201" s="236"/>
      <c r="T201" s="237">
        <f>IFERROR(VLOOKUP($A201,보수일람표!$A:$M,9,FALSE),"")</f>
        <v>0</v>
      </c>
      <c r="U201" s="237">
        <f>IFERROR(VLOOKUP($A201,보수일람표!$A:$M,10,FALSE),"")</f>
        <v>0</v>
      </c>
      <c r="V201" s="237">
        <f>IFERROR(VLOOKUP($A201,보수일람표!$A:$M,11,FALSE),"")</f>
        <v>0</v>
      </c>
      <c r="W201" s="237">
        <f>IFERROR(VLOOKUP($A201,보수일람표!$A:$M,12,FALSE),"")</f>
        <v>0</v>
      </c>
      <c r="X201" s="237">
        <f>IFERROR(VLOOKUP($A201,보수일람표!$A:$M,13,FALSE),"")</f>
        <v>0</v>
      </c>
    </row>
    <row r="202" spans="1:24">
      <c r="A202" s="225">
        <v>200</v>
      </c>
      <c r="M202" s="235" t="str">
        <f>데이터입력!$AB$8</f>
        <v>00</v>
      </c>
      <c r="N202" s="238" t="str">
        <f>데이터입력!$AC$9</f>
        <v>일반사업[일반]</v>
      </c>
      <c r="O202" s="236" t="str">
        <f>IFERROR(VLOOKUP($A202,보수일람표!$A:$M,4,FALSE),"")</f>
        <v/>
      </c>
      <c r="P202" s="236" t="str">
        <f>IFERROR(VLOOKUP($A202,보수일람표!$A:$M,5,FALSE),"")</f>
        <v/>
      </c>
      <c r="Q202" s="923" t="str">
        <f>IFERROR(VLOOKUP($A202,보수일람표!$A:$M,6,FALSE),"")</f>
        <v/>
      </c>
      <c r="R202" s="236" t="str">
        <f>IFERROR(VLOOKUP($A202,보수일람표!$A:$M,7,FALSE),"")</f>
        <v>직접</v>
      </c>
      <c r="S202" s="236"/>
      <c r="T202" s="237">
        <f>IFERROR(VLOOKUP($A202,보수일람표!$A:$M,9,FALSE),"")</f>
        <v>0</v>
      </c>
      <c r="U202" s="237">
        <f>IFERROR(VLOOKUP($A202,보수일람표!$A:$M,10,FALSE),"")</f>
        <v>0</v>
      </c>
      <c r="V202" s="237">
        <f>IFERROR(VLOOKUP($A202,보수일람표!$A:$M,11,FALSE),"")</f>
        <v>0</v>
      </c>
      <c r="W202" s="237">
        <f>IFERROR(VLOOKUP($A202,보수일람표!$A:$M,12,FALSE),"")</f>
        <v>0</v>
      </c>
      <c r="X202" s="237">
        <f>IFERROR(VLOOKUP($A202,보수일람표!$A:$M,13,FALSE),"")</f>
        <v>0</v>
      </c>
    </row>
    <row r="203" spans="1:24">
      <c r="M203" s="245"/>
      <c r="N203" s="245"/>
      <c r="O203" s="245"/>
      <c r="P203" s="245"/>
      <c r="Q203" s="245"/>
      <c r="R203" s="245"/>
      <c r="S203" s="245"/>
      <c r="T203" s="245"/>
      <c r="U203" s="245"/>
      <c r="V203" s="245"/>
      <c r="W203" s="245"/>
      <c r="X203" s="245"/>
    </row>
    <row r="204" spans="1:24">
      <c r="M204" s="245"/>
      <c r="N204" s="245"/>
      <c r="O204" s="245"/>
      <c r="P204" s="245"/>
      <c r="Q204" s="245"/>
      <c r="R204" s="245"/>
      <c r="S204" s="245"/>
      <c r="T204" s="245"/>
      <c r="U204" s="245"/>
      <c r="V204" s="245"/>
      <c r="W204" s="245"/>
      <c r="X204" s="245"/>
    </row>
    <row r="205" spans="1:24">
      <c r="M205" s="245"/>
      <c r="N205" s="245"/>
      <c r="O205" s="245"/>
      <c r="P205" s="245"/>
      <c r="Q205" s="245"/>
      <c r="R205" s="245"/>
      <c r="S205" s="245"/>
      <c r="T205" s="245"/>
      <c r="U205" s="245"/>
      <c r="V205" s="245"/>
      <c r="W205" s="245"/>
      <c r="X205" s="245"/>
    </row>
    <row r="206" spans="1:24">
      <c r="M206" s="245"/>
      <c r="N206" s="245"/>
      <c r="O206" s="245"/>
      <c r="P206" s="245"/>
      <c r="Q206" s="245"/>
      <c r="R206" s="245"/>
      <c r="S206" s="245"/>
      <c r="T206" s="245"/>
      <c r="U206" s="245"/>
      <c r="V206" s="245"/>
      <c r="W206" s="245"/>
      <c r="X206" s="245"/>
    </row>
  </sheetData>
  <mergeCells count="2">
    <mergeCell ref="B1:K1"/>
    <mergeCell ref="M1:X1"/>
  </mergeCells>
  <phoneticPr fontId="1" type="noConversion"/>
  <conditionalFormatting sqref="E2 E165:E1048576">
    <cfRule type="duplicateValues" dxfId="28"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0E34-977A-49D5-A918-667F9A5F43BD}">
  <sheetPr>
    <tabColor theme="7"/>
  </sheetPr>
  <dimension ref="A1:AK206"/>
  <sheetViews>
    <sheetView topLeftCell="B1" workbookViewId="0">
      <selection activeCell="H24" sqref="H24"/>
    </sheetView>
  </sheetViews>
  <sheetFormatPr defaultRowHeight="16.5"/>
  <cols>
    <col min="1" max="1" width="4.625" style="242" hidden="1" customWidth="1"/>
    <col min="2" max="2" width="4.625" style="242" customWidth="1"/>
    <col min="3" max="3" width="15.375" style="243" customWidth="1"/>
    <col min="4" max="4" width="7.375" customWidth="1"/>
    <col min="5" max="5" width="14" customWidth="1"/>
    <col min="6" max="6" width="6.375" customWidth="1"/>
    <col min="7" max="8" width="14" customWidth="1"/>
    <col min="9" max="9" width="14" style="244" customWidth="1"/>
    <col min="10" max="12" width="4.5" customWidth="1"/>
    <col min="13" max="13" width="4.5" style="9" customWidth="1"/>
    <col min="14" max="14" width="4.625" style="242" hidden="1" customWidth="1"/>
    <col min="15" max="15" width="4.625" style="242" customWidth="1"/>
    <col min="16" max="16" width="15.375" style="243" customWidth="1"/>
    <col min="17" max="17" width="7.375" customWidth="1"/>
    <col min="18" max="18" width="14" customWidth="1"/>
    <col min="19" max="19" width="6.375" customWidth="1"/>
    <col min="20" max="20" width="14" customWidth="1"/>
    <col min="21" max="21" width="14" style="244" customWidth="1"/>
    <col min="22" max="25" width="4.5" customWidth="1"/>
    <col min="26" max="26" width="6.875" style="246" customWidth="1"/>
    <col min="27" max="27" width="20" style="246" customWidth="1"/>
    <col min="28" max="29" width="9" style="247"/>
    <col min="30" max="30" width="13" style="247" customWidth="1"/>
    <col min="31" max="31" width="9" style="247"/>
    <col min="32" max="32" width="7.25" style="247" customWidth="1"/>
    <col min="33" max="33" width="12" style="248" customWidth="1"/>
    <col min="34" max="37" width="12" style="249" customWidth="1"/>
  </cols>
  <sheetData>
    <row r="1" spans="1:37" ht="20.25">
      <c r="A1" s="713"/>
      <c r="B1" s="1637" t="s">
        <v>708</v>
      </c>
      <c r="C1" s="1637"/>
      <c r="D1" s="1637"/>
      <c r="E1" s="1637"/>
      <c r="F1" s="1637"/>
      <c r="G1" s="1637"/>
      <c r="H1" s="1637"/>
      <c r="I1" s="1637"/>
      <c r="J1" s="1637"/>
      <c r="K1" s="1637"/>
      <c r="L1" s="1637"/>
      <c r="M1" s="709"/>
      <c r="N1" s="713"/>
      <c r="O1" s="1638" t="s">
        <v>665</v>
      </c>
      <c r="P1" s="1638"/>
      <c r="Q1" s="1638"/>
      <c r="R1" s="1638"/>
      <c r="S1" s="1638"/>
      <c r="T1" s="1638"/>
      <c r="U1" s="1638"/>
      <c r="V1" s="1638"/>
      <c r="W1" s="1638"/>
      <c r="X1" s="1638"/>
      <c r="Y1" s="709"/>
      <c r="Z1" s="1636" t="s">
        <v>709</v>
      </c>
      <c r="AA1" s="1636"/>
      <c r="AB1" s="1636"/>
      <c r="AC1" s="1636"/>
      <c r="AD1" s="1636"/>
      <c r="AE1" s="1636"/>
      <c r="AF1" s="1636"/>
      <c r="AG1" s="1636"/>
      <c r="AH1" s="1636"/>
      <c r="AI1" s="1636"/>
      <c r="AJ1" s="1636"/>
      <c r="AK1" s="1636"/>
    </row>
    <row r="2" spans="1:37" ht="24">
      <c r="A2" s="226"/>
      <c r="B2" s="716" t="s">
        <v>470</v>
      </c>
      <c r="C2" s="717" t="s">
        <v>471</v>
      </c>
      <c r="D2" s="717" t="s">
        <v>2</v>
      </c>
      <c r="E2" s="717" t="s">
        <v>1</v>
      </c>
      <c r="F2" s="716" t="s">
        <v>498</v>
      </c>
      <c r="G2" s="717" t="s">
        <v>499</v>
      </c>
      <c r="H2" s="717" t="s">
        <v>666</v>
      </c>
      <c r="I2" s="718" t="s">
        <v>667</v>
      </c>
      <c r="J2" s="717" t="s">
        <v>500</v>
      </c>
      <c r="K2" s="717" t="s">
        <v>501</v>
      </c>
      <c r="L2" s="717" t="s">
        <v>502</v>
      </c>
      <c r="M2" s="714"/>
      <c r="N2" s="226"/>
      <c r="O2" s="724" t="s">
        <v>470</v>
      </c>
      <c r="P2" s="725" t="s">
        <v>471</v>
      </c>
      <c r="Q2" s="725" t="s">
        <v>2</v>
      </c>
      <c r="R2" s="725" t="s">
        <v>1</v>
      </c>
      <c r="S2" s="724" t="s">
        <v>498</v>
      </c>
      <c r="T2" s="725" t="s">
        <v>499</v>
      </c>
      <c r="U2" s="726" t="s">
        <v>208</v>
      </c>
      <c r="V2" s="725" t="s">
        <v>500</v>
      </c>
      <c r="W2" s="725" t="s">
        <v>501</v>
      </c>
      <c r="X2" s="725" t="s">
        <v>502</v>
      </c>
      <c r="Y2" s="710"/>
      <c r="Z2" s="231" t="s">
        <v>470</v>
      </c>
      <c r="AA2" s="231" t="s">
        <v>471</v>
      </c>
      <c r="AB2" s="231" t="s">
        <v>472</v>
      </c>
      <c r="AC2" s="231" t="s">
        <v>250</v>
      </c>
      <c r="AD2" s="231" t="s">
        <v>248</v>
      </c>
      <c r="AE2" s="231" t="s">
        <v>473</v>
      </c>
      <c r="AF2" s="231" t="s">
        <v>474</v>
      </c>
      <c r="AG2" s="232" t="s">
        <v>251</v>
      </c>
      <c r="AH2" s="232" t="s">
        <v>435</v>
      </c>
      <c r="AI2" s="232" t="s">
        <v>436</v>
      </c>
      <c r="AJ2" s="232" t="s">
        <v>475</v>
      </c>
      <c r="AK2" s="232" t="s">
        <v>476</v>
      </c>
    </row>
    <row r="3" spans="1:37" ht="24">
      <c r="A3" s="233">
        <v>1</v>
      </c>
      <c r="B3" s="719" t="str">
        <f>IFERROR(IF(F3="06",데이터입력!$AB$8,IF(F3="07",데이터입력!$AD$8,IF(F3="05",데이터입력!$AF$8,데이터입력!$AB$8))),데이터입력!$AB$8)</f>
        <v>00</v>
      </c>
      <c r="C3" s="720" t="str">
        <f>데이터입력!$AC$9</f>
        <v>일반사업[일반]</v>
      </c>
      <c r="D3" s="721" t="str">
        <f>IFERROR(IF(AND(데이터입력!$AE$2="추경",데이터입력!$AM$2=TRUE),VLOOKUP($A3,데이터입력!$A:$H,4,FALSE),""),"")</f>
        <v/>
      </c>
      <c r="E3" s="721" t="str">
        <f>IFERROR(IF(AND(데이터입력!$AE$2="추경",데이터입력!$AM$2=TRUE),VLOOKUP($A3,데이터입력!$A:$H,2,FALSE),""),"")</f>
        <v/>
      </c>
      <c r="F3" s="721" t="str">
        <f>IFERROR(IF(AND(데이터입력!$AE$2="추경",데이터입력!$AM$2=TRUE),VLOOKUP($A3,데이터입력!$A:$H,5,FALSE),""),"")</f>
        <v/>
      </c>
      <c r="G3" s="721" t="str">
        <f>IFERROR(IF(AND(데이터입력!$AE$2="추경",데이터입력!$AM$2=TRUE),VLOOKUP($A3,데이터입력!$A:$H,6,FALSE),""),"")</f>
        <v/>
      </c>
      <c r="H3" s="722" t="str">
        <f>IFERROR(IF(AND(데이터입력!$AE$2="추경",데이터입력!$AM$2=TRUE),VLOOKUP($A3,데이터입력!$A:$L,7,FALSE),""),"")</f>
        <v/>
      </c>
      <c r="I3" s="722" t="str">
        <f>IFERROR(IF(AND(데이터입력!$AE$2="추경",데이터입력!$AM$2=TRUE),VLOOKUP($A3,데이터입력!$A:$L,8,FALSE)+VLOOKUP($A3,데이터입력!$A:$L,9,FALSE)+VLOOKUP($A3,데이터입력!$A:$L,10,FALSE),""),"")</f>
        <v/>
      </c>
      <c r="J3" s="723" t="s">
        <v>136</v>
      </c>
      <c r="K3" s="723" t="s">
        <v>136</v>
      </c>
      <c r="L3" s="723" t="s">
        <v>136</v>
      </c>
      <c r="M3" s="715"/>
      <c r="N3" s="233">
        <v>201</v>
      </c>
      <c r="O3" s="727" t="str">
        <f>IFERROR(IF(S3="06",데이터입력!$AB$8,IF(S3="07",데이터입력!$AD$8,IF(S3="05",데이터입력!$AF$8,데이터입력!$AB$8))),데이터입력!$AB$8)</f>
        <v>00</v>
      </c>
      <c r="P3" s="728" t="str">
        <f>데이터입력!$AC$9</f>
        <v>일반사업[일반]</v>
      </c>
      <c r="Q3" s="729" t="str">
        <f>IFERROR(IF(데이터입력!$AE$2="추경",VLOOKUP($N3,데이터입력!$A:$H,4,FALSE),""),"")</f>
        <v/>
      </c>
      <c r="R3" s="729" t="str">
        <f>IFERROR(IF(데이터입력!$AE$2="추경",VLOOKUP($N3,데이터입력!$A:$H,2,FALSE),""),"")</f>
        <v/>
      </c>
      <c r="S3" s="729" t="str">
        <f>IFERROR(IF(데이터입력!$AE$2="추경",VLOOKUP($N3,데이터입력!$A:$H,5,FALSE),""),"")</f>
        <v/>
      </c>
      <c r="T3" s="729" t="str">
        <f>IFERROR(IF(데이터입력!$AE$2="추경",VLOOKUP($N3,데이터입력!$A:$H,6,FALSE),""),"")</f>
        <v/>
      </c>
      <c r="U3" s="730" t="str">
        <f>IFERROR(IF(데이터입력!$AE$2="추경",VLOOKUP($N3,데이터입력!$A:$L,8,FALSE)+VLOOKUP($N3,데이터입력!$A:$L,9,FALSE)+VLOOKUP($N3,데이터입력!$A:$L,10,FALSE),""),"")</f>
        <v/>
      </c>
      <c r="V3" s="731" t="s">
        <v>136</v>
      </c>
      <c r="W3" s="731" t="s">
        <v>136</v>
      </c>
      <c r="X3" s="731" t="s">
        <v>136</v>
      </c>
      <c r="Y3" s="711"/>
      <c r="Z3" s="235" t="str">
        <f>데이터입력!$AB$8</f>
        <v>00</v>
      </c>
      <c r="AA3" s="238" t="str">
        <f>데이터입력!$AC$9</f>
        <v>일반사업[일반]</v>
      </c>
      <c r="AB3" s="236" t="str">
        <f>IFERROR(IF(데이터입력!$AE$2="추경",VLOOKUP($A3,보수일람표!$A:$M,4,FALSE),""),"")</f>
        <v>김현주</v>
      </c>
      <c r="AC3" s="236" t="str">
        <f>IFERROR(IF(데이터입력!$AE$2="추경",VLOOKUP($A3,보수일람표!$A:$M,5,FALSE),""),"")</f>
        <v>시설장(관리책임자)</v>
      </c>
      <c r="AD3" s="236" t="str">
        <f>IFERROR(IF(데이터입력!$AE$2="추경",VLOOKUP($A3,보수일람표!$A:$M,6,FALSE),""),"")</f>
        <v>재가노인복지시설 주야간보호</v>
      </c>
      <c r="AE3" s="236" t="str">
        <f>IFERROR(IF(데이터입력!$AE$2="추경",VLOOKUP($A3,보수일람표!$A:$M,7,FALSE),""),"")</f>
        <v>간접</v>
      </c>
      <c r="AF3" s="236"/>
      <c r="AG3" s="237">
        <f>IFERROR(IF(데이터입력!$AE$2="추경",VLOOKUP($A3,보수일람표!$A:$M,9,FALSE),""),"")</f>
        <v>24252600</v>
      </c>
      <c r="AH3" s="237">
        <f>IFERROR(IF(데이터입력!$AE$2="추경",VLOOKUP($A3,보수일람표!$A:$M,10,FALSE),""),"")</f>
        <v>0</v>
      </c>
      <c r="AI3" s="237">
        <f>IFERROR(IF(데이터입력!$AE$2="추경",VLOOKUP($A3,보수일람표!$A:$M,11,FALSE),""),"")</f>
        <v>0</v>
      </c>
      <c r="AJ3" s="237">
        <f>IFERROR(IF(데이터입력!$AE$2="추경",VLOOKUP($A3,보수일람표!$A:$M,12,FALSE),""),"")</f>
        <v>2100000</v>
      </c>
      <c r="AK3" s="237">
        <f>IFERROR(IF(데이터입력!$AE$2="추경",VLOOKUP($A3,보수일람표!$A:$M,13,FALSE),""),"")</f>
        <v>3689900</v>
      </c>
    </row>
    <row r="4" spans="1:37" ht="24">
      <c r="A4" s="233">
        <v>2</v>
      </c>
      <c r="B4" s="719" t="str">
        <f>IFERROR(IF(F4="06",데이터입력!$AB$8,IF(F4="07",데이터입력!$AD$8,IF(F4="05",데이터입력!$AF$8,데이터입력!$AB$8))),데이터입력!$AB$8)</f>
        <v>00</v>
      </c>
      <c r="C4" s="720" t="str">
        <f>데이터입력!$AC$9</f>
        <v>일반사업[일반]</v>
      </c>
      <c r="D4" s="721" t="str">
        <f>IFERROR(IF(AND(데이터입력!$AE$2="추경",데이터입력!$AM$2=TRUE),VLOOKUP($A4,데이터입력!$A:$H,4,FALSE),""),"")</f>
        <v/>
      </c>
      <c r="E4" s="721" t="str">
        <f>IFERROR(IF(AND(데이터입력!$AE$2="추경",데이터입력!$AM$2=TRUE),VLOOKUP($A4,데이터입력!$A:$H,2,FALSE),""),"")</f>
        <v/>
      </c>
      <c r="F4" s="721" t="str">
        <f>IFERROR(IF(AND(데이터입력!$AE$2="추경",데이터입력!$AM$2=TRUE),VLOOKUP($A4,데이터입력!$A:$H,5,FALSE),""),"")</f>
        <v/>
      </c>
      <c r="G4" s="721" t="str">
        <f>IFERROR(IF(AND(데이터입력!$AE$2="추경",데이터입력!$AM$2=TRUE),VLOOKUP($A4,데이터입력!$A:$H,6,FALSE),""),"")</f>
        <v/>
      </c>
      <c r="H4" s="722" t="str">
        <f>IFERROR(IF(AND(데이터입력!$AE$2="추경",데이터입력!$AM$2=TRUE),VLOOKUP($A4,데이터입력!$A:$L,7,FALSE),""),"")</f>
        <v/>
      </c>
      <c r="I4" s="722" t="str">
        <f>IFERROR(IF(AND(데이터입력!$AE$2="추경",데이터입력!$AM$2=TRUE),VLOOKUP($A4,데이터입력!$A:$L,8,FALSE)+VLOOKUP($A4,데이터입력!$A:$L,9,FALSE)+VLOOKUP($A4,데이터입력!$A:$L,10,FALSE),""),"")</f>
        <v/>
      </c>
      <c r="J4" s="723" t="s">
        <v>136</v>
      </c>
      <c r="K4" s="723" t="s">
        <v>136</v>
      </c>
      <c r="L4" s="723" t="s">
        <v>136</v>
      </c>
      <c r="M4" s="715"/>
      <c r="N4" s="233">
        <v>202</v>
      </c>
      <c r="O4" s="727" t="str">
        <f>IFERROR(IF(S4="06",데이터입력!$AB$8,IF(S4="07",데이터입력!$AD$8,IF(S4="05",데이터입력!$AF$8,데이터입력!$AB$8))),데이터입력!$AB$8)</f>
        <v>00</v>
      </c>
      <c r="P4" s="728" t="str">
        <f>데이터입력!$AC$9</f>
        <v>일반사업[일반]</v>
      </c>
      <c r="Q4" s="729" t="str">
        <f>IFERROR(IF(데이터입력!$AE$2="추경",VLOOKUP($N4,데이터입력!$A:$H,4,FALSE),""),"")</f>
        <v/>
      </c>
      <c r="R4" s="729" t="str">
        <f>IFERROR(IF(데이터입력!$AE$2="추경",VLOOKUP($N4,데이터입력!$A:$H,2,FALSE),""),"")</f>
        <v/>
      </c>
      <c r="S4" s="729" t="str">
        <f>IFERROR(IF(데이터입력!$AE$2="추경",VLOOKUP($N4,데이터입력!$A:$H,5,FALSE),""),"")</f>
        <v/>
      </c>
      <c r="T4" s="729" t="str">
        <f>IFERROR(IF(데이터입력!$AE$2="추경",VLOOKUP($N4,데이터입력!$A:$H,6,FALSE),""),"")</f>
        <v/>
      </c>
      <c r="U4" s="730" t="str">
        <f>IFERROR(IF(데이터입력!$AE$2="추경",VLOOKUP($N4,데이터입력!$A:$L,8,FALSE)+VLOOKUP($N4,데이터입력!$A:$L,9,FALSE)+VLOOKUP($N4,데이터입력!$A:$L,10,FALSE),""),"")</f>
        <v/>
      </c>
      <c r="V4" s="731" t="s">
        <v>136</v>
      </c>
      <c r="W4" s="731" t="s">
        <v>136</v>
      </c>
      <c r="X4" s="731" t="s">
        <v>136</v>
      </c>
      <c r="Y4" s="711"/>
      <c r="Z4" s="235" t="str">
        <f>데이터입력!$AB$8</f>
        <v>00</v>
      </c>
      <c r="AA4" s="238" t="str">
        <f>데이터입력!$AC$9</f>
        <v>일반사업[일반]</v>
      </c>
      <c r="AB4" s="236" t="str">
        <f>IFERROR(IF(데이터입력!$AE$2="추경",VLOOKUP($A4,보수일람표!$A:$M,4,FALSE),""),"")</f>
        <v>유미남</v>
      </c>
      <c r="AC4" s="236" t="str">
        <f>IFERROR(IF(데이터입력!$AE$2="추경",VLOOKUP($A4,보수일람표!$A:$M,5,FALSE),""),"")</f>
        <v>조리원</v>
      </c>
      <c r="AD4" s="236" t="str">
        <f>IFERROR(IF(데이터입력!$AE$2="추경",VLOOKUP($A4,보수일람표!$A:$M,6,FALSE),""),"")</f>
        <v>재가노인복지시설 주야간보호</v>
      </c>
      <c r="AE4" s="236" t="str">
        <f>IFERROR(IF(데이터입력!$AE$2="추경",VLOOKUP($A4,보수일람표!$A:$M,7,FALSE),""),"")</f>
        <v>간접</v>
      </c>
      <c r="AF4" s="236"/>
      <c r="AG4" s="237">
        <f>IFERROR(IF(데이터입력!$AE$2="추경",VLOOKUP($A4,보수일람표!$A:$M,9,FALSE),""),"")</f>
        <v>24252600</v>
      </c>
      <c r="AH4" s="237">
        <f>IFERROR(IF(데이터입력!$AE$2="추경",VLOOKUP($A4,보수일람표!$A:$M,10,FALSE),""),"")</f>
        <v>0</v>
      </c>
      <c r="AI4" s="237">
        <f>IFERROR(IF(데이터입력!$AE$2="추경",VLOOKUP($A4,보수일람표!$A:$M,11,FALSE),""),"")</f>
        <v>0</v>
      </c>
      <c r="AJ4" s="237">
        <f>IFERROR(IF(데이터입력!$AE$2="추경",VLOOKUP($A4,보수일람표!$A:$M,12,FALSE),""),"")</f>
        <v>2100000</v>
      </c>
      <c r="AK4" s="237">
        <f>IFERROR(IF(데이터입력!$AE$2="추경",VLOOKUP($A4,보수일람표!$A:$M,13,FALSE),""),"")</f>
        <v>3690000</v>
      </c>
    </row>
    <row r="5" spans="1:37" ht="24">
      <c r="A5" s="233">
        <v>3</v>
      </c>
      <c r="B5" s="719" t="str">
        <f>IFERROR(IF(F5="06",데이터입력!$AB$8,IF(F5="07",데이터입력!$AD$8,IF(F5="05",데이터입력!$AF$8,데이터입력!$AB$8))),데이터입력!$AB$8)</f>
        <v>00</v>
      </c>
      <c r="C5" s="720" t="str">
        <f>데이터입력!$AC$9</f>
        <v>일반사업[일반]</v>
      </c>
      <c r="D5" s="721" t="str">
        <f>IFERROR(IF(AND(데이터입력!$AE$2="추경",데이터입력!$AM$2=TRUE),VLOOKUP($A5,데이터입력!$A:$H,4,FALSE),""),"")</f>
        <v/>
      </c>
      <c r="E5" s="721" t="str">
        <f>IFERROR(IF(AND(데이터입력!$AE$2="추경",데이터입력!$AM$2=TRUE),VLOOKUP($A5,데이터입력!$A:$H,2,FALSE),""),"")</f>
        <v/>
      </c>
      <c r="F5" s="721" t="str">
        <f>IFERROR(IF(AND(데이터입력!$AE$2="추경",데이터입력!$AM$2=TRUE),VLOOKUP($A5,데이터입력!$A:$H,5,FALSE),""),"")</f>
        <v/>
      </c>
      <c r="G5" s="721" t="str">
        <f>IFERROR(IF(AND(데이터입력!$AE$2="추경",데이터입력!$AM$2=TRUE),VLOOKUP($A5,데이터입력!$A:$H,6,FALSE),""),"")</f>
        <v/>
      </c>
      <c r="H5" s="722" t="str">
        <f>IFERROR(IF(AND(데이터입력!$AE$2="추경",데이터입력!$AM$2=TRUE),VLOOKUP($A5,데이터입력!$A:$L,7,FALSE),""),"")</f>
        <v/>
      </c>
      <c r="I5" s="722" t="str">
        <f>IFERROR(IF(AND(데이터입력!$AE$2="추경",데이터입력!$AM$2=TRUE),VLOOKUP($A5,데이터입력!$A:$L,8,FALSE)+VLOOKUP($A5,데이터입력!$A:$L,9,FALSE)+VLOOKUP($A5,데이터입력!$A:$L,10,FALSE),""),"")</f>
        <v/>
      </c>
      <c r="J5" s="723" t="s">
        <v>136</v>
      </c>
      <c r="K5" s="723" t="s">
        <v>136</v>
      </c>
      <c r="L5" s="723" t="s">
        <v>136</v>
      </c>
      <c r="M5" s="715"/>
      <c r="N5" s="233">
        <v>203</v>
      </c>
      <c r="O5" s="727" t="str">
        <f>IFERROR(IF(S5="06",데이터입력!$AB$8,IF(S5="07",데이터입력!$AD$8,IF(S5="05",데이터입력!$AF$8,데이터입력!$AB$8))),데이터입력!$AB$8)</f>
        <v>00</v>
      </c>
      <c r="P5" s="728" t="str">
        <f>데이터입력!$AC$9</f>
        <v>일반사업[일반]</v>
      </c>
      <c r="Q5" s="729" t="str">
        <f>IFERROR(IF(데이터입력!$AE$2="추경",VLOOKUP($N5,데이터입력!$A:$H,4,FALSE),""),"")</f>
        <v/>
      </c>
      <c r="R5" s="729" t="str">
        <f>IFERROR(IF(데이터입력!$AE$2="추경",VLOOKUP($N5,데이터입력!$A:$H,2,FALSE),""),"")</f>
        <v/>
      </c>
      <c r="S5" s="729" t="str">
        <f>IFERROR(IF(데이터입력!$AE$2="추경",VLOOKUP($N5,데이터입력!$A:$H,5,FALSE),""),"")</f>
        <v/>
      </c>
      <c r="T5" s="729" t="str">
        <f>IFERROR(IF(데이터입력!$AE$2="추경",VLOOKUP($N5,데이터입력!$A:$H,6,FALSE),""),"")</f>
        <v/>
      </c>
      <c r="U5" s="730" t="str">
        <f>IFERROR(IF(데이터입력!$AE$2="추경",VLOOKUP($N5,데이터입력!$A:$L,8,FALSE)+VLOOKUP($N5,데이터입력!$A:$L,9,FALSE)+VLOOKUP($N5,데이터입력!$A:$L,10,FALSE),""),"")</f>
        <v/>
      </c>
      <c r="V5" s="731" t="s">
        <v>136</v>
      </c>
      <c r="W5" s="731" t="s">
        <v>136</v>
      </c>
      <c r="X5" s="731" t="s">
        <v>136</v>
      </c>
      <c r="Y5" s="711"/>
      <c r="Z5" s="235" t="str">
        <f>데이터입력!$AB$8</f>
        <v>00</v>
      </c>
      <c r="AA5" s="238" t="str">
        <f>데이터입력!$AC$9</f>
        <v>일반사업[일반]</v>
      </c>
      <c r="AB5" s="236" t="str">
        <f>IFERROR(IF(데이터입력!$AE$2="추경",VLOOKUP($A5,보수일람표!$A:$M,4,FALSE),""),"")</f>
        <v>신규1</v>
      </c>
      <c r="AC5" s="236" t="str">
        <f>IFERROR(IF(데이터입력!$AE$2="추경",VLOOKUP($A5,보수일람표!$A:$M,5,FALSE),""),"")</f>
        <v>보조원 운전사</v>
      </c>
      <c r="AD5" s="236" t="str">
        <f>IFERROR(IF(데이터입력!$AE$2="추경",VLOOKUP($A5,보수일람표!$A:$M,6,FALSE),""),"")</f>
        <v>재가노인복지시설 주야간보호</v>
      </c>
      <c r="AE5" s="236" t="str">
        <f>IFERROR(IF(데이터입력!$AE$2="추경",VLOOKUP($A5,보수일람표!$A:$M,7,FALSE),""),"")</f>
        <v>간접</v>
      </c>
      <c r="AF5" s="236"/>
      <c r="AG5" s="237">
        <f>IFERROR(IF(데이터입력!$AE$2="추경",VLOOKUP($A5,보수일람표!$A:$M,9,FALSE),""),"")</f>
        <v>6929280</v>
      </c>
      <c r="AH5" s="237">
        <f>IFERROR(IF(데이터입력!$AE$2="추경",VLOOKUP($A5,보수일람표!$A:$M,10,FALSE),""),"")</f>
        <v>0</v>
      </c>
      <c r="AI5" s="237">
        <f>IFERROR(IF(데이터입력!$AE$2="추경",VLOOKUP($A5,보수일람표!$A:$M,11,FALSE),""),"")</f>
        <v>0</v>
      </c>
      <c r="AJ5" s="237">
        <f>IFERROR(IF(데이터입력!$AE$2="추경",VLOOKUP($A5,보수일람표!$A:$M,12,FALSE),""),"")</f>
        <v>600000</v>
      </c>
      <c r="AK5" s="237">
        <f>IFERROR(IF(데이터입력!$AE$2="추경",VLOOKUP($A5,보수일람표!$A:$M,13,FALSE),""),"")</f>
        <v>1054320</v>
      </c>
    </row>
    <row r="6" spans="1:37">
      <c r="A6" s="233">
        <v>4</v>
      </c>
      <c r="B6" s="719" t="str">
        <f>IFERROR(IF(F6="06",데이터입력!$AB$8,IF(F6="07",데이터입력!$AD$8,IF(F6="05",데이터입력!$AF$8,데이터입력!$AB$8))),데이터입력!$AB$8)</f>
        <v>00</v>
      </c>
      <c r="C6" s="720" t="str">
        <f>데이터입력!$AC$9</f>
        <v>일반사업[일반]</v>
      </c>
      <c r="D6" s="721" t="str">
        <f>IFERROR(IF(AND(데이터입력!$AE$2="추경",데이터입력!$AM$2=TRUE),VLOOKUP($A6,데이터입력!$A:$H,4,FALSE),""),"")</f>
        <v/>
      </c>
      <c r="E6" s="721" t="str">
        <f>IFERROR(IF(AND(데이터입력!$AE$2="추경",데이터입력!$AM$2=TRUE),VLOOKUP($A6,데이터입력!$A:$H,2,FALSE),""),"")</f>
        <v/>
      </c>
      <c r="F6" s="721" t="str">
        <f>IFERROR(IF(AND(데이터입력!$AE$2="추경",데이터입력!$AM$2=TRUE),VLOOKUP($A6,데이터입력!$A:$H,5,FALSE),""),"")</f>
        <v/>
      </c>
      <c r="G6" s="721" t="str">
        <f>IFERROR(IF(AND(데이터입력!$AE$2="추경",데이터입력!$AM$2=TRUE),VLOOKUP($A6,데이터입력!$A:$H,6,FALSE),""),"")</f>
        <v/>
      </c>
      <c r="H6" s="722" t="str">
        <f>IFERROR(IF(AND(데이터입력!$AE$2="추경",데이터입력!$AM$2=TRUE),VLOOKUP($A6,데이터입력!$A:$L,7,FALSE),""),"")</f>
        <v/>
      </c>
      <c r="I6" s="722" t="str">
        <f>IFERROR(IF(AND(데이터입력!$AE$2="추경",데이터입력!$AM$2=TRUE),VLOOKUP($A6,데이터입력!$A:$L,8,FALSE)+VLOOKUP($A6,데이터입력!$A:$L,9,FALSE)+VLOOKUP($A6,데이터입력!$A:$L,10,FALSE),""),"")</f>
        <v/>
      </c>
      <c r="J6" s="723" t="s">
        <v>136</v>
      </c>
      <c r="K6" s="723" t="s">
        <v>136</v>
      </c>
      <c r="L6" s="723" t="s">
        <v>136</v>
      </c>
      <c r="M6" s="715"/>
      <c r="N6" s="233">
        <v>204</v>
      </c>
      <c r="O6" s="727" t="str">
        <f>IFERROR(IF(S6="06",데이터입력!$AB$8,IF(S6="07",데이터입력!$AD$8,IF(S6="05",데이터입력!$AF$8,데이터입력!$AB$8))),데이터입력!$AB$8)</f>
        <v>00</v>
      </c>
      <c r="P6" s="728" t="str">
        <f>데이터입력!$AC$9</f>
        <v>일반사업[일반]</v>
      </c>
      <c r="Q6" s="729" t="str">
        <f>IFERROR(IF(데이터입력!$AE$2="추경",VLOOKUP($N6,데이터입력!$A:$H,4,FALSE),""),"")</f>
        <v/>
      </c>
      <c r="R6" s="729" t="str">
        <f>IFERROR(IF(데이터입력!$AE$2="추경",VLOOKUP($N6,데이터입력!$A:$H,2,FALSE),""),"")</f>
        <v/>
      </c>
      <c r="S6" s="729" t="str">
        <f>IFERROR(IF(데이터입력!$AE$2="추경",VLOOKUP($N6,데이터입력!$A:$H,5,FALSE),""),"")</f>
        <v/>
      </c>
      <c r="T6" s="729" t="str">
        <f>IFERROR(IF(데이터입력!$AE$2="추경",VLOOKUP($N6,데이터입력!$A:$H,6,FALSE),""),"")</f>
        <v/>
      </c>
      <c r="U6" s="730" t="str">
        <f>IFERROR(IF(데이터입력!$AE$2="추경",VLOOKUP($N6,데이터입력!$A:$L,8,FALSE)+VLOOKUP($N6,데이터입력!$A:$L,9,FALSE)+VLOOKUP($N6,데이터입력!$A:$L,10,FALSE),""),"")</f>
        <v/>
      </c>
      <c r="V6" s="731" t="s">
        <v>136</v>
      </c>
      <c r="W6" s="731" t="s">
        <v>136</v>
      </c>
      <c r="X6" s="731" t="s">
        <v>136</v>
      </c>
      <c r="Y6" s="711"/>
      <c r="Z6" s="235" t="str">
        <f>데이터입력!$AB$8</f>
        <v>00</v>
      </c>
      <c r="AA6" s="238" t="str">
        <f>데이터입력!$AC$9</f>
        <v>일반사업[일반]</v>
      </c>
      <c r="AB6" s="236" t="str">
        <f>IFERROR(IF(데이터입력!$AE$2="추경",VLOOKUP($A6,보수일람표!$A:$M,4,FALSE),""),"")</f>
        <v/>
      </c>
      <c r="AC6" s="236" t="str">
        <f>IFERROR(IF(데이터입력!$AE$2="추경",VLOOKUP($A6,보수일람표!$A:$M,5,FALSE),""),"")</f>
        <v/>
      </c>
      <c r="AD6" s="236" t="str">
        <f>IFERROR(IF(데이터입력!$AE$2="추경",VLOOKUP($A6,보수일람표!$A:$M,6,FALSE),""),"")</f>
        <v/>
      </c>
      <c r="AE6" s="236" t="str">
        <f>IFERROR(IF(데이터입력!$AE$2="추경",VLOOKUP($A6,보수일람표!$A:$M,7,FALSE),""),"")</f>
        <v>간접</v>
      </c>
      <c r="AF6" s="236"/>
      <c r="AG6" s="237">
        <f>IFERROR(IF(데이터입력!$AE$2="추경",VLOOKUP($A6,보수일람표!$A:$M,9,FALSE),""),"")</f>
        <v>0</v>
      </c>
      <c r="AH6" s="237">
        <f>IFERROR(IF(데이터입력!$AE$2="추경",VLOOKUP($A6,보수일람표!$A:$M,10,FALSE),""),"")</f>
        <v>0</v>
      </c>
      <c r="AI6" s="237">
        <f>IFERROR(IF(데이터입력!$AE$2="추경",VLOOKUP($A6,보수일람표!$A:$M,11,FALSE),""),"")</f>
        <v>0</v>
      </c>
      <c r="AJ6" s="237">
        <f>IFERROR(IF(데이터입력!$AE$2="추경",VLOOKUP($A6,보수일람표!$A:$M,12,FALSE),""),"")</f>
        <v>0</v>
      </c>
      <c r="AK6" s="237">
        <f>IFERROR(IF(데이터입력!$AE$2="추경",VLOOKUP($A6,보수일람표!$A:$M,13,FALSE),""),"")</f>
        <v>0</v>
      </c>
    </row>
    <row r="7" spans="1:37">
      <c r="A7" s="233">
        <v>5</v>
      </c>
      <c r="B7" s="719" t="str">
        <f>IFERROR(IF(F7="06",데이터입력!$AB$8,IF(F7="07",데이터입력!$AD$8,IF(F7="05",데이터입력!$AF$8,데이터입력!$AB$8))),데이터입력!$AB$8)</f>
        <v>00</v>
      </c>
      <c r="C7" s="720" t="str">
        <f>데이터입력!$AC$9</f>
        <v>일반사업[일반]</v>
      </c>
      <c r="D7" s="721" t="str">
        <f>IFERROR(IF(AND(데이터입력!$AE$2="추경",데이터입력!$AM$2=TRUE),VLOOKUP($A7,데이터입력!$A:$H,4,FALSE),""),"")</f>
        <v/>
      </c>
      <c r="E7" s="721" t="str">
        <f>IFERROR(IF(AND(데이터입력!$AE$2="추경",데이터입력!$AM$2=TRUE),VLOOKUP($A7,데이터입력!$A:$H,2,FALSE),""),"")</f>
        <v/>
      </c>
      <c r="F7" s="721" t="str">
        <f>IFERROR(IF(AND(데이터입력!$AE$2="추경",데이터입력!$AM$2=TRUE),VLOOKUP($A7,데이터입력!$A:$H,5,FALSE),""),"")</f>
        <v/>
      </c>
      <c r="G7" s="721" t="str">
        <f>IFERROR(IF(AND(데이터입력!$AE$2="추경",데이터입력!$AM$2=TRUE),VLOOKUP($A7,데이터입력!$A:$H,6,FALSE),""),"")</f>
        <v/>
      </c>
      <c r="H7" s="722" t="str">
        <f>IFERROR(IF(AND(데이터입력!$AE$2="추경",데이터입력!$AM$2=TRUE),VLOOKUP($A7,데이터입력!$A:$L,7,FALSE),""),"")</f>
        <v/>
      </c>
      <c r="I7" s="722" t="str">
        <f>IFERROR(IF(AND(데이터입력!$AE$2="추경",데이터입력!$AM$2=TRUE),VLOOKUP($A7,데이터입력!$A:$L,8,FALSE)+VLOOKUP($A7,데이터입력!$A:$L,9,FALSE)+VLOOKUP($A7,데이터입력!$A:$L,10,FALSE),""),"")</f>
        <v/>
      </c>
      <c r="J7" s="723" t="s">
        <v>136</v>
      </c>
      <c r="K7" s="723" t="s">
        <v>136</v>
      </c>
      <c r="L7" s="723" t="s">
        <v>136</v>
      </c>
      <c r="M7" s="715"/>
      <c r="N7" s="233">
        <v>205</v>
      </c>
      <c r="O7" s="727" t="str">
        <f>IFERROR(IF(S7="06",데이터입력!$AB$8,IF(S7="07",데이터입력!$AD$8,IF(S7="05",데이터입력!$AF$8,데이터입력!$AB$8))),데이터입력!$AB$8)</f>
        <v>00</v>
      </c>
      <c r="P7" s="728" t="str">
        <f>데이터입력!$AC$9</f>
        <v>일반사업[일반]</v>
      </c>
      <c r="Q7" s="729" t="str">
        <f>IFERROR(IF(데이터입력!$AE$2="추경",VLOOKUP($N7,데이터입력!$A:$H,4,FALSE),""),"")</f>
        <v/>
      </c>
      <c r="R7" s="729" t="str">
        <f>IFERROR(IF(데이터입력!$AE$2="추경",VLOOKUP($N7,데이터입력!$A:$H,2,FALSE),""),"")</f>
        <v/>
      </c>
      <c r="S7" s="729" t="str">
        <f>IFERROR(IF(데이터입력!$AE$2="추경",VLOOKUP($N7,데이터입력!$A:$H,5,FALSE),""),"")</f>
        <v/>
      </c>
      <c r="T7" s="729" t="str">
        <f>IFERROR(IF(데이터입력!$AE$2="추경",VLOOKUP($N7,데이터입력!$A:$H,6,FALSE),""),"")</f>
        <v/>
      </c>
      <c r="U7" s="730" t="str">
        <f>IFERROR(IF(데이터입력!$AE$2="추경",VLOOKUP($N7,데이터입력!$A:$L,8,FALSE)+VLOOKUP($N7,데이터입력!$A:$L,9,FALSE)+VLOOKUP($N7,데이터입력!$A:$L,10,FALSE),""),"")</f>
        <v/>
      </c>
      <c r="V7" s="731" t="s">
        <v>136</v>
      </c>
      <c r="W7" s="731" t="s">
        <v>136</v>
      </c>
      <c r="X7" s="731" t="s">
        <v>136</v>
      </c>
      <c r="Y7" s="712"/>
      <c r="Z7" s="235" t="str">
        <f>데이터입력!$AB$8</f>
        <v>00</v>
      </c>
      <c r="AA7" s="238" t="str">
        <f>데이터입력!$AC$9</f>
        <v>일반사업[일반]</v>
      </c>
      <c r="AB7" s="236" t="str">
        <f>IFERROR(IF(데이터입력!$AE$2="추경",VLOOKUP($A7,보수일람표!$A:$M,4,FALSE),""),"")</f>
        <v/>
      </c>
      <c r="AC7" s="236" t="str">
        <f>IFERROR(IF(데이터입력!$AE$2="추경",VLOOKUP($A7,보수일람표!$A:$M,5,FALSE),""),"")</f>
        <v/>
      </c>
      <c r="AD7" s="236" t="str">
        <f>IFERROR(IF(데이터입력!$AE$2="추경",VLOOKUP($A7,보수일람표!$A:$M,6,FALSE),""),"")</f>
        <v/>
      </c>
      <c r="AE7" s="236" t="str">
        <f>IFERROR(IF(데이터입력!$AE$2="추경",VLOOKUP($A7,보수일람표!$A:$M,7,FALSE),""),"")</f>
        <v>간접</v>
      </c>
      <c r="AF7" s="236"/>
      <c r="AG7" s="237">
        <f>IFERROR(IF(데이터입력!$AE$2="추경",VLOOKUP($A7,보수일람표!$A:$M,9,FALSE),""),"")</f>
        <v>0</v>
      </c>
      <c r="AH7" s="237">
        <f>IFERROR(IF(데이터입력!$AE$2="추경",VLOOKUP($A7,보수일람표!$A:$M,10,FALSE),""),"")</f>
        <v>0</v>
      </c>
      <c r="AI7" s="237">
        <f>IFERROR(IF(데이터입력!$AE$2="추경",VLOOKUP($A7,보수일람표!$A:$M,11,FALSE),""),"")</f>
        <v>0</v>
      </c>
      <c r="AJ7" s="237">
        <f>IFERROR(IF(데이터입력!$AE$2="추경",VLOOKUP($A7,보수일람표!$A:$M,12,FALSE),""),"")</f>
        <v>0</v>
      </c>
      <c r="AK7" s="237">
        <f>IFERROR(IF(데이터입력!$AE$2="추경",VLOOKUP($A7,보수일람표!$A:$M,13,FALSE),""),"")</f>
        <v>0</v>
      </c>
    </row>
    <row r="8" spans="1:37">
      <c r="A8" s="233">
        <v>6</v>
      </c>
      <c r="B8" s="719" t="str">
        <f>IFERROR(IF(F8="06",데이터입력!$AB$8,IF(F8="07",데이터입력!$AD$8,IF(F8="05",데이터입력!$AF$8,데이터입력!$AB$8))),데이터입력!$AB$8)</f>
        <v>00</v>
      </c>
      <c r="C8" s="720" t="str">
        <f>데이터입력!$AC$9</f>
        <v>일반사업[일반]</v>
      </c>
      <c r="D8" s="721" t="str">
        <f>IFERROR(IF(AND(데이터입력!$AE$2="추경",데이터입력!$AM$2=TRUE),VLOOKUP($A8,데이터입력!$A:$H,4,FALSE),""),"")</f>
        <v/>
      </c>
      <c r="E8" s="721" t="str">
        <f>IFERROR(IF(AND(데이터입력!$AE$2="추경",데이터입력!$AM$2=TRUE),VLOOKUP($A8,데이터입력!$A:$H,2,FALSE),""),"")</f>
        <v/>
      </c>
      <c r="F8" s="721" t="str">
        <f>IFERROR(IF(AND(데이터입력!$AE$2="추경",데이터입력!$AM$2=TRUE),VLOOKUP($A8,데이터입력!$A:$H,5,FALSE),""),"")</f>
        <v/>
      </c>
      <c r="G8" s="721" t="str">
        <f>IFERROR(IF(AND(데이터입력!$AE$2="추경",데이터입력!$AM$2=TRUE),VLOOKUP($A8,데이터입력!$A:$H,6,FALSE),""),"")</f>
        <v/>
      </c>
      <c r="H8" s="722" t="str">
        <f>IFERROR(IF(AND(데이터입력!$AE$2="추경",데이터입력!$AM$2=TRUE),VLOOKUP($A8,데이터입력!$A:$L,7,FALSE),""),"")</f>
        <v/>
      </c>
      <c r="I8" s="722" t="str">
        <f>IFERROR(IF(AND(데이터입력!$AE$2="추경",데이터입력!$AM$2=TRUE),VLOOKUP($A8,데이터입력!$A:$L,8,FALSE)+VLOOKUP($A8,데이터입력!$A:$L,9,FALSE)+VLOOKUP($A8,데이터입력!$A:$L,10,FALSE),""),"")</f>
        <v/>
      </c>
      <c r="J8" s="723" t="s">
        <v>136</v>
      </c>
      <c r="K8" s="723" t="s">
        <v>136</v>
      </c>
      <c r="L8" s="723" t="s">
        <v>136</v>
      </c>
      <c r="M8" s="715"/>
      <c r="N8" s="233">
        <v>206</v>
      </c>
      <c r="O8" s="727" t="str">
        <f>IFERROR(IF(S8="06",데이터입력!$AB$8,IF(S8="07",데이터입력!$AD$8,IF(S8="05",데이터입력!$AF$8,데이터입력!$AB$8))),데이터입력!$AB$8)</f>
        <v>00</v>
      </c>
      <c r="P8" s="728" t="str">
        <f>데이터입력!$AC$9</f>
        <v>일반사업[일반]</v>
      </c>
      <c r="Q8" s="729" t="str">
        <f>IFERROR(IF(데이터입력!$AE$2="추경",VLOOKUP($N8,데이터입력!$A:$H,4,FALSE),""),"")</f>
        <v/>
      </c>
      <c r="R8" s="729" t="str">
        <f>IFERROR(IF(데이터입력!$AE$2="추경",VLOOKUP($N8,데이터입력!$A:$H,2,FALSE),""),"")</f>
        <v/>
      </c>
      <c r="S8" s="729" t="str">
        <f>IFERROR(IF(데이터입력!$AE$2="추경",VLOOKUP($N8,데이터입력!$A:$H,5,FALSE),""),"")</f>
        <v/>
      </c>
      <c r="T8" s="729" t="str">
        <f>IFERROR(IF(데이터입력!$AE$2="추경",VLOOKUP($N8,데이터입력!$A:$H,6,FALSE),""),"")</f>
        <v/>
      </c>
      <c r="U8" s="730" t="str">
        <f>IFERROR(IF(데이터입력!$AE$2="추경",VLOOKUP($N8,데이터입력!$A:$L,8,FALSE)+VLOOKUP($N8,데이터입력!$A:$L,9,FALSE)+VLOOKUP($N8,데이터입력!$A:$L,10,FALSE),""),"")</f>
        <v/>
      </c>
      <c r="V8" s="731" t="s">
        <v>136</v>
      </c>
      <c r="W8" s="731" t="s">
        <v>136</v>
      </c>
      <c r="X8" s="731" t="s">
        <v>136</v>
      </c>
      <c r="Y8" s="711"/>
      <c r="Z8" s="235" t="str">
        <f>데이터입력!$AB$8</f>
        <v>00</v>
      </c>
      <c r="AA8" s="238" t="str">
        <f>데이터입력!$AC$9</f>
        <v>일반사업[일반]</v>
      </c>
      <c r="AB8" s="236" t="str">
        <f>IFERROR(IF(데이터입력!$AE$2="추경",VLOOKUP($A8,보수일람표!$A:$M,4,FALSE),""),"")</f>
        <v/>
      </c>
      <c r="AC8" s="236" t="str">
        <f>IFERROR(IF(데이터입력!$AE$2="추경",VLOOKUP($A8,보수일람표!$A:$M,5,FALSE),""),"")</f>
        <v/>
      </c>
      <c r="AD8" s="236" t="str">
        <f>IFERROR(IF(데이터입력!$AE$2="추경",VLOOKUP($A8,보수일람표!$A:$M,6,FALSE),""),"")</f>
        <v/>
      </c>
      <c r="AE8" s="236" t="str">
        <f>IFERROR(IF(데이터입력!$AE$2="추경",VLOOKUP($A8,보수일람표!$A:$M,7,FALSE),""),"")</f>
        <v>간접</v>
      </c>
      <c r="AF8" s="236"/>
      <c r="AG8" s="237">
        <f>IFERROR(IF(데이터입력!$AE$2="추경",VLOOKUP($A8,보수일람표!$A:$M,9,FALSE),""),"")</f>
        <v>0</v>
      </c>
      <c r="AH8" s="237">
        <f>IFERROR(IF(데이터입력!$AE$2="추경",VLOOKUP($A8,보수일람표!$A:$M,10,FALSE),""),"")</f>
        <v>0</v>
      </c>
      <c r="AI8" s="237">
        <f>IFERROR(IF(데이터입력!$AE$2="추경",VLOOKUP($A8,보수일람표!$A:$M,11,FALSE),""),"")</f>
        <v>0</v>
      </c>
      <c r="AJ8" s="237">
        <f>IFERROR(IF(데이터입력!$AE$2="추경",VLOOKUP($A8,보수일람표!$A:$M,12,FALSE),""),"")</f>
        <v>0</v>
      </c>
      <c r="AK8" s="237">
        <f>IFERROR(IF(데이터입력!$AE$2="추경",VLOOKUP($A8,보수일람표!$A:$M,13,FALSE),""),"")</f>
        <v>0</v>
      </c>
    </row>
    <row r="9" spans="1:37">
      <c r="A9" s="233">
        <v>7</v>
      </c>
      <c r="B9" s="719" t="str">
        <f>IFERROR(IF(F9="06",데이터입력!$AB$8,IF(F9="07",데이터입력!$AD$8,IF(F9="05",데이터입력!$AF$8,데이터입력!$AB$8))),데이터입력!$AB$8)</f>
        <v>00</v>
      </c>
      <c r="C9" s="720" t="str">
        <f>데이터입력!$AC$9</f>
        <v>일반사업[일반]</v>
      </c>
      <c r="D9" s="721" t="str">
        <f>IFERROR(IF(AND(데이터입력!$AE$2="추경",데이터입력!$AM$2=TRUE),VLOOKUP($A9,데이터입력!$A:$H,4,FALSE),""),"")</f>
        <v/>
      </c>
      <c r="E9" s="721" t="str">
        <f>IFERROR(IF(AND(데이터입력!$AE$2="추경",데이터입력!$AM$2=TRUE),VLOOKUP($A9,데이터입력!$A:$H,2,FALSE),""),"")</f>
        <v/>
      </c>
      <c r="F9" s="721" t="str">
        <f>IFERROR(IF(AND(데이터입력!$AE$2="추경",데이터입력!$AM$2=TRUE),VLOOKUP($A9,데이터입력!$A:$H,5,FALSE),""),"")</f>
        <v/>
      </c>
      <c r="G9" s="721" t="str">
        <f>IFERROR(IF(AND(데이터입력!$AE$2="추경",데이터입력!$AM$2=TRUE),VLOOKUP($A9,데이터입력!$A:$H,6,FALSE),""),"")</f>
        <v/>
      </c>
      <c r="H9" s="722" t="str">
        <f>IFERROR(IF(AND(데이터입력!$AE$2="추경",데이터입력!$AM$2=TRUE),VLOOKUP($A9,데이터입력!$A:$L,7,FALSE),""),"")</f>
        <v/>
      </c>
      <c r="I9" s="722" t="str">
        <f>IFERROR(IF(AND(데이터입력!$AE$2="추경",데이터입력!$AM$2=TRUE),VLOOKUP($A9,데이터입력!$A:$L,8,FALSE)+VLOOKUP($A9,데이터입력!$A:$L,9,FALSE)+VLOOKUP($A9,데이터입력!$A:$L,10,FALSE),""),"")</f>
        <v/>
      </c>
      <c r="J9" s="723" t="s">
        <v>136</v>
      </c>
      <c r="K9" s="723" t="s">
        <v>136</v>
      </c>
      <c r="L9" s="723" t="s">
        <v>136</v>
      </c>
      <c r="M9" s="715"/>
      <c r="N9" s="233">
        <v>207</v>
      </c>
      <c r="O9" s="727" t="str">
        <f>IFERROR(IF(S9="06",데이터입력!$AB$8,IF(S9="07",데이터입력!$AD$8,IF(S9="05",데이터입력!$AF$8,데이터입력!$AB$8))),데이터입력!$AB$8)</f>
        <v>00</v>
      </c>
      <c r="P9" s="728" t="str">
        <f>데이터입력!$AC$9</f>
        <v>일반사업[일반]</v>
      </c>
      <c r="Q9" s="729" t="str">
        <f>IFERROR(IF(데이터입력!$AE$2="추경",VLOOKUP($N9,데이터입력!$A:$H,4,FALSE),""),"")</f>
        <v/>
      </c>
      <c r="R9" s="729" t="str">
        <f>IFERROR(IF(데이터입력!$AE$2="추경",VLOOKUP($N9,데이터입력!$A:$H,2,FALSE),""),"")</f>
        <v/>
      </c>
      <c r="S9" s="729" t="str">
        <f>IFERROR(IF(데이터입력!$AE$2="추경",VLOOKUP($N9,데이터입력!$A:$H,5,FALSE),""),"")</f>
        <v/>
      </c>
      <c r="T9" s="729" t="str">
        <f>IFERROR(IF(데이터입력!$AE$2="추경",VLOOKUP($N9,데이터입력!$A:$H,6,FALSE),""),"")</f>
        <v/>
      </c>
      <c r="U9" s="730" t="str">
        <f>IFERROR(IF(데이터입력!$AE$2="추경",VLOOKUP($N9,데이터입력!$A:$L,8,FALSE)+VLOOKUP($N9,데이터입력!$A:$L,9,FALSE)+VLOOKUP($N9,데이터입력!$A:$L,10,FALSE),""),"")</f>
        <v/>
      </c>
      <c r="V9" s="731" t="s">
        <v>136</v>
      </c>
      <c r="W9" s="731" t="s">
        <v>136</v>
      </c>
      <c r="X9" s="731" t="s">
        <v>136</v>
      </c>
      <c r="Y9" s="712"/>
      <c r="Z9" s="235" t="str">
        <f>데이터입력!$AB$8</f>
        <v>00</v>
      </c>
      <c r="AA9" s="238" t="str">
        <f>데이터입력!$AC$9</f>
        <v>일반사업[일반]</v>
      </c>
      <c r="AB9" s="236" t="str">
        <f>IFERROR(IF(데이터입력!$AE$2="추경",VLOOKUP($A9,보수일람표!$A:$M,4,FALSE),""),"")</f>
        <v/>
      </c>
      <c r="AC9" s="236" t="str">
        <f>IFERROR(IF(데이터입력!$AE$2="추경",VLOOKUP($A9,보수일람표!$A:$M,5,FALSE),""),"")</f>
        <v/>
      </c>
      <c r="AD9" s="236" t="str">
        <f>IFERROR(IF(데이터입력!$AE$2="추경",VLOOKUP($A9,보수일람표!$A:$M,6,FALSE),""),"")</f>
        <v/>
      </c>
      <c r="AE9" s="236" t="str">
        <f>IFERROR(IF(데이터입력!$AE$2="추경",VLOOKUP($A9,보수일람표!$A:$M,7,FALSE),""),"")</f>
        <v>간접</v>
      </c>
      <c r="AF9" s="236"/>
      <c r="AG9" s="237">
        <f>IFERROR(IF(데이터입력!$AE$2="추경",VLOOKUP($A9,보수일람표!$A:$M,9,FALSE),""),"")</f>
        <v>0</v>
      </c>
      <c r="AH9" s="237">
        <f>IFERROR(IF(데이터입력!$AE$2="추경",VLOOKUP($A9,보수일람표!$A:$M,10,FALSE),""),"")</f>
        <v>0</v>
      </c>
      <c r="AI9" s="237">
        <f>IFERROR(IF(데이터입력!$AE$2="추경",VLOOKUP($A9,보수일람표!$A:$M,11,FALSE),""),"")</f>
        <v>0</v>
      </c>
      <c r="AJ9" s="237">
        <f>IFERROR(IF(데이터입력!$AE$2="추경",VLOOKUP($A9,보수일람표!$A:$M,12,FALSE),""),"")</f>
        <v>0</v>
      </c>
      <c r="AK9" s="237">
        <f>IFERROR(IF(데이터입력!$AE$2="추경",VLOOKUP($A9,보수일람표!$A:$M,13,FALSE),""),"")</f>
        <v>0</v>
      </c>
    </row>
    <row r="10" spans="1:37">
      <c r="A10" s="233">
        <v>8</v>
      </c>
      <c r="B10" s="719" t="str">
        <f>IFERROR(IF(F10="06",데이터입력!$AB$8,IF(F10="07",데이터입력!$AD$8,IF(F10="05",데이터입력!$AF$8,데이터입력!$AB$8))),데이터입력!$AB$8)</f>
        <v>00</v>
      </c>
      <c r="C10" s="720" t="str">
        <f>데이터입력!$AC$9</f>
        <v>일반사업[일반]</v>
      </c>
      <c r="D10" s="721" t="str">
        <f>IFERROR(IF(AND(데이터입력!$AE$2="추경",데이터입력!$AM$2=TRUE),VLOOKUP($A10,데이터입력!$A:$H,4,FALSE),""),"")</f>
        <v/>
      </c>
      <c r="E10" s="721" t="str">
        <f>IFERROR(IF(AND(데이터입력!$AE$2="추경",데이터입력!$AM$2=TRUE),VLOOKUP($A10,데이터입력!$A:$H,2,FALSE),""),"")</f>
        <v/>
      </c>
      <c r="F10" s="721" t="str">
        <f>IFERROR(IF(AND(데이터입력!$AE$2="추경",데이터입력!$AM$2=TRUE),VLOOKUP($A10,데이터입력!$A:$H,5,FALSE),""),"")</f>
        <v/>
      </c>
      <c r="G10" s="721" t="str">
        <f>IFERROR(IF(AND(데이터입력!$AE$2="추경",데이터입력!$AM$2=TRUE),VLOOKUP($A10,데이터입력!$A:$H,6,FALSE),""),"")</f>
        <v/>
      </c>
      <c r="H10" s="722" t="str">
        <f>IFERROR(IF(AND(데이터입력!$AE$2="추경",데이터입력!$AM$2=TRUE),VLOOKUP($A10,데이터입력!$A:$L,7,FALSE),""),"")</f>
        <v/>
      </c>
      <c r="I10" s="722" t="str">
        <f>IFERROR(IF(AND(데이터입력!$AE$2="추경",데이터입력!$AM$2=TRUE),VLOOKUP($A10,데이터입력!$A:$L,8,FALSE)+VLOOKUP($A10,데이터입력!$A:$L,9,FALSE)+VLOOKUP($A10,데이터입력!$A:$L,10,FALSE),""),"")</f>
        <v/>
      </c>
      <c r="J10" s="723" t="s">
        <v>136</v>
      </c>
      <c r="K10" s="723" t="s">
        <v>136</v>
      </c>
      <c r="L10" s="723" t="s">
        <v>136</v>
      </c>
      <c r="M10" s="715"/>
      <c r="N10" s="233">
        <v>208</v>
      </c>
      <c r="O10" s="727" t="str">
        <f>IFERROR(IF(S10="06",데이터입력!$AB$8,IF(S10="07",데이터입력!$AD$8,IF(S10="05",데이터입력!$AF$8,데이터입력!$AB$8))),데이터입력!$AB$8)</f>
        <v>00</v>
      </c>
      <c r="P10" s="728" t="str">
        <f>데이터입력!$AC$9</f>
        <v>일반사업[일반]</v>
      </c>
      <c r="Q10" s="729" t="str">
        <f>IFERROR(IF(데이터입력!$AE$2="추경",VLOOKUP($N10,데이터입력!$A:$H,4,FALSE),""),"")</f>
        <v/>
      </c>
      <c r="R10" s="729" t="str">
        <f>IFERROR(IF(데이터입력!$AE$2="추경",VLOOKUP($N10,데이터입력!$A:$H,2,FALSE),""),"")</f>
        <v/>
      </c>
      <c r="S10" s="729" t="str">
        <f>IFERROR(IF(데이터입력!$AE$2="추경",VLOOKUP($N10,데이터입력!$A:$H,5,FALSE),""),"")</f>
        <v/>
      </c>
      <c r="T10" s="729" t="str">
        <f>IFERROR(IF(데이터입력!$AE$2="추경",VLOOKUP($N10,데이터입력!$A:$H,6,FALSE),""),"")</f>
        <v/>
      </c>
      <c r="U10" s="730" t="str">
        <f>IFERROR(IF(데이터입력!$AE$2="추경",VLOOKUP($N10,데이터입력!$A:$L,8,FALSE)+VLOOKUP($N10,데이터입력!$A:$L,9,FALSE)+VLOOKUP($N10,데이터입력!$A:$L,10,FALSE),""),"")</f>
        <v/>
      </c>
      <c r="V10" s="731" t="s">
        <v>136</v>
      </c>
      <c r="W10" s="731" t="s">
        <v>136</v>
      </c>
      <c r="X10" s="731" t="s">
        <v>136</v>
      </c>
      <c r="Y10" s="711"/>
      <c r="Z10" s="235" t="str">
        <f>데이터입력!$AB$8</f>
        <v>00</v>
      </c>
      <c r="AA10" s="238" t="str">
        <f>데이터입력!$AC$9</f>
        <v>일반사업[일반]</v>
      </c>
      <c r="AB10" s="236" t="str">
        <f>IFERROR(IF(데이터입력!$AE$2="추경",VLOOKUP($A10,보수일람표!$A:$M,4,FALSE),""),"")</f>
        <v/>
      </c>
      <c r="AC10" s="236" t="str">
        <f>IFERROR(IF(데이터입력!$AE$2="추경",VLOOKUP($A10,보수일람표!$A:$M,5,FALSE),""),"")</f>
        <v/>
      </c>
      <c r="AD10" s="236" t="str">
        <f>IFERROR(IF(데이터입력!$AE$2="추경",VLOOKUP($A10,보수일람표!$A:$M,6,FALSE),""),"")</f>
        <v/>
      </c>
      <c r="AE10" s="236" t="str">
        <f>IFERROR(IF(데이터입력!$AE$2="추경",VLOOKUP($A10,보수일람표!$A:$M,7,FALSE),""),"")</f>
        <v>간접</v>
      </c>
      <c r="AF10" s="236"/>
      <c r="AG10" s="237">
        <f>IFERROR(IF(데이터입력!$AE$2="추경",VLOOKUP($A10,보수일람표!$A:$M,9,FALSE),""),"")</f>
        <v>0</v>
      </c>
      <c r="AH10" s="237">
        <f>IFERROR(IF(데이터입력!$AE$2="추경",VLOOKUP($A10,보수일람표!$A:$M,10,FALSE),""),"")</f>
        <v>0</v>
      </c>
      <c r="AI10" s="237">
        <f>IFERROR(IF(데이터입력!$AE$2="추경",VLOOKUP($A10,보수일람표!$A:$M,11,FALSE),""),"")</f>
        <v>0</v>
      </c>
      <c r="AJ10" s="237">
        <f>IFERROR(IF(데이터입력!$AE$2="추경",VLOOKUP($A10,보수일람표!$A:$M,12,FALSE),""),"")</f>
        <v>0</v>
      </c>
      <c r="AK10" s="237">
        <f>IFERROR(IF(데이터입력!$AE$2="추경",VLOOKUP($A10,보수일람표!$A:$M,13,FALSE),""),"")</f>
        <v>0</v>
      </c>
    </row>
    <row r="11" spans="1:37">
      <c r="A11" s="233">
        <v>9</v>
      </c>
      <c r="B11" s="719" t="str">
        <f>IFERROR(IF(F11="06",데이터입력!$AB$8,IF(F11="07",데이터입력!$AD$8,IF(F11="05",데이터입력!$AF$8,데이터입력!$AB$8))),데이터입력!$AB$8)</f>
        <v>00</v>
      </c>
      <c r="C11" s="720" t="str">
        <f>데이터입력!$AC$9</f>
        <v>일반사업[일반]</v>
      </c>
      <c r="D11" s="721" t="str">
        <f>IFERROR(IF(AND(데이터입력!$AE$2="추경",데이터입력!$AM$2=TRUE),VLOOKUP($A11,데이터입력!$A:$H,4,FALSE),""),"")</f>
        <v/>
      </c>
      <c r="E11" s="721" t="str">
        <f>IFERROR(IF(AND(데이터입력!$AE$2="추경",데이터입력!$AM$2=TRUE),VLOOKUP($A11,데이터입력!$A:$H,2,FALSE),""),"")</f>
        <v/>
      </c>
      <c r="F11" s="721" t="str">
        <f>IFERROR(IF(AND(데이터입력!$AE$2="추경",데이터입력!$AM$2=TRUE),VLOOKUP($A11,데이터입력!$A:$H,5,FALSE),""),"")</f>
        <v/>
      </c>
      <c r="G11" s="721" t="str">
        <f>IFERROR(IF(AND(데이터입력!$AE$2="추경",데이터입력!$AM$2=TRUE),VLOOKUP($A11,데이터입력!$A:$H,6,FALSE),""),"")</f>
        <v/>
      </c>
      <c r="H11" s="722" t="str">
        <f>IFERROR(IF(AND(데이터입력!$AE$2="추경",데이터입력!$AM$2=TRUE),VLOOKUP($A11,데이터입력!$A:$L,7,FALSE),""),"")</f>
        <v/>
      </c>
      <c r="I11" s="722" t="str">
        <f>IFERROR(IF(AND(데이터입력!$AE$2="추경",데이터입력!$AM$2=TRUE),VLOOKUP($A11,데이터입력!$A:$L,8,FALSE)+VLOOKUP($A11,데이터입력!$A:$L,9,FALSE)+VLOOKUP($A11,데이터입력!$A:$L,10,FALSE),""),"")</f>
        <v/>
      </c>
      <c r="J11" s="723" t="s">
        <v>136</v>
      </c>
      <c r="K11" s="723" t="s">
        <v>136</v>
      </c>
      <c r="L11" s="723" t="s">
        <v>136</v>
      </c>
      <c r="M11" s="715"/>
      <c r="N11" s="233">
        <v>209</v>
      </c>
      <c r="O11" s="727" t="str">
        <f>IFERROR(IF(S11="06",데이터입력!$AB$8,IF(S11="07",데이터입력!$AD$8,IF(S11="05",데이터입력!$AF$8,데이터입력!$AB$8))),데이터입력!$AB$8)</f>
        <v>00</v>
      </c>
      <c r="P11" s="728" t="str">
        <f>데이터입력!$AC$9</f>
        <v>일반사업[일반]</v>
      </c>
      <c r="Q11" s="729" t="str">
        <f>IFERROR(IF(데이터입력!$AE$2="추경",VLOOKUP($N11,데이터입력!$A:$H,4,FALSE),""),"")</f>
        <v/>
      </c>
      <c r="R11" s="729" t="str">
        <f>IFERROR(IF(데이터입력!$AE$2="추경",VLOOKUP($N11,데이터입력!$A:$H,2,FALSE),""),"")</f>
        <v/>
      </c>
      <c r="S11" s="729" t="str">
        <f>IFERROR(IF(데이터입력!$AE$2="추경",VLOOKUP($N11,데이터입력!$A:$H,5,FALSE),""),"")</f>
        <v/>
      </c>
      <c r="T11" s="729" t="str">
        <f>IFERROR(IF(데이터입력!$AE$2="추경",VLOOKUP($N11,데이터입력!$A:$H,6,FALSE),""),"")</f>
        <v/>
      </c>
      <c r="U11" s="730" t="str">
        <f>IFERROR(IF(데이터입력!$AE$2="추경",VLOOKUP($N11,데이터입력!$A:$L,8,FALSE)+VLOOKUP($N11,데이터입력!$A:$L,9,FALSE)+VLOOKUP($N11,데이터입력!$A:$L,10,FALSE),""),"")</f>
        <v/>
      </c>
      <c r="V11" s="731" t="s">
        <v>136</v>
      </c>
      <c r="W11" s="731" t="s">
        <v>136</v>
      </c>
      <c r="X11" s="731" t="s">
        <v>136</v>
      </c>
      <c r="Y11" s="712"/>
      <c r="Z11" s="235" t="str">
        <f>데이터입력!$AB$8</f>
        <v>00</v>
      </c>
      <c r="AA11" s="238" t="str">
        <f>데이터입력!$AC$9</f>
        <v>일반사업[일반]</v>
      </c>
      <c r="AB11" s="236" t="str">
        <f>IFERROR(IF(데이터입력!$AE$2="추경",VLOOKUP($A11,보수일람표!$A:$M,4,FALSE),""),"")</f>
        <v/>
      </c>
      <c r="AC11" s="236" t="str">
        <f>IFERROR(IF(데이터입력!$AE$2="추경",VLOOKUP($A11,보수일람표!$A:$M,5,FALSE),""),"")</f>
        <v/>
      </c>
      <c r="AD11" s="236" t="str">
        <f>IFERROR(IF(데이터입력!$AE$2="추경",VLOOKUP($A11,보수일람표!$A:$M,6,FALSE),""),"")</f>
        <v/>
      </c>
      <c r="AE11" s="236" t="str">
        <f>IFERROR(IF(데이터입력!$AE$2="추경",VLOOKUP($A11,보수일람표!$A:$M,7,FALSE),""),"")</f>
        <v>간접</v>
      </c>
      <c r="AF11" s="236"/>
      <c r="AG11" s="237">
        <f>IFERROR(IF(데이터입력!$AE$2="추경",VLOOKUP($A11,보수일람표!$A:$M,9,FALSE),""),"")</f>
        <v>0</v>
      </c>
      <c r="AH11" s="237">
        <f>IFERROR(IF(데이터입력!$AE$2="추경",VLOOKUP($A11,보수일람표!$A:$M,10,FALSE),""),"")</f>
        <v>0</v>
      </c>
      <c r="AI11" s="237">
        <f>IFERROR(IF(데이터입력!$AE$2="추경",VLOOKUP($A11,보수일람표!$A:$M,11,FALSE),""),"")</f>
        <v>0</v>
      </c>
      <c r="AJ11" s="237">
        <f>IFERROR(IF(데이터입력!$AE$2="추경",VLOOKUP($A11,보수일람표!$A:$M,12,FALSE),""),"")</f>
        <v>0</v>
      </c>
      <c r="AK11" s="237">
        <f>IFERROR(IF(데이터입력!$AE$2="추경",VLOOKUP($A11,보수일람표!$A:$M,13,FALSE),""),"")</f>
        <v>0</v>
      </c>
    </row>
    <row r="12" spans="1:37">
      <c r="A12" s="233">
        <v>10</v>
      </c>
      <c r="B12" s="719" t="str">
        <f>IFERROR(IF(F12="06",데이터입력!$AB$8,IF(F12="07",데이터입력!$AD$8,IF(F12="05",데이터입력!$AF$8,데이터입력!$AB$8))),데이터입력!$AB$8)</f>
        <v>00</v>
      </c>
      <c r="C12" s="720" t="str">
        <f>데이터입력!$AC$9</f>
        <v>일반사업[일반]</v>
      </c>
      <c r="D12" s="721" t="str">
        <f>IFERROR(IF(AND(데이터입력!$AE$2="추경",데이터입력!$AM$2=TRUE),VLOOKUP($A12,데이터입력!$A:$H,4,FALSE),""),"")</f>
        <v/>
      </c>
      <c r="E12" s="721" t="str">
        <f>IFERROR(IF(AND(데이터입력!$AE$2="추경",데이터입력!$AM$2=TRUE),VLOOKUP($A12,데이터입력!$A:$H,2,FALSE),""),"")</f>
        <v/>
      </c>
      <c r="F12" s="721" t="str">
        <f>IFERROR(IF(AND(데이터입력!$AE$2="추경",데이터입력!$AM$2=TRUE),VLOOKUP($A12,데이터입력!$A:$H,5,FALSE),""),"")</f>
        <v/>
      </c>
      <c r="G12" s="721" t="str">
        <f>IFERROR(IF(AND(데이터입력!$AE$2="추경",데이터입력!$AM$2=TRUE),VLOOKUP($A12,데이터입력!$A:$H,6,FALSE),""),"")</f>
        <v/>
      </c>
      <c r="H12" s="722" t="str">
        <f>IFERROR(IF(AND(데이터입력!$AE$2="추경",데이터입력!$AM$2=TRUE),VLOOKUP($A12,데이터입력!$A:$L,7,FALSE),""),"")</f>
        <v/>
      </c>
      <c r="I12" s="722" t="str">
        <f>IFERROR(IF(AND(데이터입력!$AE$2="추경",데이터입력!$AM$2=TRUE),VLOOKUP($A12,데이터입력!$A:$L,8,FALSE)+VLOOKUP($A12,데이터입력!$A:$L,9,FALSE)+VLOOKUP($A12,데이터입력!$A:$L,10,FALSE),""),"")</f>
        <v/>
      </c>
      <c r="J12" s="723" t="s">
        <v>136</v>
      </c>
      <c r="K12" s="723" t="s">
        <v>136</v>
      </c>
      <c r="L12" s="723" t="s">
        <v>136</v>
      </c>
      <c r="M12" s="715"/>
      <c r="N12" s="233">
        <v>210</v>
      </c>
      <c r="O12" s="727" t="str">
        <f>IFERROR(IF(S12="06",데이터입력!$AB$8,IF(S12="07",데이터입력!$AD$8,IF(S12="05",데이터입력!$AF$8,데이터입력!$AB$8))),데이터입력!$AB$8)</f>
        <v>00</v>
      </c>
      <c r="P12" s="728" t="str">
        <f>데이터입력!$AC$9</f>
        <v>일반사업[일반]</v>
      </c>
      <c r="Q12" s="729" t="str">
        <f>IFERROR(IF(데이터입력!$AE$2="추경",VLOOKUP($N12,데이터입력!$A:$H,4,FALSE),""),"")</f>
        <v/>
      </c>
      <c r="R12" s="729" t="str">
        <f>IFERROR(IF(데이터입력!$AE$2="추경",VLOOKUP($N12,데이터입력!$A:$H,2,FALSE),""),"")</f>
        <v/>
      </c>
      <c r="S12" s="729" t="str">
        <f>IFERROR(IF(데이터입력!$AE$2="추경",VLOOKUP($N12,데이터입력!$A:$H,5,FALSE),""),"")</f>
        <v/>
      </c>
      <c r="T12" s="729" t="str">
        <f>IFERROR(IF(데이터입력!$AE$2="추경",VLOOKUP($N12,데이터입력!$A:$H,6,FALSE),""),"")</f>
        <v/>
      </c>
      <c r="U12" s="730" t="str">
        <f>IFERROR(IF(데이터입력!$AE$2="추경",VLOOKUP($N12,데이터입력!$A:$L,8,FALSE)+VLOOKUP($N12,데이터입력!$A:$L,9,FALSE)+VLOOKUP($N12,데이터입력!$A:$L,10,FALSE),""),"")</f>
        <v/>
      </c>
      <c r="V12" s="731" t="s">
        <v>136</v>
      </c>
      <c r="W12" s="731" t="s">
        <v>136</v>
      </c>
      <c r="X12" s="731" t="s">
        <v>136</v>
      </c>
      <c r="Y12" s="711"/>
      <c r="Z12" s="235" t="str">
        <f>데이터입력!$AB$8</f>
        <v>00</v>
      </c>
      <c r="AA12" s="238" t="str">
        <f>데이터입력!$AC$9</f>
        <v>일반사업[일반]</v>
      </c>
      <c r="AB12" s="236" t="str">
        <f>IFERROR(IF(데이터입력!$AE$2="추경",VLOOKUP($A12,보수일람표!$A:$M,4,FALSE),""),"")</f>
        <v/>
      </c>
      <c r="AC12" s="236" t="str">
        <f>IFERROR(IF(데이터입력!$AE$2="추경",VLOOKUP($A12,보수일람표!$A:$M,5,FALSE),""),"")</f>
        <v/>
      </c>
      <c r="AD12" s="236" t="str">
        <f>IFERROR(IF(데이터입력!$AE$2="추경",VLOOKUP($A12,보수일람표!$A:$M,6,FALSE),""),"")</f>
        <v/>
      </c>
      <c r="AE12" s="236" t="str">
        <f>IFERROR(IF(데이터입력!$AE$2="추경",VLOOKUP($A12,보수일람표!$A:$M,7,FALSE),""),"")</f>
        <v>간접</v>
      </c>
      <c r="AF12" s="236"/>
      <c r="AG12" s="237">
        <f>IFERROR(IF(데이터입력!$AE$2="추경",VLOOKUP($A12,보수일람표!$A:$M,9,FALSE),""),"")</f>
        <v>0</v>
      </c>
      <c r="AH12" s="237">
        <f>IFERROR(IF(데이터입력!$AE$2="추경",VLOOKUP($A12,보수일람표!$A:$M,10,FALSE),""),"")</f>
        <v>0</v>
      </c>
      <c r="AI12" s="237">
        <f>IFERROR(IF(데이터입력!$AE$2="추경",VLOOKUP($A12,보수일람표!$A:$M,11,FALSE),""),"")</f>
        <v>0</v>
      </c>
      <c r="AJ12" s="237">
        <f>IFERROR(IF(데이터입력!$AE$2="추경",VLOOKUP($A12,보수일람표!$A:$M,12,FALSE),""),"")</f>
        <v>0</v>
      </c>
      <c r="AK12" s="237">
        <f>IFERROR(IF(데이터입력!$AE$2="추경",VLOOKUP($A12,보수일람표!$A:$M,13,FALSE),""),"")</f>
        <v>0</v>
      </c>
    </row>
    <row r="13" spans="1:37">
      <c r="A13" s="233">
        <v>11</v>
      </c>
      <c r="B13" s="719" t="str">
        <f>IFERROR(IF(F13="06",데이터입력!$AB$8,IF(F13="07",데이터입력!$AD$8,IF(F13="05",데이터입력!$AF$8,데이터입력!$AB$8))),데이터입력!$AB$8)</f>
        <v>00</v>
      </c>
      <c r="C13" s="720" t="str">
        <f>데이터입력!$AC$9</f>
        <v>일반사업[일반]</v>
      </c>
      <c r="D13" s="721" t="str">
        <f>IFERROR(IF(AND(데이터입력!$AE$2="추경",데이터입력!$AM$2=TRUE),VLOOKUP($A13,데이터입력!$A:$H,4,FALSE),""),"")</f>
        <v/>
      </c>
      <c r="E13" s="721" t="str">
        <f>IFERROR(IF(AND(데이터입력!$AE$2="추경",데이터입력!$AM$2=TRUE),VLOOKUP($A13,데이터입력!$A:$H,2,FALSE),""),"")</f>
        <v/>
      </c>
      <c r="F13" s="721" t="str">
        <f>IFERROR(IF(AND(데이터입력!$AE$2="추경",데이터입력!$AM$2=TRUE),VLOOKUP($A13,데이터입력!$A:$H,5,FALSE),""),"")</f>
        <v/>
      </c>
      <c r="G13" s="721" t="str">
        <f>IFERROR(IF(AND(데이터입력!$AE$2="추경",데이터입력!$AM$2=TRUE),VLOOKUP($A13,데이터입력!$A:$H,6,FALSE),""),"")</f>
        <v/>
      </c>
      <c r="H13" s="722" t="str">
        <f>IFERROR(IF(AND(데이터입력!$AE$2="추경",데이터입력!$AM$2=TRUE),VLOOKUP($A13,데이터입력!$A:$L,7,FALSE),""),"")</f>
        <v/>
      </c>
      <c r="I13" s="722" t="str">
        <f>IFERROR(IF(AND(데이터입력!$AE$2="추경",데이터입력!$AM$2=TRUE),VLOOKUP($A13,데이터입력!$A:$L,8,FALSE)+VLOOKUP($A13,데이터입력!$A:$L,9,FALSE)+VLOOKUP($A13,데이터입력!$A:$L,10,FALSE),""),"")</f>
        <v/>
      </c>
      <c r="J13" s="723" t="s">
        <v>136</v>
      </c>
      <c r="K13" s="723" t="s">
        <v>136</v>
      </c>
      <c r="L13" s="723" t="s">
        <v>136</v>
      </c>
      <c r="M13" s="715"/>
      <c r="N13" s="233">
        <v>211</v>
      </c>
      <c r="O13" s="727" t="str">
        <f>IFERROR(IF(S13="06",데이터입력!$AB$8,IF(S13="07",데이터입력!$AD$8,IF(S13="05",데이터입력!$AF$8,데이터입력!$AB$8))),데이터입력!$AB$8)</f>
        <v>00</v>
      </c>
      <c r="P13" s="728" t="str">
        <f>데이터입력!$AC$9</f>
        <v>일반사업[일반]</v>
      </c>
      <c r="Q13" s="729" t="str">
        <f>IFERROR(IF(데이터입력!$AE$2="추경",VLOOKUP($N13,데이터입력!$A:$H,4,FALSE),""),"")</f>
        <v/>
      </c>
      <c r="R13" s="729" t="str">
        <f>IFERROR(IF(데이터입력!$AE$2="추경",VLOOKUP($N13,데이터입력!$A:$H,2,FALSE),""),"")</f>
        <v/>
      </c>
      <c r="S13" s="729" t="str">
        <f>IFERROR(IF(데이터입력!$AE$2="추경",VLOOKUP($N13,데이터입력!$A:$H,5,FALSE),""),"")</f>
        <v/>
      </c>
      <c r="T13" s="729" t="str">
        <f>IFERROR(IF(데이터입력!$AE$2="추경",VLOOKUP($N13,데이터입력!$A:$H,6,FALSE),""),"")</f>
        <v/>
      </c>
      <c r="U13" s="730" t="str">
        <f>IFERROR(IF(데이터입력!$AE$2="추경",VLOOKUP($N13,데이터입력!$A:$L,8,FALSE)+VLOOKUP($N13,데이터입력!$A:$L,9,FALSE)+VLOOKUP($N13,데이터입력!$A:$L,10,FALSE),""),"")</f>
        <v/>
      </c>
      <c r="V13" s="731" t="s">
        <v>136</v>
      </c>
      <c r="W13" s="731" t="s">
        <v>136</v>
      </c>
      <c r="X13" s="731" t="s">
        <v>136</v>
      </c>
      <c r="Y13" s="712"/>
      <c r="Z13" s="235" t="str">
        <f>데이터입력!$AB$8</f>
        <v>00</v>
      </c>
      <c r="AA13" s="238" t="str">
        <f>데이터입력!$AC$9</f>
        <v>일반사업[일반]</v>
      </c>
      <c r="AB13" s="236" t="str">
        <f>IFERROR(IF(데이터입력!$AE$2="추경",VLOOKUP($A13,보수일람표!$A:$M,4,FALSE),""),"")</f>
        <v/>
      </c>
      <c r="AC13" s="236" t="str">
        <f>IFERROR(IF(데이터입력!$AE$2="추경",VLOOKUP($A13,보수일람표!$A:$M,5,FALSE),""),"")</f>
        <v/>
      </c>
      <c r="AD13" s="236" t="str">
        <f>IFERROR(IF(데이터입력!$AE$2="추경",VLOOKUP($A13,보수일람표!$A:$M,6,FALSE),""),"")</f>
        <v/>
      </c>
      <c r="AE13" s="236" t="str">
        <f>IFERROR(IF(데이터입력!$AE$2="추경",VLOOKUP($A13,보수일람표!$A:$M,7,FALSE),""),"")</f>
        <v>간접</v>
      </c>
      <c r="AF13" s="236"/>
      <c r="AG13" s="237">
        <f>IFERROR(IF(데이터입력!$AE$2="추경",VLOOKUP($A13,보수일람표!$A:$M,9,FALSE),""),"")</f>
        <v>0</v>
      </c>
      <c r="AH13" s="237">
        <f>IFERROR(IF(데이터입력!$AE$2="추경",VLOOKUP($A13,보수일람표!$A:$M,10,FALSE),""),"")</f>
        <v>0</v>
      </c>
      <c r="AI13" s="237">
        <f>IFERROR(IF(데이터입력!$AE$2="추경",VLOOKUP($A13,보수일람표!$A:$M,11,FALSE),""),"")</f>
        <v>0</v>
      </c>
      <c r="AJ13" s="237">
        <f>IFERROR(IF(데이터입력!$AE$2="추경",VLOOKUP($A13,보수일람표!$A:$M,12,FALSE),""),"")</f>
        <v>0</v>
      </c>
      <c r="AK13" s="237">
        <f>IFERROR(IF(데이터입력!$AE$2="추경",VLOOKUP($A13,보수일람표!$A:$M,13,FALSE),""),"")</f>
        <v>0</v>
      </c>
    </row>
    <row r="14" spans="1:37">
      <c r="A14" s="233">
        <v>12</v>
      </c>
      <c r="B14" s="719" t="str">
        <f>IFERROR(IF(F14="06",데이터입력!$AB$8,IF(F14="07",데이터입력!$AD$8,IF(F14="05",데이터입력!$AF$8,데이터입력!$AB$8))),데이터입력!$AB$8)</f>
        <v>00</v>
      </c>
      <c r="C14" s="720" t="str">
        <f>데이터입력!$AC$9</f>
        <v>일반사업[일반]</v>
      </c>
      <c r="D14" s="721" t="str">
        <f>IFERROR(IF(AND(데이터입력!$AE$2="추경",데이터입력!$AM$2=TRUE),VLOOKUP($A14,데이터입력!$A:$H,4,FALSE),""),"")</f>
        <v/>
      </c>
      <c r="E14" s="721" t="str">
        <f>IFERROR(IF(AND(데이터입력!$AE$2="추경",데이터입력!$AM$2=TRUE),VLOOKUP($A14,데이터입력!$A:$H,2,FALSE),""),"")</f>
        <v/>
      </c>
      <c r="F14" s="721" t="str">
        <f>IFERROR(IF(AND(데이터입력!$AE$2="추경",데이터입력!$AM$2=TRUE),VLOOKUP($A14,데이터입력!$A:$H,5,FALSE),""),"")</f>
        <v/>
      </c>
      <c r="G14" s="721" t="str">
        <f>IFERROR(IF(AND(데이터입력!$AE$2="추경",데이터입력!$AM$2=TRUE),VLOOKUP($A14,데이터입력!$A:$H,6,FALSE),""),"")</f>
        <v/>
      </c>
      <c r="H14" s="722" t="str">
        <f>IFERROR(IF(AND(데이터입력!$AE$2="추경",데이터입력!$AM$2=TRUE),VLOOKUP($A14,데이터입력!$A:$L,7,FALSE),""),"")</f>
        <v/>
      </c>
      <c r="I14" s="722" t="str">
        <f>IFERROR(IF(AND(데이터입력!$AE$2="추경",데이터입력!$AM$2=TRUE),VLOOKUP($A14,데이터입력!$A:$L,8,FALSE)+VLOOKUP($A14,데이터입력!$A:$L,9,FALSE)+VLOOKUP($A14,데이터입력!$A:$L,10,FALSE),""),"")</f>
        <v/>
      </c>
      <c r="J14" s="723" t="s">
        <v>136</v>
      </c>
      <c r="K14" s="723" t="s">
        <v>136</v>
      </c>
      <c r="L14" s="723" t="s">
        <v>136</v>
      </c>
      <c r="M14" s="715"/>
      <c r="N14" s="233">
        <v>212</v>
      </c>
      <c r="O14" s="727" t="str">
        <f>IFERROR(IF(S14="06",데이터입력!$AB$8,IF(S14="07",데이터입력!$AD$8,IF(S14="05",데이터입력!$AF$8,데이터입력!$AB$8))),데이터입력!$AB$8)</f>
        <v>00</v>
      </c>
      <c r="P14" s="728" t="str">
        <f>데이터입력!$AC$9</f>
        <v>일반사업[일반]</v>
      </c>
      <c r="Q14" s="729" t="str">
        <f>IFERROR(IF(데이터입력!$AE$2="추경",VLOOKUP($N14,데이터입력!$A:$H,4,FALSE),""),"")</f>
        <v/>
      </c>
      <c r="R14" s="729" t="str">
        <f>IFERROR(IF(데이터입력!$AE$2="추경",VLOOKUP($N14,데이터입력!$A:$H,2,FALSE),""),"")</f>
        <v/>
      </c>
      <c r="S14" s="729" t="str">
        <f>IFERROR(IF(데이터입력!$AE$2="추경",VLOOKUP($N14,데이터입력!$A:$H,5,FALSE),""),"")</f>
        <v/>
      </c>
      <c r="T14" s="729" t="str">
        <f>IFERROR(IF(데이터입력!$AE$2="추경",VLOOKUP($N14,데이터입력!$A:$H,6,FALSE),""),"")</f>
        <v/>
      </c>
      <c r="U14" s="730" t="str">
        <f>IFERROR(IF(데이터입력!$AE$2="추경",VLOOKUP($N14,데이터입력!$A:$L,8,FALSE)+VLOOKUP($N14,데이터입력!$A:$L,9,FALSE)+VLOOKUP($N14,데이터입력!$A:$L,10,FALSE),""),"")</f>
        <v/>
      </c>
      <c r="V14" s="731" t="s">
        <v>136</v>
      </c>
      <c r="W14" s="731" t="s">
        <v>136</v>
      </c>
      <c r="X14" s="731" t="s">
        <v>136</v>
      </c>
      <c r="Y14" s="711"/>
      <c r="Z14" s="235" t="str">
        <f>데이터입력!$AB$8</f>
        <v>00</v>
      </c>
      <c r="AA14" s="238" t="str">
        <f>데이터입력!$AC$9</f>
        <v>일반사업[일반]</v>
      </c>
      <c r="AB14" s="236" t="str">
        <f>IFERROR(IF(데이터입력!$AE$2="추경",VLOOKUP($A14,보수일람표!$A:$M,4,FALSE),""),"")</f>
        <v/>
      </c>
      <c r="AC14" s="236" t="str">
        <f>IFERROR(IF(데이터입력!$AE$2="추경",VLOOKUP($A14,보수일람표!$A:$M,5,FALSE),""),"")</f>
        <v/>
      </c>
      <c r="AD14" s="236" t="str">
        <f>IFERROR(IF(데이터입력!$AE$2="추경",VLOOKUP($A14,보수일람표!$A:$M,6,FALSE),""),"")</f>
        <v/>
      </c>
      <c r="AE14" s="236" t="str">
        <f>IFERROR(IF(데이터입력!$AE$2="추경",VLOOKUP($A14,보수일람표!$A:$M,7,FALSE),""),"")</f>
        <v>간접</v>
      </c>
      <c r="AF14" s="236"/>
      <c r="AG14" s="237">
        <f>IFERROR(IF(데이터입력!$AE$2="추경",VLOOKUP($A14,보수일람표!$A:$M,9,FALSE),""),"")</f>
        <v>0</v>
      </c>
      <c r="AH14" s="237">
        <f>IFERROR(IF(데이터입력!$AE$2="추경",VLOOKUP($A14,보수일람표!$A:$M,10,FALSE),""),"")</f>
        <v>0</v>
      </c>
      <c r="AI14" s="237">
        <f>IFERROR(IF(데이터입력!$AE$2="추경",VLOOKUP($A14,보수일람표!$A:$M,11,FALSE),""),"")</f>
        <v>0</v>
      </c>
      <c r="AJ14" s="237">
        <f>IFERROR(IF(데이터입력!$AE$2="추경",VLOOKUP($A14,보수일람표!$A:$M,12,FALSE),""),"")</f>
        <v>0</v>
      </c>
      <c r="AK14" s="237">
        <f>IFERROR(IF(데이터입력!$AE$2="추경",VLOOKUP($A14,보수일람표!$A:$M,13,FALSE),""),"")</f>
        <v>0</v>
      </c>
    </row>
    <row r="15" spans="1:37">
      <c r="A15" s="233">
        <v>13</v>
      </c>
      <c r="B15" s="719" t="str">
        <f>IFERROR(IF(F15="06",데이터입력!$AB$8,IF(F15="07",데이터입력!$AD$8,IF(F15="05",데이터입력!$AF$8,데이터입력!$AB$8))),데이터입력!$AB$8)</f>
        <v>00</v>
      </c>
      <c r="C15" s="720" t="str">
        <f>데이터입력!$AC$9</f>
        <v>일반사업[일반]</v>
      </c>
      <c r="D15" s="721" t="str">
        <f>IFERROR(IF(AND(데이터입력!$AE$2="추경",데이터입력!$AM$2=TRUE),VLOOKUP($A15,데이터입력!$A:$H,4,FALSE),""),"")</f>
        <v/>
      </c>
      <c r="E15" s="721" t="str">
        <f>IFERROR(IF(AND(데이터입력!$AE$2="추경",데이터입력!$AM$2=TRUE),VLOOKUP($A15,데이터입력!$A:$H,2,FALSE),""),"")</f>
        <v/>
      </c>
      <c r="F15" s="721" t="str">
        <f>IFERROR(IF(AND(데이터입력!$AE$2="추경",데이터입력!$AM$2=TRUE),VLOOKUP($A15,데이터입력!$A:$H,5,FALSE),""),"")</f>
        <v/>
      </c>
      <c r="G15" s="721" t="str">
        <f>IFERROR(IF(AND(데이터입력!$AE$2="추경",데이터입력!$AM$2=TRUE),VLOOKUP($A15,데이터입력!$A:$H,6,FALSE),""),"")</f>
        <v/>
      </c>
      <c r="H15" s="722" t="str">
        <f>IFERROR(IF(AND(데이터입력!$AE$2="추경",데이터입력!$AM$2=TRUE),VLOOKUP($A15,데이터입력!$A:$L,7,FALSE),""),"")</f>
        <v/>
      </c>
      <c r="I15" s="722" t="str">
        <f>IFERROR(IF(AND(데이터입력!$AE$2="추경",데이터입력!$AM$2=TRUE),VLOOKUP($A15,데이터입력!$A:$L,8,FALSE)+VLOOKUP($A15,데이터입력!$A:$L,9,FALSE)+VLOOKUP($A15,데이터입력!$A:$L,10,FALSE),""),"")</f>
        <v/>
      </c>
      <c r="J15" s="723" t="s">
        <v>136</v>
      </c>
      <c r="K15" s="723" t="s">
        <v>136</v>
      </c>
      <c r="L15" s="723" t="s">
        <v>136</v>
      </c>
      <c r="M15" s="715"/>
      <c r="N15" s="233">
        <v>213</v>
      </c>
      <c r="O15" s="727" t="str">
        <f>IFERROR(IF(S15="06",데이터입력!$AB$8,IF(S15="07",데이터입력!$AD$8,IF(S15="05",데이터입력!$AF$8,데이터입력!$AB$8))),데이터입력!$AB$8)</f>
        <v>00</v>
      </c>
      <c r="P15" s="728" t="str">
        <f>데이터입력!$AC$9</f>
        <v>일반사업[일반]</v>
      </c>
      <c r="Q15" s="729" t="str">
        <f>IFERROR(IF(데이터입력!$AE$2="추경",VLOOKUP($N15,데이터입력!$A:$H,4,FALSE),""),"")</f>
        <v/>
      </c>
      <c r="R15" s="729" t="str">
        <f>IFERROR(IF(데이터입력!$AE$2="추경",VLOOKUP($N15,데이터입력!$A:$H,2,FALSE),""),"")</f>
        <v/>
      </c>
      <c r="S15" s="729" t="str">
        <f>IFERROR(IF(데이터입력!$AE$2="추경",VLOOKUP($N15,데이터입력!$A:$H,5,FALSE),""),"")</f>
        <v/>
      </c>
      <c r="T15" s="729" t="str">
        <f>IFERROR(IF(데이터입력!$AE$2="추경",VLOOKUP($N15,데이터입력!$A:$H,6,FALSE),""),"")</f>
        <v/>
      </c>
      <c r="U15" s="730" t="str">
        <f>IFERROR(IF(데이터입력!$AE$2="추경",VLOOKUP($N15,데이터입력!$A:$L,8,FALSE)+VLOOKUP($N15,데이터입력!$A:$L,9,FALSE)+VLOOKUP($N15,데이터입력!$A:$L,10,FALSE),""),"")</f>
        <v/>
      </c>
      <c r="V15" s="731" t="s">
        <v>136</v>
      </c>
      <c r="W15" s="731" t="s">
        <v>136</v>
      </c>
      <c r="X15" s="731" t="s">
        <v>136</v>
      </c>
      <c r="Y15" s="712"/>
      <c r="Z15" s="235" t="str">
        <f>데이터입력!$AB$8</f>
        <v>00</v>
      </c>
      <c r="AA15" s="238" t="str">
        <f>데이터입력!$AC$9</f>
        <v>일반사업[일반]</v>
      </c>
      <c r="AB15" s="236" t="str">
        <f>IFERROR(IF(데이터입력!$AE$2="추경",VLOOKUP($A15,보수일람표!$A:$M,4,FALSE),""),"")</f>
        <v/>
      </c>
      <c r="AC15" s="236" t="str">
        <f>IFERROR(IF(데이터입력!$AE$2="추경",VLOOKUP($A15,보수일람표!$A:$M,5,FALSE),""),"")</f>
        <v/>
      </c>
      <c r="AD15" s="236" t="str">
        <f>IFERROR(IF(데이터입력!$AE$2="추경",VLOOKUP($A15,보수일람표!$A:$M,6,FALSE),""),"")</f>
        <v/>
      </c>
      <c r="AE15" s="236" t="str">
        <f>IFERROR(IF(데이터입력!$AE$2="추경",VLOOKUP($A15,보수일람표!$A:$M,7,FALSE),""),"")</f>
        <v>간접</v>
      </c>
      <c r="AF15" s="236"/>
      <c r="AG15" s="237">
        <f>IFERROR(IF(데이터입력!$AE$2="추경",VLOOKUP($A15,보수일람표!$A:$M,9,FALSE),""),"")</f>
        <v>0</v>
      </c>
      <c r="AH15" s="237">
        <f>IFERROR(IF(데이터입력!$AE$2="추경",VLOOKUP($A15,보수일람표!$A:$M,10,FALSE),""),"")</f>
        <v>0</v>
      </c>
      <c r="AI15" s="237">
        <f>IFERROR(IF(데이터입력!$AE$2="추경",VLOOKUP($A15,보수일람표!$A:$M,11,FALSE),""),"")</f>
        <v>0</v>
      </c>
      <c r="AJ15" s="237">
        <f>IFERROR(IF(데이터입력!$AE$2="추경",VLOOKUP($A15,보수일람표!$A:$M,12,FALSE),""),"")</f>
        <v>0</v>
      </c>
      <c r="AK15" s="237">
        <f>IFERROR(IF(데이터입력!$AE$2="추경",VLOOKUP($A15,보수일람표!$A:$M,13,FALSE),""),"")</f>
        <v>0</v>
      </c>
    </row>
    <row r="16" spans="1:37">
      <c r="A16" s="233">
        <v>14</v>
      </c>
      <c r="B16" s="719" t="str">
        <f>IFERROR(IF(F16="06",데이터입력!$AB$8,IF(F16="07",데이터입력!$AD$8,IF(F16="05",데이터입력!$AF$8,데이터입력!$AB$8))),데이터입력!$AB$8)</f>
        <v>00</v>
      </c>
      <c r="C16" s="720" t="str">
        <f>데이터입력!$AC$9</f>
        <v>일반사업[일반]</v>
      </c>
      <c r="D16" s="721" t="str">
        <f>IFERROR(IF(AND(데이터입력!$AE$2="추경",데이터입력!$AM$2=TRUE),VLOOKUP($A16,데이터입력!$A:$H,4,FALSE),""),"")</f>
        <v/>
      </c>
      <c r="E16" s="721" t="str">
        <f>IFERROR(IF(AND(데이터입력!$AE$2="추경",데이터입력!$AM$2=TRUE),VLOOKUP($A16,데이터입력!$A:$H,2,FALSE),""),"")</f>
        <v/>
      </c>
      <c r="F16" s="721" t="str">
        <f>IFERROR(IF(AND(데이터입력!$AE$2="추경",데이터입력!$AM$2=TRUE),VLOOKUP($A16,데이터입력!$A:$H,5,FALSE),""),"")</f>
        <v/>
      </c>
      <c r="G16" s="721" t="str">
        <f>IFERROR(IF(AND(데이터입력!$AE$2="추경",데이터입력!$AM$2=TRUE),VLOOKUP($A16,데이터입력!$A:$H,6,FALSE),""),"")</f>
        <v/>
      </c>
      <c r="H16" s="722" t="str">
        <f>IFERROR(IF(AND(데이터입력!$AE$2="추경",데이터입력!$AM$2=TRUE),VLOOKUP($A16,데이터입력!$A:$L,7,FALSE),""),"")</f>
        <v/>
      </c>
      <c r="I16" s="722" t="str">
        <f>IFERROR(IF(AND(데이터입력!$AE$2="추경",데이터입력!$AM$2=TRUE),VLOOKUP($A16,데이터입력!$A:$L,8,FALSE)+VLOOKUP($A16,데이터입력!$A:$L,9,FALSE)+VLOOKUP($A16,데이터입력!$A:$L,10,FALSE),""),"")</f>
        <v/>
      </c>
      <c r="J16" s="723" t="s">
        <v>136</v>
      </c>
      <c r="K16" s="723" t="s">
        <v>136</v>
      </c>
      <c r="L16" s="723" t="s">
        <v>136</v>
      </c>
      <c r="M16" s="715"/>
      <c r="N16" s="233">
        <v>214</v>
      </c>
      <c r="O16" s="727" t="str">
        <f>IFERROR(IF(S16="06",데이터입력!$AB$8,IF(S16="07",데이터입력!$AD$8,IF(S16="05",데이터입력!$AF$8,데이터입력!$AB$8))),데이터입력!$AB$8)</f>
        <v>00</v>
      </c>
      <c r="P16" s="728" t="str">
        <f>데이터입력!$AC$9</f>
        <v>일반사업[일반]</v>
      </c>
      <c r="Q16" s="729" t="str">
        <f>IFERROR(IF(데이터입력!$AE$2="추경",VLOOKUP($N16,데이터입력!$A:$H,4,FALSE),""),"")</f>
        <v/>
      </c>
      <c r="R16" s="729" t="str">
        <f>IFERROR(IF(데이터입력!$AE$2="추경",VLOOKUP($N16,데이터입력!$A:$H,2,FALSE),""),"")</f>
        <v/>
      </c>
      <c r="S16" s="729" t="str">
        <f>IFERROR(IF(데이터입력!$AE$2="추경",VLOOKUP($N16,데이터입력!$A:$H,5,FALSE),""),"")</f>
        <v/>
      </c>
      <c r="T16" s="729" t="str">
        <f>IFERROR(IF(데이터입력!$AE$2="추경",VLOOKUP($N16,데이터입력!$A:$H,6,FALSE),""),"")</f>
        <v/>
      </c>
      <c r="U16" s="730" t="str">
        <f>IFERROR(IF(데이터입력!$AE$2="추경",VLOOKUP($N16,데이터입력!$A:$L,8,FALSE)+VLOOKUP($N16,데이터입력!$A:$L,9,FALSE)+VLOOKUP($N16,데이터입력!$A:$L,10,FALSE),""),"")</f>
        <v/>
      </c>
      <c r="V16" s="731" t="s">
        <v>136</v>
      </c>
      <c r="W16" s="731" t="s">
        <v>136</v>
      </c>
      <c r="X16" s="731" t="s">
        <v>136</v>
      </c>
      <c r="Y16" s="711"/>
      <c r="Z16" s="235" t="str">
        <f>데이터입력!$AB$8</f>
        <v>00</v>
      </c>
      <c r="AA16" s="238" t="str">
        <f>데이터입력!$AC$9</f>
        <v>일반사업[일반]</v>
      </c>
      <c r="AB16" s="236" t="str">
        <f>IFERROR(IF(데이터입력!$AE$2="추경",VLOOKUP($A16,보수일람표!$A:$M,4,FALSE),""),"")</f>
        <v/>
      </c>
      <c r="AC16" s="236" t="str">
        <f>IFERROR(IF(데이터입력!$AE$2="추경",VLOOKUP($A16,보수일람표!$A:$M,5,FALSE),""),"")</f>
        <v/>
      </c>
      <c r="AD16" s="236" t="str">
        <f>IFERROR(IF(데이터입력!$AE$2="추경",VLOOKUP($A16,보수일람표!$A:$M,6,FALSE),""),"")</f>
        <v/>
      </c>
      <c r="AE16" s="236" t="str">
        <f>IFERROR(IF(데이터입력!$AE$2="추경",VLOOKUP($A16,보수일람표!$A:$M,7,FALSE),""),"")</f>
        <v>간접</v>
      </c>
      <c r="AF16" s="236"/>
      <c r="AG16" s="237">
        <f>IFERROR(IF(데이터입력!$AE$2="추경",VLOOKUP($A16,보수일람표!$A:$M,9,FALSE),""),"")</f>
        <v>0</v>
      </c>
      <c r="AH16" s="237">
        <f>IFERROR(IF(데이터입력!$AE$2="추경",VLOOKUP($A16,보수일람표!$A:$M,10,FALSE),""),"")</f>
        <v>0</v>
      </c>
      <c r="AI16" s="237">
        <f>IFERROR(IF(데이터입력!$AE$2="추경",VLOOKUP($A16,보수일람표!$A:$M,11,FALSE),""),"")</f>
        <v>0</v>
      </c>
      <c r="AJ16" s="237">
        <f>IFERROR(IF(데이터입력!$AE$2="추경",VLOOKUP($A16,보수일람표!$A:$M,12,FALSE),""),"")</f>
        <v>0</v>
      </c>
      <c r="AK16" s="237">
        <f>IFERROR(IF(데이터입력!$AE$2="추경",VLOOKUP($A16,보수일람표!$A:$M,13,FALSE),""),"")</f>
        <v>0</v>
      </c>
    </row>
    <row r="17" spans="1:37">
      <c r="A17" s="233">
        <v>15</v>
      </c>
      <c r="B17" s="719" t="str">
        <f>IFERROR(IF(F17="06",데이터입력!$AB$8,IF(F17="07",데이터입력!$AD$8,IF(F17="05",데이터입력!$AF$8,데이터입력!$AB$8))),데이터입력!$AB$8)</f>
        <v>00</v>
      </c>
      <c r="C17" s="720" t="str">
        <f>데이터입력!$AC$9</f>
        <v>일반사업[일반]</v>
      </c>
      <c r="D17" s="721" t="str">
        <f>IFERROR(IF(AND(데이터입력!$AE$2="추경",데이터입력!$AM$2=TRUE),VLOOKUP($A17,데이터입력!$A:$H,4,FALSE),""),"")</f>
        <v/>
      </c>
      <c r="E17" s="721" t="str">
        <f>IFERROR(IF(AND(데이터입력!$AE$2="추경",데이터입력!$AM$2=TRUE),VLOOKUP($A17,데이터입력!$A:$H,2,FALSE),""),"")</f>
        <v/>
      </c>
      <c r="F17" s="721" t="str">
        <f>IFERROR(IF(AND(데이터입력!$AE$2="추경",데이터입력!$AM$2=TRUE),VLOOKUP($A17,데이터입력!$A:$H,5,FALSE),""),"")</f>
        <v/>
      </c>
      <c r="G17" s="721" t="str">
        <f>IFERROR(IF(AND(데이터입력!$AE$2="추경",데이터입력!$AM$2=TRUE),VLOOKUP($A17,데이터입력!$A:$H,6,FALSE),""),"")</f>
        <v/>
      </c>
      <c r="H17" s="722" t="str">
        <f>IFERROR(IF(AND(데이터입력!$AE$2="추경",데이터입력!$AM$2=TRUE),VLOOKUP($A17,데이터입력!$A:$L,7,FALSE),""),"")</f>
        <v/>
      </c>
      <c r="I17" s="722" t="str">
        <f>IFERROR(IF(AND(데이터입력!$AE$2="추경",데이터입력!$AM$2=TRUE),VLOOKUP($A17,데이터입력!$A:$L,8,FALSE)+VLOOKUP($A17,데이터입력!$A:$L,9,FALSE)+VLOOKUP($A17,데이터입력!$A:$L,10,FALSE),""),"")</f>
        <v/>
      </c>
      <c r="J17" s="723" t="s">
        <v>136</v>
      </c>
      <c r="K17" s="723" t="s">
        <v>136</v>
      </c>
      <c r="L17" s="723" t="s">
        <v>136</v>
      </c>
      <c r="M17" s="715"/>
      <c r="N17" s="233">
        <v>215</v>
      </c>
      <c r="O17" s="727" t="str">
        <f>IFERROR(IF(S17="06",데이터입력!$AB$8,IF(S17="07",데이터입력!$AD$8,IF(S17="05",데이터입력!$AF$8,데이터입력!$AB$8))),데이터입력!$AB$8)</f>
        <v>00</v>
      </c>
      <c r="P17" s="728" t="str">
        <f>데이터입력!$AC$9</f>
        <v>일반사업[일반]</v>
      </c>
      <c r="Q17" s="729" t="str">
        <f>IFERROR(IF(데이터입력!$AE$2="추경",VLOOKUP($N17,데이터입력!$A:$H,4,FALSE),""),"")</f>
        <v/>
      </c>
      <c r="R17" s="729" t="str">
        <f>IFERROR(IF(데이터입력!$AE$2="추경",VLOOKUP($N17,데이터입력!$A:$H,2,FALSE),""),"")</f>
        <v/>
      </c>
      <c r="S17" s="729" t="str">
        <f>IFERROR(IF(데이터입력!$AE$2="추경",VLOOKUP($N17,데이터입력!$A:$H,5,FALSE),""),"")</f>
        <v/>
      </c>
      <c r="T17" s="729" t="str">
        <f>IFERROR(IF(데이터입력!$AE$2="추경",VLOOKUP($N17,데이터입력!$A:$H,6,FALSE),""),"")</f>
        <v/>
      </c>
      <c r="U17" s="730" t="str">
        <f>IFERROR(IF(데이터입력!$AE$2="추경",VLOOKUP($N17,데이터입력!$A:$L,8,FALSE)+VLOOKUP($N17,데이터입력!$A:$L,9,FALSE)+VLOOKUP($N17,데이터입력!$A:$L,10,FALSE),""),"")</f>
        <v/>
      </c>
      <c r="V17" s="731" t="s">
        <v>136</v>
      </c>
      <c r="W17" s="731" t="s">
        <v>136</v>
      </c>
      <c r="X17" s="731" t="s">
        <v>136</v>
      </c>
      <c r="Y17" s="712"/>
      <c r="Z17" s="235" t="str">
        <f>데이터입력!$AB$8</f>
        <v>00</v>
      </c>
      <c r="AA17" s="238" t="str">
        <f>데이터입력!$AC$9</f>
        <v>일반사업[일반]</v>
      </c>
      <c r="AB17" s="236" t="str">
        <f>IFERROR(IF(데이터입력!$AE$2="추경",VLOOKUP($A17,보수일람표!$A:$M,4,FALSE),""),"")</f>
        <v/>
      </c>
      <c r="AC17" s="236" t="str">
        <f>IFERROR(IF(데이터입력!$AE$2="추경",VLOOKUP($A17,보수일람표!$A:$M,5,FALSE),""),"")</f>
        <v/>
      </c>
      <c r="AD17" s="236" t="str">
        <f>IFERROR(IF(데이터입력!$AE$2="추경",VLOOKUP($A17,보수일람표!$A:$M,6,FALSE),""),"")</f>
        <v/>
      </c>
      <c r="AE17" s="236" t="str">
        <f>IFERROR(IF(데이터입력!$AE$2="추경",VLOOKUP($A17,보수일람표!$A:$M,7,FALSE),""),"")</f>
        <v>간접</v>
      </c>
      <c r="AF17" s="236"/>
      <c r="AG17" s="237">
        <f>IFERROR(IF(데이터입력!$AE$2="추경",VLOOKUP($A17,보수일람표!$A:$M,9,FALSE),""),"")</f>
        <v>0</v>
      </c>
      <c r="AH17" s="237">
        <f>IFERROR(IF(데이터입력!$AE$2="추경",VLOOKUP($A17,보수일람표!$A:$M,10,FALSE),""),"")</f>
        <v>0</v>
      </c>
      <c r="AI17" s="237">
        <f>IFERROR(IF(데이터입력!$AE$2="추경",VLOOKUP($A17,보수일람표!$A:$M,11,FALSE),""),"")</f>
        <v>0</v>
      </c>
      <c r="AJ17" s="237">
        <f>IFERROR(IF(데이터입력!$AE$2="추경",VLOOKUP($A17,보수일람표!$A:$M,12,FALSE),""),"")</f>
        <v>0</v>
      </c>
      <c r="AK17" s="237">
        <f>IFERROR(IF(데이터입력!$AE$2="추경",VLOOKUP($A17,보수일람표!$A:$M,13,FALSE),""),"")</f>
        <v>0</v>
      </c>
    </row>
    <row r="18" spans="1:37">
      <c r="A18" s="233">
        <v>16</v>
      </c>
      <c r="B18" s="719" t="str">
        <f>IFERROR(IF(F18="06",데이터입력!$AB$8,IF(F18="07",데이터입력!$AD$8,IF(F18="05",데이터입력!$AF$8,데이터입력!$AB$8))),데이터입력!$AB$8)</f>
        <v>00</v>
      </c>
      <c r="C18" s="720" t="str">
        <f>데이터입력!$AC$9</f>
        <v>일반사업[일반]</v>
      </c>
      <c r="D18" s="721" t="str">
        <f>IFERROR(IF(AND(데이터입력!$AE$2="추경",데이터입력!$AM$2=TRUE),VLOOKUP($A18,데이터입력!$A:$H,4,FALSE),""),"")</f>
        <v/>
      </c>
      <c r="E18" s="721" t="str">
        <f>IFERROR(IF(AND(데이터입력!$AE$2="추경",데이터입력!$AM$2=TRUE),VLOOKUP($A18,데이터입력!$A:$H,2,FALSE),""),"")</f>
        <v/>
      </c>
      <c r="F18" s="721" t="str">
        <f>IFERROR(IF(AND(데이터입력!$AE$2="추경",데이터입력!$AM$2=TRUE),VLOOKUP($A18,데이터입력!$A:$H,5,FALSE),""),"")</f>
        <v/>
      </c>
      <c r="G18" s="721" t="str">
        <f>IFERROR(IF(AND(데이터입력!$AE$2="추경",데이터입력!$AM$2=TRUE),VLOOKUP($A18,데이터입력!$A:$H,6,FALSE),""),"")</f>
        <v/>
      </c>
      <c r="H18" s="722" t="str">
        <f>IFERROR(IF(AND(데이터입력!$AE$2="추경",데이터입력!$AM$2=TRUE),VLOOKUP($A18,데이터입력!$A:$L,7,FALSE),""),"")</f>
        <v/>
      </c>
      <c r="I18" s="722" t="str">
        <f>IFERROR(IF(AND(데이터입력!$AE$2="추경",데이터입력!$AM$2=TRUE),VLOOKUP($A18,데이터입력!$A:$L,8,FALSE)+VLOOKUP($A18,데이터입력!$A:$L,9,FALSE)+VLOOKUP($A18,데이터입력!$A:$L,10,FALSE),""),"")</f>
        <v/>
      </c>
      <c r="J18" s="723" t="s">
        <v>136</v>
      </c>
      <c r="K18" s="723" t="s">
        <v>136</v>
      </c>
      <c r="L18" s="723" t="s">
        <v>136</v>
      </c>
      <c r="M18" s="715"/>
      <c r="N18" s="233">
        <v>216</v>
      </c>
      <c r="O18" s="727" t="str">
        <f>IFERROR(IF(S18="06",데이터입력!$AB$8,IF(S18="07",데이터입력!$AD$8,IF(S18="05",데이터입력!$AF$8,데이터입력!$AB$8))),데이터입력!$AB$8)</f>
        <v>00</v>
      </c>
      <c r="P18" s="728" t="str">
        <f>데이터입력!$AC$9</f>
        <v>일반사업[일반]</v>
      </c>
      <c r="Q18" s="729" t="str">
        <f>IFERROR(IF(데이터입력!$AE$2="추경",VLOOKUP($N18,데이터입력!$A:$H,4,FALSE),""),"")</f>
        <v/>
      </c>
      <c r="R18" s="729" t="str">
        <f>IFERROR(IF(데이터입력!$AE$2="추경",VLOOKUP($N18,데이터입력!$A:$H,2,FALSE),""),"")</f>
        <v/>
      </c>
      <c r="S18" s="729" t="str">
        <f>IFERROR(IF(데이터입력!$AE$2="추경",VLOOKUP($N18,데이터입력!$A:$H,5,FALSE),""),"")</f>
        <v/>
      </c>
      <c r="T18" s="729" t="str">
        <f>IFERROR(IF(데이터입력!$AE$2="추경",VLOOKUP($N18,데이터입력!$A:$H,6,FALSE),""),"")</f>
        <v/>
      </c>
      <c r="U18" s="730" t="str">
        <f>IFERROR(IF(데이터입력!$AE$2="추경",VLOOKUP($N18,데이터입력!$A:$L,8,FALSE)+VLOOKUP($N18,데이터입력!$A:$L,9,FALSE)+VLOOKUP($N18,데이터입력!$A:$L,10,FALSE),""),"")</f>
        <v/>
      </c>
      <c r="V18" s="731" t="s">
        <v>136</v>
      </c>
      <c r="W18" s="731" t="s">
        <v>136</v>
      </c>
      <c r="X18" s="731" t="s">
        <v>136</v>
      </c>
      <c r="Y18" s="711"/>
      <c r="Z18" s="235" t="str">
        <f>데이터입력!$AB$8</f>
        <v>00</v>
      </c>
      <c r="AA18" s="238" t="str">
        <f>데이터입력!$AC$9</f>
        <v>일반사업[일반]</v>
      </c>
      <c r="AB18" s="236" t="str">
        <f>IFERROR(IF(데이터입력!$AE$2="추경",VLOOKUP($A18,보수일람표!$A:$M,4,FALSE),""),"")</f>
        <v/>
      </c>
      <c r="AC18" s="236" t="str">
        <f>IFERROR(IF(데이터입력!$AE$2="추경",VLOOKUP($A18,보수일람표!$A:$M,5,FALSE),""),"")</f>
        <v/>
      </c>
      <c r="AD18" s="236" t="str">
        <f>IFERROR(IF(데이터입력!$AE$2="추경",VLOOKUP($A18,보수일람표!$A:$M,6,FALSE),""),"")</f>
        <v/>
      </c>
      <c r="AE18" s="236" t="str">
        <f>IFERROR(IF(데이터입력!$AE$2="추경",VLOOKUP($A18,보수일람표!$A:$M,7,FALSE),""),"")</f>
        <v>간접</v>
      </c>
      <c r="AF18" s="236"/>
      <c r="AG18" s="237">
        <f>IFERROR(IF(데이터입력!$AE$2="추경",VLOOKUP($A18,보수일람표!$A:$M,9,FALSE),""),"")</f>
        <v>0</v>
      </c>
      <c r="AH18" s="237">
        <f>IFERROR(IF(데이터입력!$AE$2="추경",VLOOKUP($A18,보수일람표!$A:$M,10,FALSE),""),"")</f>
        <v>0</v>
      </c>
      <c r="AI18" s="237">
        <f>IFERROR(IF(데이터입력!$AE$2="추경",VLOOKUP($A18,보수일람표!$A:$M,11,FALSE),""),"")</f>
        <v>0</v>
      </c>
      <c r="AJ18" s="237">
        <f>IFERROR(IF(데이터입력!$AE$2="추경",VLOOKUP($A18,보수일람표!$A:$M,12,FALSE),""),"")</f>
        <v>0</v>
      </c>
      <c r="AK18" s="237">
        <f>IFERROR(IF(데이터입력!$AE$2="추경",VLOOKUP($A18,보수일람표!$A:$M,13,FALSE),""),"")</f>
        <v>0</v>
      </c>
    </row>
    <row r="19" spans="1:37">
      <c r="A19" s="233">
        <v>17</v>
      </c>
      <c r="B19" s="719" t="str">
        <f>IFERROR(IF(F19="06",데이터입력!$AB$8,IF(F19="07",데이터입력!$AD$8,IF(F19="05",데이터입력!$AF$8,데이터입력!$AB$8))),데이터입력!$AB$8)</f>
        <v>00</v>
      </c>
      <c r="C19" s="720" t="str">
        <f>데이터입력!$AC$9</f>
        <v>일반사업[일반]</v>
      </c>
      <c r="D19" s="721" t="str">
        <f>IFERROR(IF(AND(데이터입력!$AE$2="추경",데이터입력!$AM$2=TRUE),VLOOKUP($A19,데이터입력!$A:$H,4,FALSE),""),"")</f>
        <v/>
      </c>
      <c r="E19" s="721" t="str">
        <f>IFERROR(IF(AND(데이터입력!$AE$2="추경",데이터입력!$AM$2=TRUE),VLOOKUP($A19,데이터입력!$A:$H,2,FALSE),""),"")</f>
        <v/>
      </c>
      <c r="F19" s="721" t="str">
        <f>IFERROR(IF(AND(데이터입력!$AE$2="추경",데이터입력!$AM$2=TRUE),VLOOKUP($A19,데이터입력!$A:$H,5,FALSE),""),"")</f>
        <v/>
      </c>
      <c r="G19" s="721" t="str">
        <f>IFERROR(IF(AND(데이터입력!$AE$2="추경",데이터입력!$AM$2=TRUE),VLOOKUP($A19,데이터입력!$A:$H,6,FALSE),""),"")</f>
        <v/>
      </c>
      <c r="H19" s="722" t="str">
        <f>IFERROR(IF(AND(데이터입력!$AE$2="추경",데이터입력!$AM$2=TRUE),VLOOKUP($A19,데이터입력!$A:$L,7,FALSE),""),"")</f>
        <v/>
      </c>
      <c r="I19" s="722" t="str">
        <f>IFERROR(IF(AND(데이터입력!$AE$2="추경",데이터입력!$AM$2=TRUE),VLOOKUP($A19,데이터입력!$A:$L,8,FALSE)+VLOOKUP($A19,데이터입력!$A:$L,9,FALSE)+VLOOKUP($A19,데이터입력!$A:$L,10,FALSE),""),"")</f>
        <v/>
      </c>
      <c r="J19" s="723" t="s">
        <v>136</v>
      </c>
      <c r="K19" s="723" t="s">
        <v>136</v>
      </c>
      <c r="L19" s="723" t="s">
        <v>136</v>
      </c>
      <c r="M19" s="715"/>
      <c r="N19" s="233">
        <v>217</v>
      </c>
      <c r="O19" s="727" t="str">
        <f>IFERROR(IF(S19="06",데이터입력!$AB$8,IF(S19="07",데이터입력!$AD$8,IF(S19="05",데이터입력!$AF$8,데이터입력!$AB$8))),데이터입력!$AB$8)</f>
        <v>00</v>
      </c>
      <c r="P19" s="728" t="str">
        <f>데이터입력!$AC$9</f>
        <v>일반사업[일반]</v>
      </c>
      <c r="Q19" s="729" t="str">
        <f>IFERROR(IF(데이터입력!$AE$2="추경",VLOOKUP($N19,데이터입력!$A:$H,4,FALSE),""),"")</f>
        <v/>
      </c>
      <c r="R19" s="729" t="str">
        <f>IFERROR(IF(데이터입력!$AE$2="추경",VLOOKUP($N19,데이터입력!$A:$H,2,FALSE),""),"")</f>
        <v/>
      </c>
      <c r="S19" s="729" t="str">
        <f>IFERROR(IF(데이터입력!$AE$2="추경",VLOOKUP($N19,데이터입력!$A:$H,5,FALSE),""),"")</f>
        <v/>
      </c>
      <c r="T19" s="729" t="str">
        <f>IFERROR(IF(데이터입력!$AE$2="추경",VLOOKUP($N19,데이터입력!$A:$H,6,FALSE),""),"")</f>
        <v/>
      </c>
      <c r="U19" s="730" t="str">
        <f>IFERROR(IF(데이터입력!$AE$2="추경",VLOOKUP($N19,데이터입력!$A:$L,8,FALSE)+VLOOKUP($N19,데이터입력!$A:$L,9,FALSE)+VLOOKUP($N19,데이터입력!$A:$L,10,FALSE),""),"")</f>
        <v/>
      </c>
      <c r="V19" s="731" t="s">
        <v>136</v>
      </c>
      <c r="W19" s="731" t="s">
        <v>136</v>
      </c>
      <c r="X19" s="731" t="s">
        <v>136</v>
      </c>
      <c r="Y19" s="712"/>
      <c r="Z19" s="235" t="str">
        <f>데이터입력!$AB$8</f>
        <v>00</v>
      </c>
      <c r="AA19" s="238" t="str">
        <f>데이터입력!$AC$9</f>
        <v>일반사업[일반]</v>
      </c>
      <c r="AB19" s="236" t="str">
        <f>IFERROR(IF(데이터입력!$AE$2="추경",VLOOKUP($A19,보수일람표!$A:$M,4,FALSE),""),"")</f>
        <v/>
      </c>
      <c r="AC19" s="236" t="str">
        <f>IFERROR(IF(데이터입력!$AE$2="추경",VLOOKUP($A19,보수일람표!$A:$M,5,FALSE),""),"")</f>
        <v/>
      </c>
      <c r="AD19" s="236" t="str">
        <f>IFERROR(IF(데이터입력!$AE$2="추경",VLOOKUP($A19,보수일람표!$A:$M,6,FALSE),""),"")</f>
        <v/>
      </c>
      <c r="AE19" s="236" t="str">
        <f>IFERROR(IF(데이터입력!$AE$2="추경",VLOOKUP($A19,보수일람표!$A:$M,7,FALSE),""),"")</f>
        <v>간접</v>
      </c>
      <c r="AF19" s="236"/>
      <c r="AG19" s="237">
        <f>IFERROR(IF(데이터입력!$AE$2="추경",VLOOKUP($A19,보수일람표!$A:$M,9,FALSE),""),"")</f>
        <v>0</v>
      </c>
      <c r="AH19" s="237">
        <f>IFERROR(IF(데이터입력!$AE$2="추경",VLOOKUP($A19,보수일람표!$A:$M,10,FALSE),""),"")</f>
        <v>0</v>
      </c>
      <c r="AI19" s="237">
        <f>IFERROR(IF(데이터입력!$AE$2="추경",VLOOKUP($A19,보수일람표!$A:$M,11,FALSE),""),"")</f>
        <v>0</v>
      </c>
      <c r="AJ19" s="237">
        <f>IFERROR(IF(데이터입력!$AE$2="추경",VLOOKUP($A19,보수일람표!$A:$M,12,FALSE),""),"")</f>
        <v>0</v>
      </c>
      <c r="AK19" s="237">
        <f>IFERROR(IF(데이터입력!$AE$2="추경",VLOOKUP($A19,보수일람표!$A:$M,13,FALSE),""),"")</f>
        <v>0</v>
      </c>
    </row>
    <row r="20" spans="1:37">
      <c r="A20" s="233">
        <v>18</v>
      </c>
      <c r="B20" s="719" t="str">
        <f>IFERROR(IF(F20="06",데이터입력!$AB$8,IF(F20="07",데이터입력!$AD$8,IF(F20="05",데이터입력!$AF$8,데이터입력!$AB$8))),데이터입력!$AB$8)</f>
        <v>00</v>
      </c>
      <c r="C20" s="720" t="str">
        <f>데이터입력!$AC$9</f>
        <v>일반사업[일반]</v>
      </c>
      <c r="D20" s="721" t="str">
        <f>IFERROR(IF(AND(데이터입력!$AE$2="추경",데이터입력!$AM$2=TRUE),VLOOKUP($A20,데이터입력!$A:$H,4,FALSE),""),"")</f>
        <v/>
      </c>
      <c r="E20" s="721" t="str">
        <f>IFERROR(IF(AND(데이터입력!$AE$2="추경",데이터입력!$AM$2=TRUE),VLOOKUP($A20,데이터입력!$A:$H,2,FALSE),""),"")</f>
        <v/>
      </c>
      <c r="F20" s="721" t="str">
        <f>IFERROR(IF(AND(데이터입력!$AE$2="추경",데이터입력!$AM$2=TRUE),VLOOKUP($A20,데이터입력!$A:$H,5,FALSE),""),"")</f>
        <v/>
      </c>
      <c r="G20" s="721" t="str">
        <f>IFERROR(IF(AND(데이터입력!$AE$2="추경",데이터입력!$AM$2=TRUE),VLOOKUP($A20,데이터입력!$A:$H,6,FALSE),""),"")</f>
        <v/>
      </c>
      <c r="H20" s="722" t="str">
        <f>IFERROR(IF(AND(데이터입력!$AE$2="추경",데이터입력!$AM$2=TRUE),VLOOKUP($A20,데이터입력!$A:$L,7,FALSE),""),"")</f>
        <v/>
      </c>
      <c r="I20" s="722" t="str">
        <f>IFERROR(IF(AND(데이터입력!$AE$2="추경",데이터입력!$AM$2=TRUE),VLOOKUP($A20,데이터입력!$A:$L,8,FALSE)+VLOOKUP($A20,데이터입력!$A:$L,9,FALSE)+VLOOKUP($A20,데이터입력!$A:$L,10,FALSE),""),"")</f>
        <v/>
      </c>
      <c r="J20" s="723" t="s">
        <v>136</v>
      </c>
      <c r="K20" s="723" t="s">
        <v>136</v>
      </c>
      <c r="L20" s="723" t="s">
        <v>136</v>
      </c>
      <c r="M20" s="715"/>
      <c r="N20" s="233">
        <v>218</v>
      </c>
      <c r="O20" s="727" t="str">
        <f>IFERROR(IF(S20="06",데이터입력!$AB$8,IF(S20="07",데이터입력!$AD$8,IF(S20="05",데이터입력!$AF$8,데이터입력!$AB$8))),데이터입력!$AB$8)</f>
        <v>00</v>
      </c>
      <c r="P20" s="728" t="str">
        <f>데이터입력!$AC$9</f>
        <v>일반사업[일반]</v>
      </c>
      <c r="Q20" s="729" t="str">
        <f>IFERROR(IF(데이터입력!$AE$2="추경",VLOOKUP($N20,데이터입력!$A:$H,4,FALSE),""),"")</f>
        <v/>
      </c>
      <c r="R20" s="729" t="str">
        <f>IFERROR(IF(데이터입력!$AE$2="추경",VLOOKUP($N20,데이터입력!$A:$H,2,FALSE),""),"")</f>
        <v/>
      </c>
      <c r="S20" s="729" t="str">
        <f>IFERROR(IF(데이터입력!$AE$2="추경",VLOOKUP($N20,데이터입력!$A:$H,5,FALSE),""),"")</f>
        <v/>
      </c>
      <c r="T20" s="729" t="str">
        <f>IFERROR(IF(데이터입력!$AE$2="추경",VLOOKUP($N20,데이터입력!$A:$H,6,FALSE),""),"")</f>
        <v/>
      </c>
      <c r="U20" s="730" t="str">
        <f>IFERROR(IF(데이터입력!$AE$2="추경",VLOOKUP($N20,데이터입력!$A:$L,8,FALSE)+VLOOKUP($N20,데이터입력!$A:$L,9,FALSE)+VLOOKUP($N20,데이터입력!$A:$L,10,FALSE),""),"")</f>
        <v/>
      </c>
      <c r="V20" s="731" t="s">
        <v>136</v>
      </c>
      <c r="W20" s="731" t="s">
        <v>136</v>
      </c>
      <c r="X20" s="731" t="s">
        <v>136</v>
      </c>
      <c r="Y20" s="711"/>
      <c r="Z20" s="235" t="str">
        <f>데이터입력!$AB$8</f>
        <v>00</v>
      </c>
      <c r="AA20" s="238" t="str">
        <f>데이터입력!$AC$9</f>
        <v>일반사업[일반]</v>
      </c>
      <c r="AB20" s="236" t="str">
        <f>IFERROR(IF(데이터입력!$AE$2="추경",VLOOKUP($A20,보수일람표!$A:$M,4,FALSE),""),"")</f>
        <v/>
      </c>
      <c r="AC20" s="236" t="str">
        <f>IFERROR(IF(데이터입력!$AE$2="추경",VLOOKUP($A20,보수일람표!$A:$M,5,FALSE),""),"")</f>
        <v/>
      </c>
      <c r="AD20" s="236" t="str">
        <f>IFERROR(IF(데이터입력!$AE$2="추경",VLOOKUP($A20,보수일람표!$A:$M,6,FALSE),""),"")</f>
        <v/>
      </c>
      <c r="AE20" s="236" t="str">
        <f>IFERROR(IF(데이터입력!$AE$2="추경",VLOOKUP($A20,보수일람표!$A:$M,7,FALSE),""),"")</f>
        <v>간접</v>
      </c>
      <c r="AF20" s="236"/>
      <c r="AG20" s="237">
        <f>IFERROR(IF(데이터입력!$AE$2="추경",VLOOKUP($A20,보수일람표!$A:$M,9,FALSE),""),"")</f>
        <v>0</v>
      </c>
      <c r="AH20" s="237">
        <f>IFERROR(IF(데이터입력!$AE$2="추경",VLOOKUP($A20,보수일람표!$A:$M,10,FALSE),""),"")</f>
        <v>0</v>
      </c>
      <c r="AI20" s="237">
        <f>IFERROR(IF(데이터입력!$AE$2="추경",VLOOKUP($A20,보수일람표!$A:$M,11,FALSE),""),"")</f>
        <v>0</v>
      </c>
      <c r="AJ20" s="237">
        <f>IFERROR(IF(데이터입력!$AE$2="추경",VLOOKUP($A20,보수일람표!$A:$M,12,FALSE),""),"")</f>
        <v>0</v>
      </c>
      <c r="AK20" s="237">
        <f>IFERROR(IF(데이터입력!$AE$2="추경",VLOOKUP($A20,보수일람표!$A:$M,13,FALSE),""),"")</f>
        <v>0</v>
      </c>
    </row>
    <row r="21" spans="1:37">
      <c r="A21" s="233">
        <v>19</v>
      </c>
      <c r="B21" s="719" t="str">
        <f>IFERROR(IF(F21="06",데이터입력!$AB$8,IF(F21="07",데이터입력!$AD$8,IF(F21="05",데이터입력!$AF$8,데이터입력!$AB$8))),데이터입력!$AB$8)</f>
        <v>00</v>
      </c>
      <c r="C21" s="720" t="str">
        <f>데이터입력!$AC$9</f>
        <v>일반사업[일반]</v>
      </c>
      <c r="D21" s="721" t="str">
        <f>IFERROR(IF(AND(데이터입력!$AE$2="추경",데이터입력!$AM$2=TRUE),VLOOKUP($A21,데이터입력!$A:$H,4,FALSE),""),"")</f>
        <v/>
      </c>
      <c r="E21" s="721" t="str">
        <f>IFERROR(IF(AND(데이터입력!$AE$2="추경",데이터입력!$AM$2=TRUE),VLOOKUP($A21,데이터입력!$A:$H,2,FALSE),""),"")</f>
        <v/>
      </c>
      <c r="F21" s="721" t="str">
        <f>IFERROR(IF(AND(데이터입력!$AE$2="추경",데이터입력!$AM$2=TRUE),VLOOKUP($A21,데이터입력!$A:$H,5,FALSE),""),"")</f>
        <v/>
      </c>
      <c r="G21" s="721" t="str">
        <f>IFERROR(IF(AND(데이터입력!$AE$2="추경",데이터입력!$AM$2=TRUE),VLOOKUP($A21,데이터입력!$A:$H,6,FALSE),""),"")</f>
        <v/>
      </c>
      <c r="H21" s="722" t="str">
        <f>IFERROR(IF(AND(데이터입력!$AE$2="추경",데이터입력!$AM$2=TRUE),VLOOKUP($A21,데이터입력!$A:$L,7,FALSE),""),"")</f>
        <v/>
      </c>
      <c r="I21" s="722" t="str">
        <f>IFERROR(IF(AND(데이터입력!$AE$2="추경",데이터입력!$AM$2=TRUE),VLOOKUP($A21,데이터입력!$A:$L,8,FALSE)+VLOOKUP($A21,데이터입력!$A:$L,9,FALSE)+VLOOKUP($A21,데이터입력!$A:$L,10,FALSE),""),"")</f>
        <v/>
      </c>
      <c r="J21" s="723" t="s">
        <v>136</v>
      </c>
      <c r="K21" s="723" t="s">
        <v>136</v>
      </c>
      <c r="L21" s="723" t="s">
        <v>136</v>
      </c>
      <c r="M21" s="715"/>
      <c r="N21" s="233">
        <v>219</v>
      </c>
      <c r="O21" s="727" t="str">
        <f>IFERROR(IF(S21="06",데이터입력!$AB$8,IF(S21="07",데이터입력!$AD$8,IF(S21="05",데이터입력!$AF$8,데이터입력!$AB$8))),데이터입력!$AB$8)</f>
        <v>00</v>
      </c>
      <c r="P21" s="728" t="str">
        <f>데이터입력!$AC$9</f>
        <v>일반사업[일반]</v>
      </c>
      <c r="Q21" s="729" t="str">
        <f>IFERROR(IF(데이터입력!$AE$2="추경",VLOOKUP($N21,데이터입력!$A:$H,4,FALSE),""),"")</f>
        <v/>
      </c>
      <c r="R21" s="729" t="str">
        <f>IFERROR(IF(데이터입력!$AE$2="추경",VLOOKUP($N21,데이터입력!$A:$H,2,FALSE),""),"")</f>
        <v/>
      </c>
      <c r="S21" s="729" t="str">
        <f>IFERROR(IF(데이터입력!$AE$2="추경",VLOOKUP($N21,데이터입력!$A:$H,5,FALSE),""),"")</f>
        <v/>
      </c>
      <c r="T21" s="729" t="str">
        <f>IFERROR(IF(데이터입력!$AE$2="추경",VLOOKUP($N21,데이터입력!$A:$H,6,FALSE),""),"")</f>
        <v/>
      </c>
      <c r="U21" s="730" t="str">
        <f>IFERROR(IF(데이터입력!$AE$2="추경",VLOOKUP($N21,데이터입력!$A:$L,8,FALSE)+VLOOKUP($N21,데이터입력!$A:$L,9,FALSE)+VLOOKUP($N21,데이터입력!$A:$L,10,FALSE),""),"")</f>
        <v/>
      </c>
      <c r="V21" s="731" t="s">
        <v>136</v>
      </c>
      <c r="W21" s="731" t="s">
        <v>136</v>
      </c>
      <c r="X21" s="731" t="s">
        <v>136</v>
      </c>
      <c r="Y21" s="712"/>
      <c r="Z21" s="235" t="str">
        <f>데이터입력!$AB$8</f>
        <v>00</v>
      </c>
      <c r="AA21" s="238" t="str">
        <f>데이터입력!$AC$9</f>
        <v>일반사업[일반]</v>
      </c>
      <c r="AB21" s="236" t="str">
        <f>IFERROR(IF(데이터입력!$AE$2="추경",VLOOKUP($A21,보수일람표!$A:$M,4,FALSE),""),"")</f>
        <v/>
      </c>
      <c r="AC21" s="236" t="str">
        <f>IFERROR(IF(데이터입력!$AE$2="추경",VLOOKUP($A21,보수일람표!$A:$M,5,FALSE),""),"")</f>
        <v/>
      </c>
      <c r="AD21" s="236" t="str">
        <f>IFERROR(IF(데이터입력!$AE$2="추경",VLOOKUP($A21,보수일람표!$A:$M,6,FALSE),""),"")</f>
        <v/>
      </c>
      <c r="AE21" s="236" t="str">
        <f>IFERROR(IF(데이터입력!$AE$2="추경",VLOOKUP($A21,보수일람표!$A:$M,7,FALSE),""),"")</f>
        <v>간접</v>
      </c>
      <c r="AF21" s="236"/>
      <c r="AG21" s="237">
        <f>IFERROR(IF(데이터입력!$AE$2="추경",VLOOKUP($A21,보수일람표!$A:$M,9,FALSE),""),"")</f>
        <v>0</v>
      </c>
      <c r="AH21" s="237">
        <f>IFERROR(IF(데이터입력!$AE$2="추경",VLOOKUP($A21,보수일람표!$A:$M,10,FALSE),""),"")</f>
        <v>0</v>
      </c>
      <c r="AI21" s="237">
        <f>IFERROR(IF(데이터입력!$AE$2="추경",VLOOKUP($A21,보수일람표!$A:$M,11,FALSE),""),"")</f>
        <v>0</v>
      </c>
      <c r="AJ21" s="237">
        <f>IFERROR(IF(데이터입력!$AE$2="추경",VLOOKUP($A21,보수일람표!$A:$M,12,FALSE),""),"")</f>
        <v>0</v>
      </c>
      <c r="AK21" s="237">
        <f>IFERROR(IF(데이터입력!$AE$2="추경",VLOOKUP($A21,보수일람표!$A:$M,13,FALSE),""),"")</f>
        <v>0</v>
      </c>
    </row>
    <row r="22" spans="1:37">
      <c r="A22" s="233">
        <v>20</v>
      </c>
      <c r="B22" s="719" t="str">
        <f>IFERROR(IF(F22="06",데이터입력!$AB$8,IF(F22="07",데이터입력!$AD$8,IF(F22="05",데이터입력!$AF$8,데이터입력!$AB$8))),데이터입력!$AB$8)</f>
        <v>00</v>
      </c>
      <c r="C22" s="720" t="str">
        <f>데이터입력!$AC$9</f>
        <v>일반사업[일반]</v>
      </c>
      <c r="D22" s="721" t="str">
        <f>IFERROR(IF(AND(데이터입력!$AE$2="추경",데이터입력!$AM$2=TRUE),VLOOKUP($A22,데이터입력!$A:$H,4,FALSE),""),"")</f>
        <v/>
      </c>
      <c r="E22" s="721" t="str">
        <f>IFERROR(IF(AND(데이터입력!$AE$2="추경",데이터입력!$AM$2=TRUE),VLOOKUP($A22,데이터입력!$A:$H,2,FALSE),""),"")</f>
        <v/>
      </c>
      <c r="F22" s="721" t="str">
        <f>IFERROR(IF(AND(데이터입력!$AE$2="추경",데이터입력!$AM$2=TRUE),VLOOKUP($A22,데이터입력!$A:$H,5,FALSE),""),"")</f>
        <v/>
      </c>
      <c r="G22" s="721" t="str">
        <f>IFERROR(IF(AND(데이터입력!$AE$2="추경",데이터입력!$AM$2=TRUE),VLOOKUP($A22,데이터입력!$A:$H,6,FALSE),""),"")</f>
        <v/>
      </c>
      <c r="H22" s="722" t="str">
        <f>IFERROR(IF(AND(데이터입력!$AE$2="추경",데이터입력!$AM$2=TRUE),VLOOKUP($A22,데이터입력!$A:$L,7,FALSE),""),"")</f>
        <v/>
      </c>
      <c r="I22" s="722" t="str">
        <f>IFERROR(IF(AND(데이터입력!$AE$2="추경",데이터입력!$AM$2=TRUE),VLOOKUP($A22,데이터입력!$A:$L,8,FALSE)+VLOOKUP($A22,데이터입력!$A:$L,9,FALSE)+VLOOKUP($A22,데이터입력!$A:$L,10,FALSE),""),"")</f>
        <v/>
      </c>
      <c r="J22" s="723" t="s">
        <v>136</v>
      </c>
      <c r="K22" s="723" t="s">
        <v>136</v>
      </c>
      <c r="L22" s="723" t="s">
        <v>136</v>
      </c>
      <c r="M22" s="715"/>
      <c r="N22" s="233">
        <v>220</v>
      </c>
      <c r="O22" s="727" t="str">
        <f>IFERROR(IF(S22="06",데이터입력!$AB$8,IF(S22="07",데이터입력!$AD$8,IF(S22="05",데이터입력!$AF$8,데이터입력!$AB$8))),데이터입력!$AB$8)</f>
        <v>00</v>
      </c>
      <c r="P22" s="728" t="str">
        <f>데이터입력!$AC$9</f>
        <v>일반사업[일반]</v>
      </c>
      <c r="Q22" s="729" t="str">
        <f>IFERROR(IF(데이터입력!$AE$2="추경",VLOOKUP($N22,데이터입력!$A:$H,4,FALSE),""),"")</f>
        <v/>
      </c>
      <c r="R22" s="729" t="str">
        <f>IFERROR(IF(데이터입력!$AE$2="추경",VLOOKUP($N22,데이터입력!$A:$H,2,FALSE),""),"")</f>
        <v/>
      </c>
      <c r="S22" s="729" t="str">
        <f>IFERROR(IF(데이터입력!$AE$2="추경",VLOOKUP($N22,데이터입력!$A:$H,5,FALSE),""),"")</f>
        <v/>
      </c>
      <c r="T22" s="729" t="str">
        <f>IFERROR(IF(데이터입력!$AE$2="추경",VLOOKUP($N22,데이터입력!$A:$H,6,FALSE),""),"")</f>
        <v/>
      </c>
      <c r="U22" s="730" t="str">
        <f>IFERROR(IF(데이터입력!$AE$2="추경",VLOOKUP($N22,데이터입력!$A:$L,8,FALSE)+VLOOKUP($N22,데이터입력!$A:$L,9,FALSE)+VLOOKUP($N22,데이터입력!$A:$L,10,FALSE),""),"")</f>
        <v/>
      </c>
      <c r="V22" s="731" t="s">
        <v>136</v>
      </c>
      <c r="W22" s="731" t="s">
        <v>136</v>
      </c>
      <c r="X22" s="731" t="s">
        <v>136</v>
      </c>
      <c r="Y22" s="711"/>
      <c r="Z22" s="235" t="str">
        <f>데이터입력!$AB$8</f>
        <v>00</v>
      </c>
      <c r="AA22" s="238" t="str">
        <f>데이터입력!$AC$9</f>
        <v>일반사업[일반]</v>
      </c>
      <c r="AB22" s="236" t="str">
        <f>IFERROR(IF(데이터입력!$AE$2="추경",VLOOKUP($A22,보수일람표!$A:$M,4,FALSE),""),"")</f>
        <v/>
      </c>
      <c r="AC22" s="236" t="str">
        <f>IFERROR(IF(데이터입력!$AE$2="추경",VLOOKUP($A22,보수일람표!$A:$M,5,FALSE),""),"")</f>
        <v/>
      </c>
      <c r="AD22" s="236" t="str">
        <f>IFERROR(IF(데이터입력!$AE$2="추경",VLOOKUP($A22,보수일람표!$A:$M,6,FALSE),""),"")</f>
        <v/>
      </c>
      <c r="AE22" s="236" t="str">
        <f>IFERROR(IF(데이터입력!$AE$2="추경",VLOOKUP($A22,보수일람표!$A:$M,7,FALSE),""),"")</f>
        <v>간접</v>
      </c>
      <c r="AF22" s="236"/>
      <c r="AG22" s="237">
        <f>IFERROR(IF(데이터입력!$AE$2="추경",VLOOKUP($A22,보수일람표!$A:$M,9,FALSE),""),"")</f>
        <v>0</v>
      </c>
      <c r="AH22" s="237">
        <f>IFERROR(IF(데이터입력!$AE$2="추경",VLOOKUP($A22,보수일람표!$A:$M,10,FALSE),""),"")</f>
        <v>0</v>
      </c>
      <c r="AI22" s="237">
        <f>IFERROR(IF(데이터입력!$AE$2="추경",VLOOKUP($A22,보수일람표!$A:$M,11,FALSE),""),"")</f>
        <v>0</v>
      </c>
      <c r="AJ22" s="237">
        <f>IFERROR(IF(데이터입력!$AE$2="추경",VLOOKUP($A22,보수일람표!$A:$M,12,FALSE),""),"")</f>
        <v>0</v>
      </c>
      <c r="AK22" s="237">
        <f>IFERROR(IF(데이터입력!$AE$2="추경",VLOOKUP($A22,보수일람표!$A:$M,13,FALSE),""),"")</f>
        <v>0</v>
      </c>
    </row>
    <row r="23" spans="1:37">
      <c r="A23" s="233">
        <v>21</v>
      </c>
      <c r="B23" s="719" t="str">
        <f>IFERROR(IF(F23="06",데이터입력!$AB$8,IF(F23="07",데이터입력!$AD$8,IF(F23="05",데이터입력!$AF$8,데이터입력!$AB$8))),데이터입력!$AB$8)</f>
        <v>00</v>
      </c>
      <c r="C23" s="720" t="str">
        <f>데이터입력!$AC$9</f>
        <v>일반사업[일반]</v>
      </c>
      <c r="D23" s="721" t="str">
        <f>IFERROR(IF(AND(데이터입력!$AE$2="추경",데이터입력!$AM$2=TRUE),VLOOKUP($A23,데이터입력!$A:$H,4,FALSE),""),"")</f>
        <v/>
      </c>
      <c r="E23" s="721" t="str">
        <f>IFERROR(IF(AND(데이터입력!$AE$2="추경",데이터입력!$AM$2=TRUE),VLOOKUP($A23,데이터입력!$A:$H,2,FALSE),""),"")</f>
        <v/>
      </c>
      <c r="F23" s="721" t="str">
        <f>IFERROR(IF(AND(데이터입력!$AE$2="추경",데이터입력!$AM$2=TRUE),VLOOKUP($A23,데이터입력!$A:$H,5,FALSE),""),"")</f>
        <v/>
      </c>
      <c r="G23" s="721" t="str">
        <f>IFERROR(IF(AND(데이터입력!$AE$2="추경",데이터입력!$AM$2=TRUE),VLOOKUP($A23,데이터입력!$A:$H,6,FALSE),""),"")</f>
        <v/>
      </c>
      <c r="H23" s="722" t="str">
        <f>IFERROR(IF(AND(데이터입력!$AE$2="추경",데이터입력!$AM$2=TRUE),VLOOKUP($A23,데이터입력!$A:$L,7,FALSE),""),"")</f>
        <v/>
      </c>
      <c r="I23" s="722" t="str">
        <f>IFERROR(IF(AND(데이터입력!$AE$2="추경",데이터입력!$AM$2=TRUE),VLOOKUP($A23,데이터입력!$A:$L,8,FALSE)+VLOOKUP($A23,데이터입력!$A:$L,9,FALSE)+VLOOKUP($A23,데이터입력!$A:$L,10,FALSE),""),"")</f>
        <v/>
      </c>
      <c r="J23" s="723" t="s">
        <v>136</v>
      </c>
      <c r="K23" s="723" t="s">
        <v>136</v>
      </c>
      <c r="L23" s="723" t="s">
        <v>136</v>
      </c>
      <c r="M23" s="715"/>
      <c r="N23" s="233">
        <v>221</v>
      </c>
      <c r="O23" s="727" t="str">
        <f>IFERROR(IF(S23="06",데이터입력!$AB$8,IF(S23="07",데이터입력!$AD$8,IF(S23="05",데이터입력!$AF$8,데이터입력!$AB$8))),데이터입력!$AB$8)</f>
        <v>00</v>
      </c>
      <c r="P23" s="728" t="str">
        <f>데이터입력!$AC$9</f>
        <v>일반사업[일반]</v>
      </c>
      <c r="Q23" s="729" t="str">
        <f>IFERROR(IF(데이터입력!$AE$2="추경",VLOOKUP($N23,데이터입력!$A:$H,4,FALSE),""),"")</f>
        <v/>
      </c>
      <c r="R23" s="729" t="str">
        <f>IFERROR(IF(데이터입력!$AE$2="추경",VLOOKUP($N23,데이터입력!$A:$H,2,FALSE),""),"")</f>
        <v/>
      </c>
      <c r="S23" s="729" t="str">
        <f>IFERROR(IF(데이터입력!$AE$2="추경",VLOOKUP($N23,데이터입력!$A:$H,5,FALSE),""),"")</f>
        <v/>
      </c>
      <c r="T23" s="729" t="str">
        <f>IFERROR(IF(데이터입력!$AE$2="추경",VLOOKUP($N23,데이터입력!$A:$H,6,FALSE),""),"")</f>
        <v/>
      </c>
      <c r="U23" s="730" t="str">
        <f>IFERROR(IF(데이터입력!$AE$2="추경",VLOOKUP($N23,데이터입력!$A:$L,8,FALSE)+VLOOKUP($N23,데이터입력!$A:$L,9,FALSE)+VLOOKUP($N23,데이터입력!$A:$L,10,FALSE),""),"")</f>
        <v/>
      </c>
      <c r="V23" s="731" t="s">
        <v>136</v>
      </c>
      <c r="W23" s="731" t="s">
        <v>136</v>
      </c>
      <c r="X23" s="731" t="s">
        <v>136</v>
      </c>
      <c r="Y23" s="712"/>
      <c r="Z23" s="235" t="str">
        <f>데이터입력!$AB$8</f>
        <v>00</v>
      </c>
      <c r="AA23" s="238" t="str">
        <f>데이터입력!$AC$9</f>
        <v>일반사업[일반]</v>
      </c>
      <c r="AB23" s="236" t="str">
        <f>IFERROR(IF(데이터입력!$AE$2="추경",VLOOKUP($A23,보수일람표!$A:$M,4,FALSE),""),"")</f>
        <v/>
      </c>
      <c r="AC23" s="236" t="str">
        <f>IFERROR(IF(데이터입력!$AE$2="추경",VLOOKUP($A23,보수일람표!$A:$M,5,FALSE),""),"")</f>
        <v/>
      </c>
      <c r="AD23" s="236" t="str">
        <f>IFERROR(IF(데이터입력!$AE$2="추경",VLOOKUP($A23,보수일람표!$A:$M,6,FALSE),""),"")</f>
        <v/>
      </c>
      <c r="AE23" s="236" t="str">
        <f>IFERROR(IF(데이터입력!$AE$2="추경",VLOOKUP($A23,보수일람표!$A:$M,7,FALSE),""),"")</f>
        <v>간접</v>
      </c>
      <c r="AF23" s="236"/>
      <c r="AG23" s="237">
        <f>IFERROR(IF(데이터입력!$AE$2="추경",VLOOKUP($A23,보수일람표!$A:$M,9,FALSE),""),"")</f>
        <v>0</v>
      </c>
      <c r="AH23" s="237">
        <f>IFERROR(IF(데이터입력!$AE$2="추경",VLOOKUP($A23,보수일람표!$A:$M,10,FALSE),""),"")</f>
        <v>0</v>
      </c>
      <c r="AI23" s="237">
        <f>IFERROR(IF(데이터입력!$AE$2="추경",VLOOKUP($A23,보수일람표!$A:$M,11,FALSE),""),"")</f>
        <v>0</v>
      </c>
      <c r="AJ23" s="237">
        <f>IFERROR(IF(데이터입력!$AE$2="추경",VLOOKUP($A23,보수일람표!$A:$M,12,FALSE),""),"")</f>
        <v>0</v>
      </c>
      <c r="AK23" s="237">
        <f>IFERROR(IF(데이터입력!$AE$2="추경",VLOOKUP($A23,보수일람표!$A:$M,13,FALSE),""),"")</f>
        <v>0</v>
      </c>
    </row>
    <row r="24" spans="1:37">
      <c r="A24" s="233">
        <v>22</v>
      </c>
      <c r="B24" s="719" t="str">
        <f>IFERROR(IF(F24="06",데이터입력!$AB$8,IF(F24="07",데이터입력!$AD$8,IF(F24="05",데이터입력!$AF$8,데이터입력!$AB$8))),데이터입력!$AB$8)</f>
        <v>00</v>
      </c>
      <c r="C24" s="720" t="str">
        <f>데이터입력!$AC$9</f>
        <v>일반사업[일반]</v>
      </c>
      <c r="D24" s="721" t="str">
        <f>IFERROR(IF(AND(데이터입력!$AE$2="추경",데이터입력!$AM$2=TRUE),VLOOKUP($A24,데이터입력!$A:$H,4,FALSE),""),"")</f>
        <v/>
      </c>
      <c r="E24" s="721" t="str">
        <f>IFERROR(IF(AND(데이터입력!$AE$2="추경",데이터입력!$AM$2=TRUE),VLOOKUP($A24,데이터입력!$A:$H,2,FALSE),""),"")</f>
        <v/>
      </c>
      <c r="F24" s="721" t="str">
        <f>IFERROR(IF(AND(데이터입력!$AE$2="추경",데이터입력!$AM$2=TRUE),VLOOKUP($A24,데이터입력!$A:$H,5,FALSE),""),"")</f>
        <v/>
      </c>
      <c r="G24" s="721" t="str">
        <f>IFERROR(IF(AND(데이터입력!$AE$2="추경",데이터입력!$AM$2=TRUE),VLOOKUP($A24,데이터입력!$A:$H,6,FALSE),""),"")</f>
        <v/>
      </c>
      <c r="H24" s="722" t="str">
        <f>IFERROR(IF(AND(데이터입력!$AE$2="추경",데이터입력!$AM$2=TRUE),VLOOKUP($A24,데이터입력!$A:$L,7,FALSE),""),"")</f>
        <v/>
      </c>
      <c r="I24" s="722" t="str">
        <f>IFERROR(IF(AND(데이터입력!$AE$2="추경",데이터입력!$AM$2=TRUE),VLOOKUP($A24,데이터입력!$A:$L,8,FALSE)+VLOOKUP($A24,데이터입력!$A:$L,9,FALSE)+VLOOKUP($A24,데이터입력!$A:$L,10,FALSE),""),"")</f>
        <v/>
      </c>
      <c r="J24" s="723" t="s">
        <v>136</v>
      </c>
      <c r="K24" s="723" t="s">
        <v>136</v>
      </c>
      <c r="L24" s="723" t="s">
        <v>136</v>
      </c>
      <c r="M24" s="715"/>
      <c r="N24" s="233">
        <v>222</v>
      </c>
      <c r="O24" s="727" t="str">
        <f>IFERROR(IF(S24="06",데이터입력!$AB$8,IF(S24="07",데이터입력!$AD$8,IF(S24="05",데이터입력!$AF$8,데이터입력!$AB$8))),데이터입력!$AB$8)</f>
        <v>00</v>
      </c>
      <c r="P24" s="728" t="str">
        <f>데이터입력!$AC$9</f>
        <v>일반사업[일반]</v>
      </c>
      <c r="Q24" s="729" t="str">
        <f>IFERROR(IF(데이터입력!$AE$2="추경",VLOOKUP($N24,데이터입력!$A:$H,4,FALSE),""),"")</f>
        <v/>
      </c>
      <c r="R24" s="729" t="str">
        <f>IFERROR(IF(데이터입력!$AE$2="추경",VLOOKUP($N24,데이터입력!$A:$H,2,FALSE),""),"")</f>
        <v/>
      </c>
      <c r="S24" s="729" t="str">
        <f>IFERROR(IF(데이터입력!$AE$2="추경",VLOOKUP($N24,데이터입력!$A:$H,5,FALSE),""),"")</f>
        <v/>
      </c>
      <c r="T24" s="729" t="str">
        <f>IFERROR(IF(데이터입력!$AE$2="추경",VLOOKUP($N24,데이터입력!$A:$H,6,FALSE),""),"")</f>
        <v/>
      </c>
      <c r="U24" s="730" t="str">
        <f>IFERROR(IF(데이터입력!$AE$2="추경",VLOOKUP($N24,데이터입력!$A:$L,8,FALSE)+VLOOKUP($N24,데이터입력!$A:$L,9,FALSE)+VLOOKUP($N24,데이터입력!$A:$L,10,FALSE),""),"")</f>
        <v/>
      </c>
      <c r="V24" s="731" t="s">
        <v>136</v>
      </c>
      <c r="W24" s="731" t="s">
        <v>136</v>
      </c>
      <c r="X24" s="731" t="s">
        <v>136</v>
      </c>
      <c r="Y24" s="711"/>
      <c r="Z24" s="235" t="str">
        <f>데이터입력!$AB$8</f>
        <v>00</v>
      </c>
      <c r="AA24" s="238" t="str">
        <f>데이터입력!$AC$9</f>
        <v>일반사업[일반]</v>
      </c>
      <c r="AB24" s="236" t="str">
        <f>IFERROR(IF(데이터입력!$AE$2="추경",VLOOKUP($A24,보수일람표!$A:$M,4,FALSE),""),"")</f>
        <v/>
      </c>
      <c r="AC24" s="236" t="str">
        <f>IFERROR(IF(데이터입력!$AE$2="추경",VLOOKUP($A24,보수일람표!$A:$M,5,FALSE),""),"")</f>
        <v/>
      </c>
      <c r="AD24" s="236" t="str">
        <f>IFERROR(IF(데이터입력!$AE$2="추경",VLOOKUP($A24,보수일람표!$A:$M,6,FALSE),""),"")</f>
        <v/>
      </c>
      <c r="AE24" s="236" t="str">
        <f>IFERROR(IF(데이터입력!$AE$2="추경",VLOOKUP($A24,보수일람표!$A:$M,7,FALSE),""),"")</f>
        <v>간접</v>
      </c>
      <c r="AF24" s="236"/>
      <c r="AG24" s="237">
        <f>IFERROR(IF(데이터입력!$AE$2="추경",VLOOKUP($A24,보수일람표!$A:$M,9,FALSE),""),"")</f>
        <v>0</v>
      </c>
      <c r="AH24" s="237">
        <f>IFERROR(IF(데이터입력!$AE$2="추경",VLOOKUP($A24,보수일람표!$A:$M,10,FALSE),""),"")</f>
        <v>0</v>
      </c>
      <c r="AI24" s="237">
        <f>IFERROR(IF(데이터입력!$AE$2="추경",VLOOKUP($A24,보수일람표!$A:$M,11,FALSE),""),"")</f>
        <v>0</v>
      </c>
      <c r="AJ24" s="237">
        <f>IFERROR(IF(데이터입력!$AE$2="추경",VLOOKUP($A24,보수일람표!$A:$M,12,FALSE),""),"")</f>
        <v>0</v>
      </c>
      <c r="AK24" s="237">
        <f>IFERROR(IF(데이터입력!$AE$2="추경",VLOOKUP($A24,보수일람표!$A:$M,13,FALSE),""),"")</f>
        <v>0</v>
      </c>
    </row>
    <row r="25" spans="1:37">
      <c r="A25" s="233">
        <v>23</v>
      </c>
      <c r="B25" s="719" t="str">
        <f>IFERROR(IF(F25="06",데이터입력!$AB$8,IF(F25="07",데이터입력!$AD$8,IF(F25="05",데이터입력!$AF$8,데이터입력!$AB$8))),데이터입력!$AB$8)</f>
        <v>00</v>
      </c>
      <c r="C25" s="720" t="str">
        <f>데이터입력!$AC$9</f>
        <v>일반사업[일반]</v>
      </c>
      <c r="D25" s="721" t="str">
        <f>IFERROR(IF(AND(데이터입력!$AE$2="추경",데이터입력!$AM$2=TRUE),VLOOKUP($A25,데이터입력!$A:$H,4,FALSE),""),"")</f>
        <v/>
      </c>
      <c r="E25" s="721" t="str">
        <f>IFERROR(IF(AND(데이터입력!$AE$2="추경",데이터입력!$AM$2=TRUE),VLOOKUP($A25,데이터입력!$A:$H,2,FALSE),""),"")</f>
        <v/>
      </c>
      <c r="F25" s="721" t="str">
        <f>IFERROR(IF(AND(데이터입력!$AE$2="추경",데이터입력!$AM$2=TRUE),VLOOKUP($A25,데이터입력!$A:$H,5,FALSE),""),"")</f>
        <v/>
      </c>
      <c r="G25" s="721" t="str">
        <f>IFERROR(IF(AND(데이터입력!$AE$2="추경",데이터입력!$AM$2=TRUE),VLOOKUP($A25,데이터입력!$A:$H,6,FALSE),""),"")</f>
        <v/>
      </c>
      <c r="H25" s="722" t="str">
        <f>IFERROR(IF(AND(데이터입력!$AE$2="추경",데이터입력!$AM$2=TRUE),VLOOKUP($A25,데이터입력!$A:$L,7,FALSE),""),"")</f>
        <v/>
      </c>
      <c r="I25" s="722" t="str">
        <f>IFERROR(IF(AND(데이터입력!$AE$2="추경",데이터입력!$AM$2=TRUE),VLOOKUP($A25,데이터입력!$A:$L,8,FALSE)+VLOOKUP($A25,데이터입력!$A:$L,9,FALSE)+VLOOKUP($A25,데이터입력!$A:$L,10,FALSE),""),"")</f>
        <v/>
      </c>
      <c r="J25" s="723" t="s">
        <v>136</v>
      </c>
      <c r="K25" s="723" t="s">
        <v>136</v>
      </c>
      <c r="L25" s="723" t="s">
        <v>136</v>
      </c>
      <c r="M25" s="715"/>
      <c r="N25" s="233">
        <v>223</v>
      </c>
      <c r="O25" s="727" t="str">
        <f>IFERROR(IF(S25="06",데이터입력!$AB$8,IF(S25="07",데이터입력!$AD$8,IF(S25="05",데이터입력!$AF$8,데이터입력!$AB$8))),데이터입력!$AB$8)</f>
        <v>00</v>
      </c>
      <c r="P25" s="728" t="str">
        <f>데이터입력!$AC$9</f>
        <v>일반사업[일반]</v>
      </c>
      <c r="Q25" s="729" t="str">
        <f>IFERROR(IF(데이터입력!$AE$2="추경",VLOOKUP($N25,데이터입력!$A:$H,4,FALSE),""),"")</f>
        <v/>
      </c>
      <c r="R25" s="729" t="str">
        <f>IFERROR(IF(데이터입력!$AE$2="추경",VLOOKUP($N25,데이터입력!$A:$H,2,FALSE),""),"")</f>
        <v/>
      </c>
      <c r="S25" s="729" t="str">
        <f>IFERROR(IF(데이터입력!$AE$2="추경",VLOOKUP($N25,데이터입력!$A:$H,5,FALSE),""),"")</f>
        <v/>
      </c>
      <c r="T25" s="729" t="str">
        <f>IFERROR(IF(데이터입력!$AE$2="추경",VLOOKUP($N25,데이터입력!$A:$H,6,FALSE),""),"")</f>
        <v/>
      </c>
      <c r="U25" s="730" t="str">
        <f>IFERROR(IF(데이터입력!$AE$2="추경",VLOOKUP($N25,데이터입력!$A:$L,8,FALSE)+VLOOKUP($N25,데이터입력!$A:$L,9,FALSE)+VLOOKUP($N25,데이터입력!$A:$L,10,FALSE),""),"")</f>
        <v/>
      </c>
      <c r="V25" s="731" t="s">
        <v>136</v>
      </c>
      <c r="W25" s="731" t="s">
        <v>136</v>
      </c>
      <c r="X25" s="731" t="s">
        <v>136</v>
      </c>
      <c r="Y25" s="712"/>
      <c r="Z25" s="235" t="str">
        <f>데이터입력!$AB$8</f>
        <v>00</v>
      </c>
      <c r="AA25" s="238" t="str">
        <f>데이터입력!$AC$9</f>
        <v>일반사업[일반]</v>
      </c>
      <c r="AB25" s="236" t="str">
        <f>IFERROR(IF(데이터입력!$AE$2="추경",VLOOKUP($A25,보수일람표!$A:$M,4,FALSE),""),"")</f>
        <v/>
      </c>
      <c r="AC25" s="236" t="str">
        <f>IFERROR(IF(데이터입력!$AE$2="추경",VLOOKUP($A25,보수일람표!$A:$M,5,FALSE),""),"")</f>
        <v/>
      </c>
      <c r="AD25" s="236" t="str">
        <f>IFERROR(IF(데이터입력!$AE$2="추경",VLOOKUP($A25,보수일람표!$A:$M,6,FALSE),""),"")</f>
        <v/>
      </c>
      <c r="AE25" s="236" t="str">
        <f>IFERROR(IF(데이터입력!$AE$2="추경",VLOOKUP($A25,보수일람표!$A:$M,7,FALSE),""),"")</f>
        <v>간접</v>
      </c>
      <c r="AF25" s="236"/>
      <c r="AG25" s="237">
        <f>IFERROR(IF(데이터입력!$AE$2="추경",VLOOKUP($A25,보수일람표!$A:$M,9,FALSE),""),"")</f>
        <v>0</v>
      </c>
      <c r="AH25" s="237">
        <f>IFERROR(IF(데이터입력!$AE$2="추경",VLOOKUP($A25,보수일람표!$A:$M,10,FALSE),""),"")</f>
        <v>0</v>
      </c>
      <c r="AI25" s="237">
        <f>IFERROR(IF(데이터입력!$AE$2="추경",VLOOKUP($A25,보수일람표!$A:$M,11,FALSE),""),"")</f>
        <v>0</v>
      </c>
      <c r="AJ25" s="237">
        <f>IFERROR(IF(데이터입력!$AE$2="추경",VLOOKUP($A25,보수일람표!$A:$M,12,FALSE),""),"")</f>
        <v>0</v>
      </c>
      <c r="AK25" s="237">
        <f>IFERROR(IF(데이터입력!$AE$2="추경",VLOOKUP($A25,보수일람표!$A:$M,13,FALSE),""),"")</f>
        <v>0</v>
      </c>
    </row>
    <row r="26" spans="1:37">
      <c r="A26" s="233">
        <v>24</v>
      </c>
      <c r="B26" s="719" t="str">
        <f>IFERROR(IF(F26="06",데이터입력!$AB$8,IF(F26="07",데이터입력!$AD$8,IF(F26="05",데이터입력!$AF$8,데이터입력!$AB$8))),데이터입력!$AB$8)</f>
        <v>00</v>
      </c>
      <c r="C26" s="720" t="str">
        <f>데이터입력!$AC$9</f>
        <v>일반사업[일반]</v>
      </c>
      <c r="D26" s="721" t="str">
        <f>IFERROR(IF(AND(데이터입력!$AE$2="추경",데이터입력!$AM$2=TRUE),VLOOKUP($A26,데이터입력!$A:$H,4,FALSE),""),"")</f>
        <v/>
      </c>
      <c r="E26" s="721" t="str">
        <f>IFERROR(IF(AND(데이터입력!$AE$2="추경",데이터입력!$AM$2=TRUE),VLOOKUP($A26,데이터입력!$A:$H,2,FALSE),""),"")</f>
        <v/>
      </c>
      <c r="F26" s="721" t="str">
        <f>IFERROR(IF(AND(데이터입력!$AE$2="추경",데이터입력!$AM$2=TRUE),VLOOKUP($A26,데이터입력!$A:$H,5,FALSE),""),"")</f>
        <v/>
      </c>
      <c r="G26" s="721" t="str">
        <f>IFERROR(IF(AND(데이터입력!$AE$2="추경",데이터입력!$AM$2=TRUE),VLOOKUP($A26,데이터입력!$A:$H,6,FALSE),""),"")</f>
        <v/>
      </c>
      <c r="H26" s="722" t="str">
        <f>IFERROR(IF(AND(데이터입력!$AE$2="추경",데이터입력!$AM$2=TRUE),VLOOKUP($A26,데이터입력!$A:$L,7,FALSE),""),"")</f>
        <v/>
      </c>
      <c r="I26" s="722" t="str">
        <f>IFERROR(IF(AND(데이터입력!$AE$2="추경",데이터입력!$AM$2=TRUE),VLOOKUP($A26,데이터입력!$A:$L,8,FALSE)+VLOOKUP($A26,데이터입력!$A:$L,9,FALSE)+VLOOKUP($A26,데이터입력!$A:$L,10,FALSE),""),"")</f>
        <v/>
      </c>
      <c r="J26" s="723" t="s">
        <v>136</v>
      </c>
      <c r="K26" s="723" t="s">
        <v>136</v>
      </c>
      <c r="L26" s="723" t="s">
        <v>136</v>
      </c>
      <c r="M26" s="715"/>
      <c r="N26" s="233">
        <v>224</v>
      </c>
      <c r="O26" s="727" t="str">
        <f>IFERROR(IF(S26="06",데이터입력!$AB$8,IF(S26="07",데이터입력!$AD$8,IF(S26="05",데이터입력!$AF$8,데이터입력!$AB$8))),데이터입력!$AB$8)</f>
        <v>00</v>
      </c>
      <c r="P26" s="728" t="str">
        <f>데이터입력!$AC$9</f>
        <v>일반사업[일반]</v>
      </c>
      <c r="Q26" s="729" t="str">
        <f>IFERROR(IF(데이터입력!$AE$2="추경",VLOOKUP($N26,데이터입력!$A:$H,4,FALSE),""),"")</f>
        <v/>
      </c>
      <c r="R26" s="729" t="str">
        <f>IFERROR(IF(데이터입력!$AE$2="추경",VLOOKUP($N26,데이터입력!$A:$H,2,FALSE),""),"")</f>
        <v/>
      </c>
      <c r="S26" s="729" t="str">
        <f>IFERROR(IF(데이터입력!$AE$2="추경",VLOOKUP($N26,데이터입력!$A:$H,5,FALSE),""),"")</f>
        <v/>
      </c>
      <c r="T26" s="729" t="str">
        <f>IFERROR(IF(데이터입력!$AE$2="추경",VLOOKUP($N26,데이터입력!$A:$H,6,FALSE),""),"")</f>
        <v/>
      </c>
      <c r="U26" s="730" t="str">
        <f>IFERROR(IF(데이터입력!$AE$2="추경",VLOOKUP($N26,데이터입력!$A:$L,8,FALSE)+VLOOKUP($N26,데이터입력!$A:$L,9,FALSE)+VLOOKUP($N26,데이터입력!$A:$L,10,FALSE),""),"")</f>
        <v/>
      </c>
      <c r="V26" s="731" t="s">
        <v>136</v>
      </c>
      <c r="W26" s="731" t="s">
        <v>136</v>
      </c>
      <c r="X26" s="731" t="s">
        <v>136</v>
      </c>
      <c r="Y26" s="711"/>
      <c r="Z26" s="235" t="str">
        <f>데이터입력!$AB$8</f>
        <v>00</v>
      </c>
      <c r="AA26" s="238" t="str">
        <f>데이터입력!$AC$9</f>
        <v>일반사업[일반]</v>
      </c>
      <c r="AB26" s="236" t="str">
        <f>IFERROR(IF(데이터입력!$AE$2="추경",VLOOKUP($A26,보수일람표!$A:$M,4,FALSE),""),"")</f>
        <v/>
      </c>
      <c r="AC26" s="236" t="str">
        <f>IFERROR(IF(데이터입력!$AE$2="추경",VLOOKUP($A26,보수일람표!$A:$M,5,FALSE),""),"")</f>
        <v/>
      </c>
      <c r="AD26" s="236" t="str">
        <f>IFERROR(IF(데이터입력!$AE$2="추경",VLOOKUP($A26,보수일람표!$A:$M,6,FALSE),""),"")</f>
        <v/>
      </c>
      <c r="AE26" s="236" t="str">
        <f>IFERROR(IF(데이터입력!$AE$2="추경",VLOOKUP($A26,보수일람표!$A:$M,7,FALSE),""),"")</f>
        <v>간접</v>
      </c>
      <c r="AF26" s="236"/>
      <c r="AG26" s="237">
        <f>IFERROR(IF(데이터입력!$AE$2="추경",VLOOKUP($A26,보수일람표!$A:$M,9,FALSE),""),"")</f>
        <v>0</v>
      </c>
      <c r="AH26" s="237">
        <f>IFERROR(IF(데이터입력!$AE$2="추경",VLOOKUP($A26,보수일람표!$A:$M,10,FALSE),""),"")</f>
        <v>0</v>
      </c>
      <c r="AI26" s="237">
        <f>IFERROR(IF(데이터입력!$AE$2="추경",VLOOKUP($A26,보수일람표!$A:$M,11,FALSE),""),"")</f>
        <v>0</v>
      </c>
      <c r="AJ26" s="237">
        <f>IFERROR(IF(데이터입력!$AE$2="추경",VLOOKUP($A26,보수일람표!$A:$M,12,FALSE),""),"")</f>
        <v>0</v>
      </c>
      <c r="AK26" s="237">
        <f>IFERROR(IF(데이터입력!$AE$2="추경",VLOOKUP($A26,보수일람표!$A:$M,13,FALSE),""),"")</f>
        <v>0</v>
      </c>
    </row>
    <row r="27" spans="1:37">
      <c r="A27" s="233">
        <v>25</v>
      </c>
      <c r="B27" s="719" t="str">
        <f>IFERROR(IF(F27="06",데이터입력!$AB$8,IF(F27="07",데이터입력!$AD$8,IF(F27="05",데이터입력!$AF$8,데이터입력!$AB$8))),데이터입력!$AB$8)</f>
        <v>00</v>
      </c>
      <c r="C27" s="720" t="str">
        <f>데이터입력!$AC$9</f>
        <v>일반사업[일반]</v>
      </c>
      <c r="D27" s="721" t="str">
        <f>IFERROR(IF(AND(데이터입력!$AE$2="추경",데이터입력!$AM$2=TRUE),VLOOKUP($A27,데이터입력!$A:$H,4,FALSE),""),"")</f>
        <v/>
      </c>
      <c r="E27" s="721" t="str">
        <f>IFERROR(IF(AND(데이터입력!$AE$2="추경",데이터입력!$AM$2=TRUE),VLOOKUP($A27,데이터입력!$A:$H,2,FALSE),""),"")</f>
        <v/>
      </c>
      <c r="F27" s="721" t="str">
        <f>IFERROR(IF(AND(데이터입력!$AE$2="추경",데이터입력!$AM$2=TRUE),VLOOKUP($A27,데이터입력!$A:$H,5,FALSE),""),"")</f>
        <v/>
      </c>
      <c r="G27" s="721" t="str">
        <f>IFERROR(IF(AND(데이터입력!$AE$2="추경",데이터입력!$AM$2=TRUE),VLOOKUP($A27,데이터입력!$A:$H,6,FALSE),""),"")</f>
        <v/>
      </c>
      <c r="H27" s="722" t="str">
        <f>IFERROR(IF(AND(데이터입력!$AE$2="추경",데이터입력!$AM$2=TRUE),VLOOKUP($A27,데이터입력!$A:$L,7,FALSE),""),"")</f>
        <v/>
      </c>
      <c r="I27" s="722" t="str">
        <f>IFERROR(IF(AND(데이터입력!$AE$2="추경",데이터입력!$AM$2=TRUE),VLOOKUP($A27,데이터입력!$A:$L,8,FALSE)+VLOOKUP($A27,데이터입력!$A:$L,9,FALSE)+VLOOKUP($A27,데이터입력!$A:$L,10,FALSE),""),"")</f>
        <v/>
      </c>
      <c r="J27" s="723" t="s">
        <v>136</v>
      </c>
      <c r="K27" s="723" t="s">
        <v>136</v>
      </c>
      <c r="L27" s="723" t="s">
        <v>136</v>
      </c>
      <c r="M27" s="715"/>
      <c r="N27" s="233">
        <v>225</v>
      </c>
      <c r="O27" s="727" t="str">
        <f>IFERROR(IF(S27="06",데이터입력!$AB$8,IF(S27="07",데이터입력!$AD$8,IF(S27="05",데이터입력!$AF$8,데이터입력!$AB$8))),데이터입력!$AB$8)</f>
        <v>00</v>
      </c>
      <c r="P27" s="728" t="str">
        <f>데이터입력!$AC$9</f>
        <v>일반사업[일반]</v>
      </c>
      <c r="Q27" s="729" t="str">
        <f>IFERROR(IF(데이터입력!$AE$2="추경",VLOOKUP($N27,데이터입력!$A:$H,4,FALSE),""),"")</f>
        <v/>
      </c>
      <c r="R27" s="729" t="str">
        <f>IFERROR(IF(데이터입력!$AE$2="추경",VLOOKUP($N27,데이터입력!$A:$H,2,FALSE),""),"")</f>
        <v/>
      </c>
      <c r="S27" s="729" t="str">
        <f>IFERROR(IF(데이터입력!$AE$2="추경",VLOOKUP($N27,데이터입력!$A:$H,5,FALSE),""),"")</f>
        <v/>
      </c>
      <c r="T27" s="729" t="str">
        <f>IFERROR(IF(데이터입력!$AE$2="추경",VLOOKUP($N27,데이터입력!$A:$H,6,FALSE),""),"")</f>
        <v/>
      </c>
      <c r="U27" s="730" t="str">
        <f>IFERROR(IF(데이터입력!$AE$2="추경",VLOOKUP($N27,데이터입력!$A:$L,8,FALSE)+VLOOKUP($N27,데이터입력!$A:$L,9,FALSE)+VLOOKUP($N27,데이터입력!$A:$L,10,FALSE),""),"")</f>
        <v/>
      </c>
      <c r="V27" s="731" t="s">
        <v>136</v>
      </c>
      <c r="W27" s="731" t="s">
        <v>136</v>
      </c>
      <c r="X27" s="731" t="s">
        <v>136</v>
      </c>
      <c r="Y27" s="712"/>
      <c r="Z27" s="235" t="str">
        <f>데이터입력!$AB$8</f>
        <v>00</v>
      </c>
      <c r="AA27" s="238" t="str">
        <f>데이터입력!$AC$9</f>
        <v>일반사업[일반]</v>
      </c>
      <c r="AB27" s="236" t="str">
        <f>IFERROR(IF(데이터입력!$AE$2="추경",VLOOKUP($A27,보수일람표!$A:$M,4,FALSE),""),"")</f>
        <v/>
      </c>
      <c r="AC27" s="236" t="str">
        <f>IFERROR(IF(데이터입력!$AE$2="추경",VLOOKUP($A27,보수일람표!$A:$M,5,FALSE),""),"")</f>
        <v/>
      </c>
      <c r="AD27" s="236" t="str">
        <f>IFERROR(IF(데이터입력!$AE$2="추경",VLOOKUP($A27,보수일람표!$A:$M,6,FALSE),""),"")</f>
        <v/>
      </c>
      <c r="AE27" s="236" t="str">
        <f>IFERROR(IF(데이터입력!$AE$2="추경",VLOOKUP($A27,보수일람표!$A:$M,7,FALSE),""),"")</f>
        <v>간접</v>
      </c>
      <c r="AF27" s="236"/>
      <c r="AG27" s="237">
        <f>IFERROR(IF(데이터입력!$AE$2="추경",VLOOKUP($A27,보수일람표!$A:$M,9,FALSE),""),"")</f>
        <v>0</v>
      </c>
      <c r="AH27" s="237">
        <f>IFERROR(IF(데이터입력!$AE$2="추경",VLOOKUP($A27,보수일람표!$A:$M,10,FALSE),""),"")</f>
        <v>0</v>
      </c>
      <c r="AI27" s="237">
        <f>IFERROR(IF(데이터입력!$AE$2="추경",VLOOKUP($A27,보수일람표!$A:$M,11,FALSE),""),"")</f>
        <v>0</v>
      </c>
      <c r="AJ27" s="237">
        <f>IFERROR(IF(데이터입력!$AE$2="추경",VLOOKUP($A27,보수일람표!$A:$M,12,FALSE),""),"")</f>
        <v>0</v>
      </c>
      <c r="AK27" s="237">
        <f>IFERROR(IF(데이터입력!$AE$2="추경",VLOOKUP($A27,보수일람표!$A:$M,13,FALSE),""),"")</f>
        <v>0</v>
      </c>
    </row>
    <row r="28" spans="1:37">
      <c r="A28" s="233">
        <v>26</v>
      </c>
      <c r="B28" s="719" t="str">
        <f>IFERROR(IF(F28="06",데이터입력!$AB$8,IF(F28="07",데이터입력!$AD$8,IF(F28="05",데이터입력!$AF$8,데이터입력!$AB$8))),데이터입력!$AB$8)</f>
        <v>00</v>
      </c>
      <c r="C28" s="720" t="str">
        <f>데이터입력!$AC$9</f>
        <v>일반사업[일반]</v>
      </c>
      <c r="D28" s="721" t="str">
        <f>IFERROR(IF(AND(데이터입력!$AE$2="추경",데이터입력!$AM$2=TRUE),VLOOKUP($A28,데이터입력!$A:$H,4,FALSE),""),"")</f>
        <v/>
      </c>
      <c r="E28" s="721" t="str">
        <f>IFERROR(IF(AND(데이터입력!$AE$2="추경",데이터입력!$AM$2=TRUE),VLOOKUP($A28,데이터입력!$A:$H,2,FALSE),""),"")</f>
        <v/>
      </c>
      <c r="F28" s="721" t="str">
        <f>IFERROR(IF(AND(데이터입력!$AE$2="추경",데이터입력!$AM$2=TRUE),VLOOKUP($A28,데이터입력!$A:$H,5,FALSE),""),"")</f>
        <v/>
      </c>
      <c r="G28" s="721" t="str">
        <f>IFERROR(IF(AND(데이터입력!$AE$2="추경",데이터입력!$AM$2=TRUE),VLOOKUP($A28,데이터입력!$A:$H,6,FALSE),""),"")</f>
        <v/>
      </c>
      <c r="H28" s="722" t="str">
        <f>IFERROR(IF(AND(데이터입력!$AE$2="추경",데이터입력!$AM$2=TRUE),VLOOKUP($A28,데이터입력!$A:$L,7,FALSE),""),"")</f>
        <v/>
      </c>
      <c r="I28" s="722" t="str">
        <f>IFERROR(IF(AND(데이터입력!$AE$2="추경",데이터입력!$AM$2=TRUE),VLOOKUP($A28,데이터입력!$A:$L,8,FALSE)+VLOOKUP($A28,데이터입력!$A:$L,9,FALSE)+VLOOKUP($A28,데이터입력!$A:$L,10,FALSE),""),"")</f>
        <v/>
      </c>
      <c r="J28" s="723" t="s">
        <v>136</v>
      </c>
      <c r="K28" s="723" t="s">
        <v>136</v>
      </c>
      <c r="L28" s="723" t="s">
        <v>136</v>
      </c>
      <c r="M28" s="715"/>
      <c r="N28" s="233">
        <v>226</v>
      </c>
      <c r="O28" s="727" t="str">
        <f>IFERROR(IF(S28="06",데이터입력!$AB$8,IF(S28="07",데이터입력!$AD$8,IF(S28="05",데이터입력!$AF$8,데이터입력!$AB$8))),데이터입력!$AB$8)</f>
        <v>00</v>
      </c>
      <c r="P28" s="728" t="str">
        <f>데이터입력!$AC$9</f>
        <v>일반사업[일반]</v>
      </c>
      <c r="Q28" s="729" t="str">
        <f>IFERROR(IF(데이터입력!$AE$2="추경",VLOOKUP($N28,데이터입력!$A:$H,4,FALSE),""),"")</f>
        <v/>
      </c>
      <c r="R28" s="729" t="str">
        <f>IFERROR(IF(데이터입력!$AE$2="추경",VLOOKUP($N28,데이터입력!$A:$H,2,FALSE),""),"")</f>
        <v/>
      </c>
      <c r="S28" s="729" t="str">
        <f>IFERROR(IF(데이터입력!$AE$2="추경",VLOOKUP($N28,데이터입력!$A:$H,5,FALSE),""),"")</f>
        <v/>
      </c>
      <c r="T28" s="729" t="str">
        <f>IFERROR(IF(데이터입력!$AE$2="추경",VLOOKUP($N28,데이터입력!$A:$H,6,FALSE),""),"")</f>
        <v/>
      </c>
      <c r="U28" s="730" t="str">
        <f>IFERROR(IF(데이터입력!$AE$2="추경",VLOOKUP($N28,데이터입력!$A:$L,8,FALSE)+VLOOKUP($N28,데이터입력!$A:$L,9,FALSE)+VLOOKUP($N28,데이터입력!$A:$L,10,FALSE),""),"")</f>
        <v/>
      </c>
      <c r="V28" s="731" t="s">
        <v>136</v>
      </c>
      <c r="W28" s="731" t="s">
        <v>136</v>
      </c>
      <c r="X28" s="731" t="s">
        <v>136</v>
      </c>
      <c r="Y28" s="711"/>
      <c r="Z28" s="235" t="str">
        <f>데이터입력!$AB$8</f>
        <v>00</v>
      </c>
      <c r="AA28" s="238" t="str">
        <f>데이터입력!$AC$9</f>
        <v>일반사업[일반]</v>
      </c>
      <c r="AB28" s="236" t="str">
        <f>IFERROR(IF(데이터입력!$AE$2="추경",VLOOKUP($A28,보수일람표!$A:$M,4,FALSE),""),"")</f>
        <v/>
      </c>
      <c r="AC28" s="236" t="str">
        <f>IFERROR(IF(데이터입력!$AE$2="추경",VLOOKUP($A28,보수일람표!$A:$M,5,FALSE),""),"")</f>
        <v/>
      </c>
      <c r="AD28" s="236" t="str">
        <f>IFERROR(IF(데이터입력!$AE$2="추경",VLOOKUP($A28,보수일람표!$A:$M,6,FALSE),""),"")</f>
        <v/>
      </c>
      <c r="AE28" s="236" t="str">
        <f>IFERROR(IF(데이터입력!$AE$2="추경",VLOOKUP($A28,보수일람표!$A:$M,7,FALSE),""),"")</f>
        <v>간접</v>
      </c>
      <c r="AF28" s="236"/>
      <c r="AG28" s="237">
        <f>IFERROR(IF(데이터입력!$AE$2="추경",VLOOKUP($A28,보수일람표!$A:$M,9,FALSE),""),"")</f>
        <v>0</v>
      </c>
      <c r="AH28" s="237">
        <f>IFERROR(IF(데이터입력!$AE$2="추경",VLOOKUP($A28,보수일람표!$A:$M,10,FALSE),""),"")</f>
        <v>0</v>
      </c>
      <c r="AI28" s="237">
        <f>IFERROR(IF(데이터입력!$AE$2="추경",VLOOKUP($A28,보수일람표!$A:$M,11,FALSE),""),"")</f>
        <v>0</v>
      </c>
      <c r="AJ28" s="237">
        <f>IFERROR(IF(데이터입력!$AE$2="추경",VLOOKUP($A28,보수일람표!$A:$M,12,FALSE),""),"")</f>
        <v>0</v>
      </c>
      <c r="AK28" s="237">
        <f>IFERROR(IF(데이터입력!$AE$2="추경",VLOOKUP($A28,보수일람표!$A:$M,13,FALSE),""),"")</f>
        <v>0</v>
      </c>
    </row>
    <row r="29" spans="1:37">
      <c r="A29" s="233">
        <v>27</v>
      </c>
      <c r="B29" s="719" t="str">
        <f>IFERROR(IF(F29="06",데이터입력!$AB$8,IF(F29="07",데이터입력!$AD$8,IF(F29="05",데이터입력!$AF$8,데이터입력!$AB$8))),데이터입력!$AB$8)</f>
        <v>00</v>
      </c>
      <c r="C29" s="720" t="str">
        <f>데이터입력!$AC$9</f>
        <v>일반사업[일반]</v>
      </c>
      <c r="D29" s="721" t="str">
        <f>IFERROR(IF(AND(데이터입력!$AE$2="추경",데이터입력!$AM$2=TRUE),VLOOKUP($A29,데이터입력!$A:$H,4,FALSE),""),"")</f>
        <v/>
      </c>
      <c r="E29" s="721" t="str">
        <f>IFERROR(IF(AND(데이터입력!$AE$2="추경",데이터입력!$AM$2=TRUE),VLOOKUP($A29,데이터입력!$A:$H,2,FALSE),""),"")</f>
        <v/>
      </c>
      <c r="F29" s="721" t="str">
        <f>IFERROR(IF(AND(데이터입력!$AE$2="추경",데이터입력!$AM$2=TRUE),VLOOKUP($A29,데이터입력!$A:$H,5,FALSE),""),"")</f>
        <v/>
      </c>
      <c r="G29" s="721" t="str">
        <f>IFERROR(IF(AND(데이터입력!$AE$2="추경",데이터입력!$AM$2=TRUE),VLOOKUP($A29,데이터입력!$A:$H,6,FALSE),""),"")</f>
        <v/>
      </c>
      <c r="H29" s="722" t="str">
        <f>IFERROR(IF(AND(데이터입력!$AE$2="추경",데이터입력!$AM$2=TRUE),VLOOKUP($A29,데이터입력!$A:$L,7,FALSE),""),"")</f>
        <v/>
      </c>
      <c r="I29" s="722" t="str">
        <f>IFERROR(IF(AND(데이터입력!$AE$2="추경",데이터입력!$AM$2=TRUE),VLOOKUP($A29,데이터입력!$A:$L,8,FALSE)+VLOOKUP($A29,데이터입력!$A:$L,9,FALSE)+VLOOKUP($A29,데이터입력!$A:$L,10,FALSE),""),"")</f>
        <v/>
      </c>
      <c r="J29" s="723" t="s">
        <v>136</v>
      </c>
      <c r="K29" s="723" t="s">
        <v>136</v>
      </c>
      <c r="L29" s="723" t="s">
        <v>136</v>
      </c>
      <c r="M29" s="715"/>
      <c r="N29" s="233">
        <v>227</v>
      </c>
      <c r="O29" s="727" t="str">
        <f>IFERROR(IF(S29="06",데이터입력!$AB$8,IF(S29="07",데이터입력!$AD$8,IF(S29="05",데이터입력!$AF$8,데이터입력!$AB$8))),데이터입력!$AB$8)</f>
        <v>00</v>
      </c>
      <c r="P29" s="728" t="str">
        <f>데이터입력!$AC$9</f>
        <v>일반사업[일반]</v>
      </c>
      <c r="Q29" s="729" t="str">
        <f>IFERROR(IF(데이터입력!$AE$2="추경",VLOOKUP($N29,데이터입력!$A:$H,4,FALSE),""),"")</f>
        <v/>
      </c>
      <c r="R29" s="729" t="str">
        <f>IFERROR(IF(데이터입력!$AE$2="추경",VLOOKUP($N29,데이터입력!$A:$H,2,FALSE),""),"")</f>
        <v/>
      </c>
      <c r="S29" s="729" t="str">
        <f>IFERROR(IF(데이터입력!$AE$2="추경",VLOOKUP($N29,데이터입력!$A:$H,5,FALSE),""),"")</f>
        <v/>
      </c>
      <c r="T29" s="729" t="str">
        <f>IFERROR(IF(데이터입력!$AE$2="추경",VLOOKUP($N29,데이터입력!$A:$H,6,FALSE),""),"")</f>
        <v/>
      </c>
      <c r="U29" s="730" t="str">
        <f>IFERROR(IF(데이터입력!$AE$2="추경",VLOOKUP($N29,데이터입력!$A:$L,8,FALSE)+VLOOKUP($N29,데이터입력!$A:$L,9,FALSE)+VLOOKUP($N29,데이터입력!$A:$L,10,FALSE),""),"")</f>
        <v/>
      </c>
      <c r="V29" s="731" t="s">
        <v>136</v>
      </c>
      <c r="W29" s="731" t="s">
        <v>136</v>
      </c>
      <c r="X29" s="731" t="s">
        <v>136</v>
      </c>
      <c r="Y29" s="712"/>
      <c r="Z29" s="235" t="str">
        <f>데이터입력!$AB$8</f>
        <v>00</v>
      </c>
      <c r="AA29" s="238" t="str">
        <f>데이터입력!$AC$9</f>
        <v>일반사업[일반]</v>
      </c>
      <c r="AB29" s="236" t="str">
        <f>IFERROR(IF(데이터입력!$AE$2="추경",VLOOKUP($A29,보수일람표!$A:$M,4,FALSE),""),"")</f>
        <v/>
      </c>
      <c r="AC29" s="236" t="str">
        <f>IFERROR(IF(데이터입력!$AE$2="추경",VLOOKUP($A29,보수일람표!$A:$M,5,FALSE),""),"")</f>
        <v/>
      </c>
      <c r="AD29" s="236" t="str">
        <f>IFERROR(IF(데이터입력!$AE$2="추경",VLOOKUP($A29,보수일람표!$A:$M,6,FALSE),""),"")</f>
        <v/>
      </c>
      <c r="AE29" s="236" t="str">
        <f>IFERROR(IF(데이터입력!$AE$2="추경",VLOOKUP($A29,보수일람표!$A:$M,7,FALSE),""),"")</f>
        <v>간접</v>
      </c>
      <c r="AF29" s="236"/>
      <c r="AG29" s="237">
        <f>IFERROR(IF(데이터입력!$AE$2="추경",VLOOKUP($A29,보수일람표!$A:$M,9,FALSE),""),"")</f>
        <v>0</v>
      </c>
      <c r="AH29" s="237">
        <f>IFERROR(IF(데이터입력!$AE$2="추경",VLOOKUP($A29,보수일람표!$A:$M,10,FALSE),""),"")</f>
        <v>0</v>
      </c>
      <c r="AI29" s="237">
        <f>IFERROR(IF(데이터입력!$AE$2="추경",VLOOKUP($A29,보수일람표!$A:$M,11,FALSE),""),"")</f>
        <v>0</v>
      </c>
      <c r="AJ29" s="237">
        <f>IFERROR(IF(데이터입력!$AE$2="추경",VLOOKUP($A29,보수일람표!$A:$M,12,FALSE),""),"")</f>
        <v>0</v>
      </c>
      <c r="AK29" s="237">
        <f>IFERROR(IF(데이터입력!$AE$2="추경",VLOOKUP($A29,보수일람표!$A:$M,13,FALSE),""),"")</f>
        <v>0</v>
      </c>
    </row>
    <row r="30" spans="1:37">
      <c r="A30" s="233">
        <v>28</v>
      </c>
      <c r="B30" s="719" t="str">
        <f>IFERROR(IF(F30="06",데이터입력!$AB$8,IF(F30="07",데이터입력!$AD$8,IF(F30="05",데이터입력!$AF$8,데이터입력!$AB$8))),데이터입력!$AB$8)</f>
        <v>00</v>
      </c>
      <c r="C30" s="720" t="str">
        <f>데이터입력!$AC$9</f>
        <v>일반사업[일반]</v>
      </c>
      <c r="D30" s="721" t="str">
        <f>IFERROR(IF(AND(데이터입력!$AE$2="추경",데이터입력!$AM$2=TRUE),VLOOKUP($A30,데이터입력!$A:$H,4,FALSE),""),"")</f>
        <v/>
      </c>
      <c r="E30" s="721" t="str">
        <f>IFERROR(IF(AND(데이터입력!$AE$2="추경",데이터입력!$AM$2=TRUE),VLOOKUP($A30,데이터입력!$A:$H,2,FALSE),""),"")</f>
        <v/>
      </c>
      <c r="F30" s="721" t="str">
        <f>IFERROR(IF(AND(데이터입력!$AE$2="추경",데이터입력!$AM$2=TRUE),VLOOKUP($A30,데이터입력!$A:$H,5,FALSE),""),"")</f>
        <v/>
      </c>
      <c r="G30" s="721" t="str">
        <f>IFERROR(IF(AND(데이터입력!$AE$2="추경",데이터입력!$AM$2=TRUE),VLOOKUP($A30,데이터입력!$A:$H,6,FALSE),""),"")</f>
        <v/>
      </c>
      <c r="H30" s="722" t="str">
        <f>IFERROR(IF(AND(데이터입력!$AE$2="추경",데이터입력!$AM$2=TRUE),VLOOKUP($A30,데이터입력!$A:$L,7,FALSE),""),"")</f>
        <v/>
      </c>
      <c r="I30" s="722" t="str">
        <f>IFERROR(IF(AND(데이터입력!$AE$2="추경",데이터입력!$AM$2=TRUE),VLOOKUP($A30,데이터입력!$A:$L,8,FALSE)+VLOOKUP($A30,데이터입력!$A:$L,9,FALSE)+VLOOKUP($A30,데이터입력!$A:$L,10,FALSE),""),"")</f>
        <v/>
      </c>
      <c r="J30" s="723" t="s">
        <v>136</v>
      </c>
      <c r="K30" s="723" t="s">
        <v>136</v>
      </c>
      <c r="L30" s="723" t="s">
        <v>136</v>
      </c>
      <c r="M30" s="715"/>
      <c r="N30" s="233">
        <v>228</v>
      </c>
      <c r="O30" s="727" t="str">
        <f>IFERROR(IF(S30="06",데이터입력!$AB$8,IF(S30="07",데이터입력!$AD$8,IF(S30="05",데이터입력!$AF$8,데이터입력!$AB$8))),데이터입력!$AB$8)</f>
        <v>00</v>
      </c>
      <c r="P30" s="728" t="str">
        <f>데이터입력!$AC$9</f>
        <v>일반사업[일반]</v>
      </c>
      <c r="Q30" s="729" t="str">
        <f>IFERROR(IF(데이터입력!$AE$2="추경",VLOOKUP($N30,데이터입력!$A:$H,4,FALSE),""),"")</f>
        <v/>
      </c>
      <c r="R30" s="729" t="str">
        <f>IFERROR(IF(데이터입력!$AE$2="추경",VLOOKUP($N30,데이터입력!$A:$H,2,FALSE),""),"")</f>
        <v/>
      </c>
      <c r="S30" s="729" t="str">
        <f>IFERROR(IF(데이터입력!$AE$2="추경",VLOOKUP($N30,데이터입력!$A:$H,5,FALSE),""),"")</f>
        <v/>
      </c>
      <c r="T30" s="729" t="str">
        <f>IFERROR(IF(데이터입력!$AE$2="추경",VLOOKUP($N30,데이터입력!$A:$H,6,FALSE),""),"")</f>
        <v/>
      </c>
      <c r="U30" s="730" t="str">
        <f>IFERROR(IF(데이터입력!$AE$2="추경",VLOOKUP($N30,데이터입력!$A:$L,8,FALSE)+VLOOKUP($N30,데이터입력!$A:$L,9,FALSE)+VLOOKUP($N30,데이터입력!$A:$L,10,FALSE),""),"")</f>
        <v/>
      </c>
      <c r="V30" s="731" t="s">
        <v>136</v>
      </c>
      <c r="W30" s="731" t="s">
        <v>136</v>
      </c>
      <c r="X30" s="731" t="s">
        <v>136</v>
      </c>
      <c r="Y30" s="711"/>
      <c r="Z30" s="235" t="str">
        <f>데이터입력!$AB$8</f>
        <v>00</v>
      </c>
      <c r="AA30" s="238" t="str">
        <f>데이터입력!$AC$9</f>
        <v>일반사업[일반]</v>
      </c>
      <c r="AB30" s="236" t="str">
        <f>IFERROR(IF(데이터입력!$AE$2="추경",VLOOKUP($A30,보수일람표!$A:$M,4,FALSE),""),"")</f>
        <v/>
      </c>
      <c r="AC30" s="236" t="str">
        <f>IFERROR(IF(데이터입력!$AE$2="추경",VLOOKUP($A30,보수일람표!$A:$M,5,FALSE),""),"")</f>
        <v/>
      </c>
      <c r="AD30" s="236" t="str">
        <f>IFERROR(IF(데이터입력!$AE$2="추경",VLOOKUP($A30,보수일람표!$A:$M,6,FALSE),""),"")</f>
        <v/>
      </c>
      <c r="AE30" s="236" t="str">
        <f>IFERROR(IF(데이터입력!$AE$2="추경",VLOOKUP($A30,보수일람표!$A:$M,7,FALSE),""),"")</f>
        <v>간접</v>
      </c>
      <c r="AF30" s="236"/>
      <c r="AG30" s="237">
        <f>IFERROR(IF(데이터입력!$AE$2="추경",VLOOKUP($A30,보수일람표!$A:$M,9,FALSE),""),"")</f>
        <v>0</v>
      </c>
      <c r="AH30" s="237">
        <f>IFERROR(IF(데이터입력!$AE$2="추경",VLOOKUP($A30,보수일람표!$A:$M,10,FALSE),""),"")</f>
        <v>0</v>
      </c>
      <c r="AI30" s="237">
        <f>IFERROR(IF(데이터입력!$AE$2="추경",VLOOKUP($A30,보수일람표!$A:$M,11,FALSE),""),"")</f>
        <v>0</v>
      </c>
      <c r="AJ30" s="237">
        <f>IFERROR(IF(데이터입력!$AE$2="추경",VLOOKUP($A30,보수일람표!$A:$M,12,FALSE),""),"")</f>
        <v>0</v>
      </c>
      <c r="AK30" s="237">
        <f>IFERROR(IF(데이터입력!$AE$2="추경",VLOOKUP($A30,보수일람표!$A:$M,13,FALSE),""),"")</f>
        <v>0</v>
      </c>
    </row>
    <row r="31" spans="1:37">
      <c r="A31" s="233">
        <v>29</v>
      </c>
      <c r="B31" s="719" t="str">
        <f>IFERROR(IF(F31="06",데이터입력!$AB$8,IF(F31="07",데이터입력!$AD$8,IF(F31="05",데이터입력!$AF$8,데이터입력!$AB$8))),데이터입력!$AB$8)</f>
        <v>00</v>
      </c>
      <c r="C31" s="720" t="str">
        <f>데이터입력!$AC$9</f>
        <v>일반사업[일반]</v>
      </c>
      <c r="D31" s="721" t="str">
        <f>IFERROR(IF(AND(데이터입력!$AE$2="추경",데이터입력!$AM$2=TRUE),VLOOKUP($A31,데이터입력!$A:$H,4,FALSE),""),"")</f>
        <v/>
      </c>
      <c r="E31" s="721" t="str">
        <f>IFERROR(IF(AND(데이터입력!$AE$2="추경",데이터입력!$AM$2=TRUE),VLOOKUP($A31,데이터입력!$A:$H,2,FALSE),""),"")</f>
        <v/>
      </c>
      <c r="F31" s="721" t="str">
        <f>IFERROR(IF(AND(데이터입력!$AE$2="추경",데이터입력!$AM$2=TRUE),VLOOKUP($A31,데이터입력!$A:$H,5,FALSE),""),"")</f>
        <v/>
      </c>
      <c r="G31" s="721" t="str">
        <f>IFERROR(IF(AND(데이터입력!$AE$2="추경",데이터입력!$AM$2=TRUE),VLOOKUP($A31,데이터입력!$A:$H,6,FALSE),""),"")</f>
        <v/>
      </c>
      <c r="H31" s="722" t="str">
        <f>IFERROR(IF(AND(데이터입력!$AE$2="추경",데이터입력!$AM$2=TRUE),VLOOKUP($A31,데이터입력!$A:$L,7,FALSE),""),"")</f>
        <v/>
      </c>
      <c r="I31" s="722" t="str">
        <f>IFERROR(IF(AND(데이터입력!$AE$2="추경",데이터입력!$AM$2=TRUE),VLOOKUP($A31,데이터입력!$A:$L,8,FALSE)+VLOOKUP($A31,데이터입력!$A:$L,9,FALSE)+VLOOKUP($A31,데이터입력!$A:$L,10,FALSE),""),"")</f>
        <v/>
      </c>
      <c r="J31" s="723" t="s">
        <v>136</v>
      </c>
      <c r="K31" s="723" t="s">
        <v>136</v>
      </c>
      <c r="L31" s="723" t="s">
        <v>136</v>
      </c>
      <c r="M31" s="715"/>
      <c r="N31" s="233">
        <v>229</v>
      </c>
      <c r="O31" s="727" t="str">
        <f>IFERROR(IF(S31="06",데이터입력!$AB$8,IF(S31="07",데이터입력!$AD$8,IF(S31="05",데이터입력!$AF$8,데이터입력!$AB$8))),데이터입력!$AB$8)</f>
        <v>00</v>
      </c>
      <c r="P31" s="728" t="str">
        <f>데이터입력!$AC$9</f>
        <v>일반사업[일반]</v>
      </c>
      <c r="Q31" s="729" t="str">
        <f>IFERROR(IF(데이터입력!$AE$2="추경",VLOOKUP($N31,데이터입력!$A:$H,4,FALSE),""),"")</f>
        <v/>
      </c>
      <c r="R31" s="729" t="str">
        <f>IFERROR(IF(데이터입력!$AE$2="추경",VLOOKUP($N31,데이터입력!$A:$H,2,FALSE),""),"")</f>
        <v/>
      </c>
      <c r="S31" s="729" t="str">
        <f>IFERROR(IF(데이터입력!$AE$2="추경",VLOOKUP($N31,데이터입력!$A:$H,5,FALSE),""),"")</f>
        <v/>
      </c>
      <c r="T31" s="729" t="str">
        <f>IFERROR(IF(데이터입력!$AE$2="추경",VLOOKUP($N31,데이터입력!$A:$H,6,FALSE),""),"")</f>
        <v/>
      </c>
      <c r="U31" s="730" t="str">
        <f>IFERROR(IF(데이터입력!$AE$2="추경",VLOOKUP($N31,데이터입력!$A:$L,8,FALSE)+VLOOKUP($N31,데이터입력!$A:$L,9,FALSE)+VLOOKUP($N31,데이터입력!$A:$L,10,FALSE),""),"")</f>
        <v/>
      </c>
      <c r="V31" s="731" t="s">
        <v>136</v>
      </c>
      <c r="W31" s="731" t="s">
        <v>136</v>
      </c>
      <c r="X31" s="731" t="s">
        <v>136</v>
      </c>
      <c r="Y31" s="712"/>
      <c r="Z31" s="235" t="str">
        <f>데이터입력!$AB$8</f>
        <v>00</v>
      </c>
      <c r="AA31" s="238" t="str">
        <f>데이터입력!$AC$9</f>
        <v>일반사업[일반]</v>
      </c>
      <c r="AB31" s="236" t="str">
        <f>IFERROR(IF(데이터입력!$AE$2="추경",VLOOKUP($A31,보수일람표!$A:$M,4,FALSE),""),"")</f>
        <v/>
      </c>
      <c r="AC31" s="236" t="str">
        <f>IFERROR(IF(데이터입력!$AE$2="추경",VLOOKUP($A31,보수일람표!$A:$M,5,FALSE),""),"")</f>
        <v/>
      </c>
      <c r="AD31" s="236" t="str">
        <f>IFERROR(IF(데이터입력!$AE$2="추경",VLOOKUP($A31,보수일람표!$A:$M,6,FALSE),""),"")</f>
        <v/>
      </c>
      <c r="AE31" s="236" t="str">
        <f>IFERROR(IF(데이터입력!$AE$2="추경",VLOOKUP($A31,보수일람표!$A:$M,7,FALSE),""),"")</f>
        <v>간접</v>
      </c>
      <c r="AF31" s="236"/>
      <c r="AG31" s="237">
        <f>IFERROR(IF(데이터입력!$AE$2="추경",VLOOKUP($A31,보수일람표!$A:$M,9,FALSE),""),"")</f>
        <v>0</v>
      </c>
      <c r="AH31" s="237">
        <f>IFERROR(IF(데이터입력!$AE$2="추경",VLOOKUP($A31,보수일람표!$A:$M,10,FALSE),""),"")</f>
        <v>0</v>
      </c>
      <c r="AI31" s="237">
        <f>IFERROR(IF(데이터입력!$AE$2="추경",VLOOKUP($A31,보수일람표!$A:$M,11,FALSE),""),"")</f>
        <v>0</v>
      </c>
      <c r="AJ31" s="237">
        <f>IFERROR(IF(데이터입력!$AE$2="추경",VLOOKUP($A31,보수일람표!$A:$M,12,FALSE),""),"")</f>
        <v>0</v>
      </c>
      <c r="AK31" s="237">
        <f>IFERROR(IF(데이터입력!$AE$2="추경",VLOOKUP($A31,보수일람표!$A:$M,13,FALSE),""),"")</f>
        <v>0</v>
      </c>
    </row>
    <row r="32" spans="1:37">
      <c r="A32" s="233">
        <v>30</v>
      </c>
      <c r="B32" s="719" t="str">
        <f>IFERROR(IF(F32="06",데이터입력!$AB$8,IF(F32="07",데이터입력!$AD$8,IF(F32="05",데이터입력!$AF$8,데이터입력!$AB$8))),데이터입력!$AB$8)</f>
        <v>00</v>
      </c>
      <c r="C32" s="720" t="str">
        <f>데이터입력!$AC$9</f>
        <v>일반사업[일반]</v>
      </c>
      <c r="D32" s="721" t="str">
        <f>IFERROR(IF(AND(데이터입력!$AE$2="추경",데이터입력!$AM$2=TRUE),VLOOKUP($A32,데이터입력!$A:$H,4,FALSE),""),"")</f>
        <v/>
      </c>
      <c r="E32" s="721" t="str">
        <f>IFERROR(IF(AND(데이터입력!$AE$2="추경",데이터입력!$AM$2=TRUE),VLOOKUP($A32,데이터입력!$A:$H,2,FALSE),""),"")</f>
        <v/>
      </c>
      <c r="F32" s="721" t="str">
        <f>IFERROR(IF(AND(데이터입력!$AE$2="추경",데이터입력!$AM$2=TRUE),VLOOKUP($A32,데이터입력!$A:$H,5,FALSE),""),"")</f>
        <v/>
      </c>
      <c r="G32" s="721" t="str">
        <f>IFERROR(IF(AND(데이터입력!$AE$2="추경",데이터입력!$AM$2=TRUE),VLOOKUP($A32,데이터입력!$A:$H,6,FALSE),""),"")</f>
        <v/>
      </c>
      <c r="H32" s="722" t="str">
        <f>IFERROR(IF(AND(데이터입력!$AE$2="추경",데이터입력!$AM$2=TRUE),VLOOKUP($A32,데이터입력!$A:$L,7,FALSE),""),"")</f>
        <v/>
      </c>
      <c r="I32" s="722" t="str">
        <f>IFERROR(IF(AND(데이터입력!$AE$2="추경",데이터입력!$AM$2=TRUE),VLOOKUP($A32,데이터입력!$A:$L,8,FALSE)+VLOOKUP($A32,데이터입력!$A:$L,9,FALSE)+VLOOKUP($A32,데이터입력!$A:$L,10,FALSE),""),"")</f>
        <v/>
      </c>
      <c r="J32" s="723" t="s">
        <v>136</v>
      </c>
      <c r="K32" s="723" t="s">
        <v>136</v>
      </c>
      <c r="L32" s="723" t="s">
        <v>136</v>
      </c>
      <c r="M32" s="715"/>
      <c r="N32" s="233">
        <v>230</v>
      </c>
      <c r="O32" s="727" t="str">
        <f>IFERROR(IF(S32="06",데이터입력!$AB$8,IF(S32="07",데이터입력!$AD$8,IF(S32="05",데이터입력!$AF$8,데이터입력!$AB$8))),데이터입력!$AB$8)</f>
        <v>00</v>
      </c>
      <c r="P32" s="728" t="str">
        <f>데이터입력!$AC$9</f>
        <v>일반사업[일반]</v>
      </c>
      <c r="Q32" s="729" t="str">
        <f>IFERROR(IF(데이터입력!$AE$2="추경",VLOOKUP($N32,데이터입력!$A:$H,4,FALSE),""),"")</f>
        <v/>
      </c>
      <c r="R32" s="729" t="str">
        <f>IFERROR(IF(데이터입력!$AE$2="추경",VLOOKUP($N32,데이터입력!$A:$H,2,FALSE),""),"")</f>
        <v/>
      </c>
      <c r="S32" s="729" t="str">
        <f>IFERROR(IF(데이터입력!$AE$2="추경",VLOOKUP($N32,데이터입력!$A:$H,5,FALSE),""),"")</f>
        <v/>
      </c>
      <c r="T32" s="729" t="str">
        <f>IFERROR(IF(데이터입력!$AE$2="추경",VLOOKUP($N32,데이터입력!$A:$H,6,FALSE),""),"")</f>
        <v/>
      </c>
      <c r="U32" s="730" t="str">
        <f>IFERROR(IF(데이터입력!$AE$2="추경",VLOOKUP($N32,데이터입력!$A:$L,8,FALSE)+VLOOKUP($N32,데이터입력!$A:$L,9,FALSE)+VLOOKUP($N32,데이터입력!$A:$L,10,FALSE),""),"")</f>
        <v/>
      </c>
      <c r="V32" s="731" t="s">
        <v>136</v>
      </c>
      <c r="W32" s="731" t="s">
        <v>136</v>
      </c>
      <c r="X32" s="731" t="s">
        <v>136</v>
      </c>
      <c r="Y32" s="711"/>
      <c r="Z32" s="235" t="str">
        <f>데이터입력!$AB$8</f>
        <v>00</v>
      </c>
      <c r="AA32" s="238" t="str">
        <f>데이터입력!$AC$9</f>
        <v>일반사업[일반]</v>
      </c>
      <c r="AB32" s="236" t="str">
        <f>IFERROR(IF(데이터입력!$AE$2="추경",VLOOKUP($A32,보수일람표!$A:$M,4,FALSE),""),"")</f>
        <v/>
      </c>
      <c r="AC32" s="236" t="str">
        <f>IFERROR(IF(데이터입력!$AE$2="추경",VLOOKUP($A32,보수일람표!$A:$M,5,FALSE),""),"")</f>
        <v/>
      </c>
      <c r="AD32" s="236" t="str">
        <f>IFERROR(IF(데이터입력!$AE$2="추경",VLOOKUP($A32,보수일람표!$A:$M,6,FALSE),""),"")</f>
        <v/>
      </c>
      <c r="AE32" s="236" t="str">
        <f>IFERROR(IF(데이터입력!$AE$2="추경",VLOOKUP($A32,보수일람표!$A:$M,7,FALSE),""),"")</f>
        <v>간접</v>
      </c>
      <c r="AF32" s="236"/>
      <c r="AG32" s="237">
        <f>IFERROR(IF(데이터입력!$AE$2="추경",VLOOKUP($A32,보수일람표!$A:$M,9,FALSE),""),"")</f>
        <v>0</v>
      </c>
      <c r="AH32" s="237">
        <f>IFERROR(IF(데이터입력!$AE$2="추경",VLOOKUP($A32,보수일람표!$A:$M,10,FALSE),""),"")</f>
        <v>0</v>
      </c>
      <c r="AI32" s="237">
        <f>IFERROR(IF(데이터입력!$AE$2="추경",VLOOKUP($A32,보수일람표!$A:$M,11,FALSE),""),"")</f>
        <v>0</v>
      </c>
      <c r="AJ32" s="237">
        <f>IFERROR(IF(데이터입력!$AE$2="추경",VLOOKUP($A32,보수일람표!$A:$M,12,FALSE),""),"")</f>
        <v>0</v>
      </c>
      <c r="AK32" s="237">
        <f>IFERROR(IF(데이터입력!$AE$2="추경",VLOOKUP($A32,보수일람표!$A:$M,13,FALSE),""),"")</f>
        <v>0</v>
      </c>
    </row>
    <row r="33" spans="1:37">
      <c r="A33" s="233">
        <v>31</v>
      </c>
      <c r="B33" s="719" t="str">
        <f>IFERROR(IF(F33="06",데이터입력!$AB$8,IF(F33="07",데이터입력!$AD$8,IF(F33="05",데이터입력!$AF$8,데이터입력!$AB$8))),데이터입력!$AB$8)</f>
        <v>00</v>
      </c>
      <c r="C33" s="720" t="str">
        <f>데이터입력!$AC$9</f>
        <v>일반사업[일반]</v>
      </c>
      <c r="D33" s="721" t="str">
        <f>IFERROR(IF(AND(데이터입력!$AE$2="추경",데이터입력!$AM$2=TRUE),VLOOKUP($A33,데이터입력!$A:$H,4,FALSE),""),"")</f>
        <v/>
      </c>
      <c r="E33" s="721" t="str">
        <f>IFERROR(IF(AND(데이터입력!$AE$2="추경",데이터입력!$AM$2=TRUE),VLOOKUP($A33,데이터입력!$A:$H,2,FALSE),""),"")</f>
        <v/>
      </c>
      <c r="F33" s="721" t="str">
        <f>IFERROR(IF(AND(데이터입력!$AE$2="추경",데이터입력!$AM$2=TRUE),VLOOKUP($A33,데이터입력!$A:$H,5,FALSE),""),"")</f>
        <v/>
      </c>
      <c r="G33" s="721" t="str">
        <f>IFERROR(IF(AND(데이터입력!$AE$2="추경",데이터입력!$AM$2=TRUE),VLOOKUP($A33,데이터입력!$A:$H,6,FALSE),""),"")</f>
        <v/>
      </c>
      <c r="H33" s="722" t="str">
        <f>IFERROR(IF(AND(데이터입력!$AE$2="추경",데이터입력!$AM$2=TRUE),VLOOKUP($A33,데이터입력!$A:$L,7,FALSE),""),"")</f>
        <v/>
      </c>
      <c r="I33" s="722" t="str">
        <f>IFERROR(IF(AND(데이터입력!$AE$2="추경",데이터입력!$AM$2=TRUE),VLOOKUP($A33,데이터입력!$A:$L,8,FALSE)+VLOOKUP($A33,데이터입력!$A:$L,9,FALSE)+VLOOKUP($A33,데이터입력!$A:$L,10,FALSE),""),"")</f>
        <v/>
      </c>
      <c r="J33" s="723" t="s">
        <v>136</v>
      </c>
      <c r="K33" s="723" t="s">
        <v>136</v>
      </c>
      <c r="L33" s="723" t="s">
        <v>136</v>
      </c>
      <c r="M33" s="715"/>
      <c r="N33" s="233">
        <v>231</v>
      </c>
      <c r="O33" s="727" t="str">
        <f>IFERROR(IF(S33="06",데이터입력!$AB$8,IF(S33="07",데이터입력!$AD$8,IF(S33="05",데이터입력!$AF$8,데이터입력!$AB$8))),데이터입력!$AB$8)</f>
        <v>00</v>
      </c>
      <c r="P33" s="728" t="str">
        <f>데이터입력!$AC$9</f>
        <v>일반사업[일반]</v>
      </c>
      <c r="Q33" s="729" t="str">
        <f>IFERROR(IF(데이터입력!$AE$2="추경",VLOOKUP($N33,데이터입력!$A:$H,4,FALSE),""),"")</f>
        <v/>
      </c>
      <c r="R33" s="729" t="str">
        <f>IFERROR(IF(데이터입력!$AE$2="추경",VLOOKUP($N33,데이터입력!$A:$H,2,FALSE),""),"")</f>
        <v/>
      </c>
      <c r="S33" s="729" t="str">
        <f>IFERROR(IF(데이터입력!$AE$2="추경",VLOOKUP($N33,데이터입력!$A:$H,5,FALSE),""),"")</f>
        <v/>
      </c>
      <c r="T33" s="729" t="str">
        <f>IFERROR(IF(데이터입력!$AE$2="추경",VLOOKUP($N33,데이터입력!$A:$H,6,FALSE),""),"")</f>
        <v/>
      </c>
      <c r="U33" s="730" t="str">
        <f>IFERROR(IF(데이터입력!$AE$2="추경",VLOOKUP($N33,데이터입력!$A:$L,8,FALSE)+VLOOKUP($N33,데이터입력!$A:$L,9,FALSE)+VLOOKUP($N33,데이터입력!$A:$L,10,FALSE),""),"")</f>
        <v/>
      </c>
      <c r="V33" s="731" t="s">
        <v>136</v>
      </c>
      <c r="W33" s="731" t="s">
        <v>136</v>
      </c>
      <c r="X33" s="731" t="s">
        <v>136</v>
      </c>
      <c r="Y33" s="712"/>
      <c r="Z33" s="235" t="str">
        <f>데이터입력!$AB$8</f>
        <v>00</v>
      </c>
      <c r="AA33" s="238" t="str">
        <f>데이터입력!$AC$9</f>
        <v>일반사업[일반]</v>
      </c>
      <c r="AB33" s="236" t="str">
        <f>IFERROR(IF(데이터입력!$AE$2="추경",VLOOKUP($A33,보수일람표!$A:$M,4,FALSE),""),"")</f>
        <v/>
      </c>
      <c r="AC33" s="236" t="str">
        <f>IFERROR(IF(데이터입력!$AE$2="추경",VLOOKUP($A33,보수일람표!$A:$M,5,FALSE),""),"")</f>
        <v/>
      </c>
      <c r="AD33" s="236" t="str">
        <f>IFERROR(IF(데이터입력!$AE$2="추경",VLOOKUP($A33,보수일람표!$A:$M,6,FALSE),""),"")</f>
        <v/>
      </c>
      <c r="AE33" s="236" t="str">
        <f>IFERROR(IF(데이터입력!$AE$2="추경",VLOOKUP($A33,보수일람표!$A:$M,7,FALSE),""),"")</f>
        <v>간접</v>
      </c>
      <c r="AF33" s="236"/>
      <c r="AG33" s="237">
        <f>IFERROR(IF(데이터입력!$AE$2="추경",VLOOKUP($A33,보수일람표!$A:$M,9,FALSE),""),"")</f>
        <v>0</v>
      </c>
      <c r="AH33" s="237">
        <f>IFERROR(IF(데이터입력!$AE$2="추경",VLOOKUP($A33,보수일람표!$A:$M,10,FALSE),""),"")</f>
        <v>0</v>
      </c>
      <c r="AI33" s="237">
        <f>IFERROR(IF(데이터입력!$AE$2="추경",VLOOKUP($A33,보수일람표!$A:$M,11,FALSE),""),"")</f>
        <v>0</v>
      </c>
      <c r="AJ33" s="237">
        <f>IFERROR(IF(데이터입력!$AE$2="추경",VLOOKUP($A33,보수일람표!$A:$M,12,FALSE),""),"")</f>
        <v>0</v>
      </c>
      <c r="AK33" s="237">
        <f>IFERROR(IF(데이터입력!$AE$2="추경",VLOOKUP($A33,보수일람표!$A:$M,13,FALSE),""),"")</f>
        <v>0</v>
      </c>
    </row>
    <row r="34" spans="1:37">
      <c r="A34" s="233">
        <v>32</v>
      </c>
      <c r="B34" s="719" t="str">
        <f>IFERROR(IF(F34="06",데이터입력!$AB$8,IF(F34="07",데이터입력!$AD$8,IF(F34="05",데이터입력!$AF$8,데이터입력!$AB$8))),데이터입력!$AB$8)</f>
        <v>00</v>
      </c>
      <c r="C34" s="720" t="str">
        <f>데이터입력!$AC$9</f>
        <v>일반사업[일반]</v>
      </c>
      <c r="D34" s="721" t="str">
        <f>IFERROR(IF(AND(데이터입력!$AE$2="추경",데이터입력!$AM$2=TRUE),VLOOKUP($A34,데이터입력!$A:$H,4,FALSE),""),"")</f>
        <v/>
      </c>
      <c r="E34" s="721" t="str">
        <f>IFERROR(IF(AND(데이터입력!$AE$2="추경",데이터입력!$AM$2=TRUE),VLOOKUP($A34,데이터입력!$A:$H,2,FALSE),""),"")</f>
        <v/>
      </c>
      <c r="F34" s="721" t="str">
        <f>IFERROR(IF(AND(데이터입력!$AE$2="추경",데이터입력!$AM$2=TRUE),VLOOKUP($A34,데이터입력!$A:$H,5,FALSE),""),"")</f>
        <v/>
      </c>
      <c r="G34" s="721" t="str">
        <f>IFERROR(IF(AND(데이터입력!$AE$2="추경",데이터입력!$AM$2=TRUE),VLOOKUP($A34,데이터입력!$A:$H,6,FALSE),""),"")</f>
        <v/>
      </c>
      <c r="H34" s="722" t="str">
        <f>IFERROR(IF(AND(데이터입력!$AE$2="추경",데이터입력!$AM$2=TRUE),VLOOKUP($A34,데이터입력!$A:$L,7,FALSE),""),"")</f>
        <v/>
      </c>
      <c r="I34" s="722" t="str">
        <f>IFERROR(IF(AND(데이터입력!$AE$2="추경",데이터입력!$AM$2=TRUE),VLOOKUP($A34,데이터입력!$A:$L,8,FALSE)+VLOOKUP($A34,데이터입력!$A:$L,9,FALSE)+VLOOKUP($A34,데이터입력!$A:$L,10,FALSE),""),"")</f>
        <v/>
      </c>
      <c r="J34" s="723" t="s">
        <v>136</v>
      </c>
      <c r="K34" s="723" t="s">
        <v>136</v>
      </c>
      <c r="L34" s="723" t="s">
        <v>136</v>
      </c>
      <c r="M34" s="715"/>
      <c r="N34" s="233">
        <v>232</v>
      </c>
      <c r="O34" s="727" t="str">
        <f>IFERROR(IF(S34="06",데이터입력!$AB$8,IF(S34="07",데이터입력!$AD$8,IF(S34="05",데이터입력!$AF$8,데이터입력!$AB$8))),데이터입력!$AB$8)</f>
        <v>00</v>
      </c>
      <c r="P34" s="728" t="str">
        <f>데이터입력!$AC$9</f>
        <v>일반사업[일반]</v>
      </c>
      <c r="Q34" s="729" t="str">
        <f>IFERROR(IF(데이터입력!$AE$2="추경",VLOOKUP($N34,데이터입력!$A:$H,4,FALSE),""),"")</f>
        <v/>
      </c>
      <c r="R34" s="729" t="str">
        <f>IFERROR(IF(데이터입력!$AE$2="추경",VLOOKUP($N34,데이터입력!$A:$H,2,FALSE),""),"")</f>
        <v/>
      </c>
      <c r="S34" s="729" t="str">
        <f>IFERROR(IF(데이터입력!$AE$2="추경",VLOOKUP($N34,데이터입력!$A:$H,5,FALSE),""),"")</f>
        <v/>
      </c>
      <c r="T34" s="729" t="str">
        <f>IFERROR(IF(데이터입력!$AE$2="추경",VLOOKUP($N34,데이터입력!$A:$H,6,FALSE),""),"")</f>
        <v/>
      </c>
      <c r="U34" s="730" t="str">
        <f>IFERROR(IF(데이터입력!$AE$2="추경",VLOOKUP($N34,데이터입력!$A:$L,8,FALSE)+VLOOKUP($N34,데이터입력!$A:$L,9,FALSE)+VLOOKUP($N34,데이터입력!$A:$L,10,FALSE),""),"")</f>
        <v/>
      </c>
      <c r="V34" s="731" t="s">
        <v>136</v>
      </c>
      <c r="W34" s="731" t="s">
        <v>136</v>
      </c>
      <c r="X34" s="731" t="s">
        <v>136</v>
      </c>
      <c r="Y34" s="711"/>
      <c r="Z34" s="235" t="str">
        <f>데이터입력!$AB$8</f>
        <v>00</v>
      </c>
      <c r="AA34" s="238" t="str">
        <f>데이터입력!$AC$9</f>
        <v>일반사업[일반]</v>
      </c>
      <c r="AB34" s="236" t="str">
        <f>IFERROR(IF(데이터입력!$AE$2="추경",VLOOKUP($A34,보수일람표!$A:$M,4,FALSE),""),"")</f>
        <v/>
      </c>
      <c r="AC34" s="236" t="str">
        <f>IFERROR(IF(데이터입력!$AE$2="추경",VLOOKUP($A34,보수일람표!$A:$M,5,FALSE),""),"")</f>
        <v/>
      </c>
      <c r="AD34" s="236" t="str">
        <f>IFERROR(IF(데이터입력!$AE$2="추경",VLOOKUP($A34,보수일람표!$A:$M,6,FALSE),""),"")</f>
        <v/>
      </c>
      <c r="AE34" s="236" t="str">
        <f>IFERROR(IF(데이터입력!$AE$2="추경",VLOOKUP($A34,보수일람표!$A:$M,7,FALSE),""),"")</f>
        <v>간접</v>
      </c>
      <c r="AF34" s="236"/>
      <c r="AG34" s="237">
        <f>IFERROR(IF(데이터입력!$AE$2="추경",VLOOKUP($A34,보수일람표!$A:$M,9,FALSE),""),"")</f>
        <v>0</v>
      </c>
      <c r="AH34" s="237">
        <f>IFERROR(IF(데이터입력!$AE$2="추경",VLOOKUP($A34,보수일람표!$A:$M,10,FALSE),""),"")</f>
        <v>0</v>
      </c>
      <c r="AI34" s="237">
        <f>IFERROR(IF(데이터입력!$AE$2="추경",VLOOKUP($A34,보수일람표!$A:$M,11,FALSE),""),"")</f>
        <v>0</v>
      </c>
      <c r="AJ34" s="237">
        <f>IFERROR(IF(데이터입력!$AE$2="추경",VLOOKUP($A34,보수일람표!$A:$M,12,FALSE),""),"")</f>
        <v>0</v>
      </c>
      <c r="AK34" s="237">
        <f>IFERROR(IF(데이터입력!$AE$2="추경",VLOOKUP($A34,보수일람표!$A:$M,13,FALSE),""),"")</f>
        <v>0</v>
      </c>
    </row>
    <row r="35" spans="1:37">
      <c r="A35" s="233">
        <v>33</v>
      </c>
      <c r="B35" s="719" t="str">
        <f>IFERROR(IF(F35="06",데이터입력!$AB$8,IF(F35="07",데이터입력!$AD$8,IF(F35="05",데이터입력!$AF$8,데이터입력!$AB$8))),데이터입력!$AB$8)</f>
        <v>00</v>
      </c>
      <c r="C35" s="720" t="str">
        <f>데이터입력!$AC$9</f>
        <v>일반사업[일반]</v>
      </c>
      <c r="D35" s="721" t="str">
        <f>IFERROR(IF(AND(데이터입력!$AE$2="추경",데이터입력!$AM$2=TRUE),VLOOKUP($A35,데이터입력!$A:$H,4,FALSE),""),"")</f>
        <v/>
      </c>
      <c r="E35" s="721" t="str">
        <f>IFERROR(IF(AND(데이터입력!$AE$2="추경",데이터입력!$AM$2=TRUE),VLOOKUP($A35,데이터입력!$A:$H,2,FALSE),""),"")</f>
        <v/>
      </c>
      <c r="F35" s="721" t="str">
        <f>IFERROR(IF(AND(데이터입력!$AE$2="추경",데이터입력!$AM$2=TRUE),VLOOKUP($A35,데이터입력!$A:$H,5,FALSE),""),"")</f>
        <v/>
      </c>
      <c r="G35" s="721" t="str">
        <f>IFERROR(IF(AND(데이터입력!$AE$2="추경",데이터입력!$AM$2=TRUE),VLOOKUP($A35,데이터입력!$A:$H,6,FALSE),""),"")</f>
        <v/>
      </c>
      <c r="H35" s="722" t="str">
        <f>IFERROR(IF(AND(데이터입력!$AE$2="추경",데이터입력!$AM$2=TRUE),VLOOKUP($A35,데이터입력!$A:$L,7,FALSE),""),"")</f>
        <v/>
      </c>
      <c r="I35" s="722" t="str">
        <f>IFERROR(IF(AND(데이터입력!$AE$2="추경",데이터입력!$AM$2=TRUE),VLOOKUP($A35,데이터입력!$A:$L,8,FALSE)+VLOOKUP($A35,데이터입력!$A:$L,9,FALSE)+VLOOKUP($A35,데이터입력!$A:$L,10,FALSE),""),"")</f>
        <v/>
      </c>
      <c r="J35" s="723" t="s">
        <v>136</v>
      </c>
      <c r="K35" s="723" t="s">
        <v>136</v>
      </c>
      <c r="L35" s="723" t="s">
        <v>136</v>
      </c>
      <c r="M35" s="715"/>
      <c r="N35" s="233">
        <v>233</v>
      </c>
      <c r="O35" s="727" t="str">
        <f>IFERROR(IF(S35="06",데이터입력!$AB$8,IF(S35="07",데이터입력!$AD$8,IF(S35="05",데이터입력!$AF$8,데이터입력!$AB$8))),데이터입력!$AB$8)</f>
        <v>00</v>
      </c>
      <c r="P35" s="728" t="str">
        <f>데이터입력!$AC$9</f>
        <v>일반사업[일반]</v>
      </c>
      <c r="Q35" s="729" t="str">
        <f>IFERROR(IF(데이터입력!$AE$2="추경",VLOOKUP($N35,데이터입력!$A:$H,4,FALSE),""),"")</f>
        <v/>
      </c>
      <c r="R35" s="729" t="str">
        <f>IFERROR(IF(데이터입력!$AE$2="추경",VLOOKUP($N35,데이터입력!$A:$H,2,FALSE),""),"")</f>
        <v/>
      </c>
      <c r="S35" s="729" t="str">
        <f>IFERROR(IF(데이터입력!$AE$2="추경",VLOOKUP($N35,데이터입력!$A:$H,5,FALSE),""),"")</f>
        <v/>
      </c>
      <c r="T35" s="729" t="str">
        <f>IFERROR(IF(데이터입력!$AE$2="추경",VLOOKUP($N35,데이터입력!$A:$H,6,FALSE),""),"")</f>
        <v/>
      </c>
      <c r="U35" s="730" t="str">
        <f>IFERROR(IF(데이터입력!$AE$2="추경",VLOOKUP($N35,데이터입력!$A:$L,8,FALSE)+VLOOKUP($N35,데이터입력!$A:$L,9,FALSE)+VLOOKUP($N35,데이터입력!$A:$L,10,FALSE),""),"")</f>
        <v/>
      </c>
      <c r="V35" s="731" t="s">
        <v>136</v>
      </c>
      <c r="W35" s="731" t="s">
        <v>136</v>
      </c>
      <c r="X35" s="731" t="s">
        <v>136</v>
      </c>
      <c r="Y35" s="711"/>
      <c r="Z35" s="235" t="str">
        <f>데이터입력!$AB$8</f>
        <v>00</v>
      </c>
      <c r="AA35" s="238" t="str">
        <f>데이터입력!$AC$9</f>
        <v>일반사업[일반]</v>
      </c>
      <c r="AB35" s="236" t="str">
        <f>IFERROR(IF(데이터입력!$AE$2="추경",VLOOKUP($A35,보수일람표!$A:$M,4,FALSE),""),"")</f>
        <v/>
      </c>
      <c r="AC35" s="236" t="str">
        <f>IFERROR(IF(데이터입력!$AE$2="추경",VLOOKUP($A35,보수일람표!$A:$M,5,FALSE),""),"")</f>
        <v/>
      </c>
      <c r="AD35" s="236" t="str">
        <f>IFERROR(IF(데이터입력!$AE$2="추경",VLOOKUP($A35,보수일람표!$A:$M,6,FALSE),""),"")</f>
        <v/>
      </c>
      <c r="AE35" s="236" t="str">
        <f>IFERROR(IF(데이터입력!$AE$2="추경",VLOOKUP($A35,보수일람표!$A:$M,7,FALSE),""),"")</f>
        <v>간접</v>
      </c>
      <c r="AF35" s="236"/>
      <c r="AG35" s="237">
        <f>IFERROR(IF(데이터입력!$AE$2="추경",VLOOKUP($A35,보수일람표!$A:$M,9,FALSE),""),"")</f>
        <v>0</v>
      </c>
      <c r="AH35" s="237">
        <f>IFERROR(IF(데이터입력!$AE$2="추경",VLOOKUP($A35,보수일람표!$A:$M,10,FALSE),""),"")</f>
        <v>0</v>
      </c>
      <c r="AI35" s="237">
        <f>IFERROR(IF(데이터입력!$AE$2="추경",VLOOKUP($A35,보수일람표!$A:$M,11,FALSE),""),"")</f>
        <v>0</v>
      </c>
      <c r="AJ35" s="237">
        <f>IFERROR(IF(데이터입력!$AE$2="추경",VLOOKUP($A35,보수일람표!$A:$M,12,FALSE),""),"")</f>
        <v>0</v>
      </c>
      <c r="AK35" s="237">
        <f>IFERROR(IF(데이터입력!$AE$2="추경",VLOOKUP($A35,보수일람표!$A:$M,13,FALSE),""),"")</f>
        <v>0</v>
      </c>
    </row>
    <row r="36" spans="1:37">
      <c r="A36" s="233">
        <v>34</v>
      </c>
      <c r="B36" s="719" t="str">
        <f>IFERROR(IF(F36="06",데이터입력!$AB$8,IF(F36="07",데이터입력!$AD$8,IF(F36="05",데이터입력!$AF$8,데이터입력!$AB$8))),데이터입력!$AB$8)</f>
        <v>00</v>
      </c>
      <c r="C36" s="720" t="str">
        <f>데이터입력!$AC$9</f>
        <v>일반사업[일반]</v>
      </c>
      <c r="D36" s="721" t="str">
        <f>IFERROR(IF(AND(데이터입력!$AE$2="추경",데이터입력!$AM$2=TRUE),VLOOKUP($A36,데이터입력!$A:$H,4,FALSE),""),"")</f>
        <v/>
      </c>
      <c r="E36" s="721" t="str">
        <f>IFERROR(IF(AND(데이터입력!$AE$2="추경",데이터입력!$AM$2=TRUE),VLOOKUP($A36,데이터입력!$A:$H,2,FALSE),""),"")</f>
        <v/>
      </c>
      <c r="F36" s="721" t="str">
        <f>IFERROR(IF(AND(데이터입력!$AE$2="추경",데이터입력!$AM$2=TRUE),VLOOKUP($A36,데이터입력!$A:$H,5,FALSE),""),"")</f>
        <v/>
      </c>
      <c r="G36" s="721" t="str">
        <f>IFERROR(IF(AND(데이터입력!$AE$2="추경",데이터입력!$AM$2=TRUE),VLOOKUP($A36,데이터입력!$A:$H,6,FALSE),""),"")</f>
        <v/>
      </c>
      <c r="H36" s="722" t="str">
        <f>IFERROR(IF(AND(데이터입력!$AE$2="추경",데이터입력!$AM$2=TRUE),VLOOKUP($A36,데이터입력!$A:$L,7,FALSE),""),"")</f>
        <v/>
      </c>
      <c r="I36" s="722" t="str">
        <f>IFERROR(IF(AND(데이터입력!$AE$2="추경",데이터입력!$AM$2=TRUE),VLOOKUP($A36,데이터입력!$A:$L,8,FALSE)+VLOOKUP($A36,데이터입력!$A:$L,9,FALSE)+VLOOKUP($A36,데이터입력!$A:$L,10,FALSE),""),"")</f>
        <v/>
      </c>
      <c r="J36" s="723" t="s">
        <v>136</v>
      </c>
      <c r="K36" s="723" t="s">
        <v>136</v>
      </c>
      <c r="L36" s="723" t="s">
        <v>136</v>
      </c>
      <c r="M36" s="715"/>
      <c r="N36" s="233">
        <v>234</v>
      </c>
      <c r="O36" s="727" t="str">
        <f>IFERROR(IF(S36="06",데이터입력!$AB$8,IF(S36="07",데이터입력!$AD$8,IF(S36="05",데이터입력!$AF$8,데이터입력!$AB$8))),데이터입력!$AB$8)</f>
        <v>00</v>
      </c>
      <c r="P36" s="728" t="str">
        <f>데이터입력!$AC$9</f>
        <v>일반사업[일반]</v>
      </c>
      <c r="Q36" s="729" t="str">
        <f>IFERROR(IF(데이터입력!$AE$2="추경",VLOOKUP($N36,데이터입력!$A:$H,4,FALSE),""),"")</f>
        <v/>
      </c>
      <c r="R36" s="729" t="str">
        <f>IFERROR(IF(데이터입력!$AE$2="추경",VLOOKUP($N36,데이터입력!$A:$H,2,FALSE),""),"")</f>
        <v/>
      </c>
      <c r="S36" s="729" t="str">
        <f>IFERROR(IF(데이터입력!$AE$2="추경",VLOOKUP($N36,데이터입력!$A:$H,5,FALSE),""),"")</f>
        <v/>
      </c>
      <c r="T36" s="729" t="str">
        <f>IFERROR(IF(데이터입력!$AE$2="추경",VLOOKUP($N36,데이터입력!$A:$H,6,FALSE),""),"")</f>
        <v/>
      </c>
      <c r="U36" s="730" t="str">
        <f>IFERROR(IF(데이터입력!$AE$2="추경",VLOOKUP($N36,데이터입력!$A:$L,8,FALSE)+VLOOKUP($N36,데이터입력!$A:$L,9,FALSE)+VLOOKUP($N36,데이터입력!$A:$L,10,FALSE),""),"")</f>
        <v/>
      </c>
      <c r="V36" s="731" t="s">
        <v>136</v>
      </c>
      <c r="W36" s="731" t="s">
        <v>136</v>
      </c>
      <c r="X36" s="731" t="s">
        <v>136</v>
      </c>
      <c r="Y36" s="711"/>
      <c r="Z36" s="235" t="str">
        <f>데이터입력!$AB$8</f>
        <v>00</v>
      </c>
      <c r="AA36" s="238" t="str">
        <f>데이터입력!$AC$9</f>
        <v>일반사업[일반]</v>
      </c>
      <c r="AB36" s="236" t="str">
        <f>IFERROR(IF(데이터입력!$AE$2="추경",VLOOKUP($A36,보수일람표!$A:$M,4,FALSE),""),"")</f>
        <v/>
      </c>
      <c r="AC36" s="236" t="str">
        <f>IFERROR(IF(데이터입력!$AE$2="추경",VLOOKUP($A36,보수일람표!$A:$M,5,FALSE),""),"")</f>
        <v/>
      </c>
      <c r="AD36" s="236" t="str">
        <f>IFERROR(IF(데이터입력!$AE$2="추경",VLOOKUP($A36,보수일람표!$A:$M,6,FALSE),""),"")</f>
        <v/>
      </c>
      <c r="AE36" s="236" t="str">
        <f>IFERROR(IF(데이터입력!$AE$2="추경",VLOOKUP($A36,보수일람표!$A:$M,7,FALSE),""),"")</f>
        <v>간접</v>
      </c>
      <c r="AF36" s="236"/>
      <c r="AG36" s="237">
        <f>IFERROR(IF(데이터입력!$AE$2="추경",VLOOKUP($A36,보수일람표!$A:$M,9,FALSE),""),"")</f>
        <v>0</v>
      </c>
      <c r="AH36" s="237">
        <f>IFERROR(IF(데이터입력!$AE$2="추경",VLOOKUP($A36,보수일람표!$A:$M,10,FALSE),""),"")</f>
        <v>0</v>
      </c>
      <c r="AI36" s="237">
        <f>IFERROR(IF(데이터입력!$AE$2="추경",VLOOKUP($A36,보수일람표!$A:$M,11,FALSE),""),"")</f>
        <v>0</v>
      </c>
      <c r="AJ36" s="237">
        <f>IFERROR(IF(데이터입력!$AE$2="추경",VLOOKUP($A36,보수일람표!$A:$M,12,FALSE),""),"")</f>
        <v>0</v>
      </c>
      <c r="AK36" s="237">
        <f>IFERROR(IF(데이터입력!$AE$2="추경",VLOOKUP($A36,보수일람표!$A:$M,13,FALSE),""),"")</f>
        <v>0</v>
      </c>
    </row>
    <row r="37" spans="1:37">
      <c r="A37" s="233">
        <v>35</v>
      </c>
      <c r="B37" s="719" t="str">
        <f>IFERROR(IF(F37="06",데이터입력!$AB$8,IF(F37="07",데이터입력!$AD$8,IF(F37="05",데이터입력!$AF$8,데이터입력!$AB$8))),데이터입력!$AB$8)</f>
        <v>00</v>
      </c>
      <c r="C37" s="720" t="str">
        <f>데이터입력!$AC$9</f>
        <v>일반사업[일반]</v>
      </c>
      <c r="D37" s="721" t="str">
        <f>IFERROR(IF(AND(데이터입력!$AE$2="추경",데이터입력!$AM$2=TRUE),VLOOKUP($A37,데이터입력!$A:$H,4,FALSE),""),"")</f>
        <v/>
      </c>
      <c r="E37" s="721" t="str">
        <f>IFERROR(IF(AND(데이터입력!$AE$2="추경",데이터입력!$AM$2=TRUE),VLOOKUP($A37,데이터입력!$A:$H,2,FALSE),""),"")</f>
        <v/>
      </c>
      <c r="F37" s="721" t="str">
        <f>IFERROR(IF(AND(데이터입력!$AE$2="추경",데이터입력!$AM$2=TRUE),VLOOKUP($A37,데이터입력!$A:$H,5,FALSE),""),"")</f>
        <v/>
      </c>
      <c r="G37" s="721" t="str">
        <f>IFERROR(IF(AND(데이터입력!$AE$2="추경",데이터입력!$AM$2=TRUE),VLOOKUP($A37,데이터입력!$A:$H,6,FALSE),""),"")</f>
        <v/>
      </c>
      <c r="H37" s="722" t="str">
        <f>IFERROR(IF(AND(데이터입력!$AE$2="추경",데이터입력!$AM$2=TRUE),VLOOKUP($A37,데이터입력!$A:$L,7,FALSE),""),"")</f>
        <v/>
      </c>
      <c r="I37" s="722" t="str">
        <f>IFERROR(IF(AND(데이터입력!$AE$2="추경",데이터입력!$AM$2=TRUE),VLOOKUP($A37,데이터입력!$A:$L,8,FALSE)+VLOOKUP($A37,데이터입력!$A:$L,9,FALSE)+VLOOKUP($A37,데이터입력!$A:$L,10,FALSE),""),"")</f>
        <v/>
      </c>
      <c r="J37" s="723" t="s">
        <v>136</v>
      </c>
      <c r="K37" s="723" t="s">
        <v>136</v>
      </c>
      <c r="L37" s="723" t="s">
        <v>136</v>
      </c>
      <c r="M37" s="715"/>
      <c r="N37" s="233">
        <v>235</v>
      </c>
      <c r="O37" s="727" t="str">
        <f>IFERROR(IF(S37="06",데이터입력!$AB$8,IF(S37="07",데이터입력!$AD$8,IF(S37="05",데이터입력!$AF$8,데이터입력!$AB$8))),데이터입력!$AB$8)</f>
        <v>00</v>
      </c>
      <c r="P37" s="728" t="str">
        <f>데이터입력!$AC$9</f>
        <v>일반사업[일반]</v>
      </c>
      <c r="Q37" s="729" t="str">
        <f>IFERROR(IF(데이터입력!$AE$2="추경",VLOOKUP($N37,데이터입력!$A:$H,4,FALSE),""),"")</f>
        <v/>
      </c>
      <c r="R37" s="729" t="str">
        <f>IFERROR(IF(데이터입력!$AE$2="추경",VLOOKUP($N37,데이터입력!$A:$H,2,FALSE),""),"")</f>
        <v/>
      </c>
      <c r="S37" s="729" t="str">
        <f>IFERROR(IF(데이터입력!$AE$2="추경",VLOOKUP($N37,데이터입력!$A:$H,5,FALSE),""),"")</f>
        <v/>
      </c>
      <c r="T37" s="729" t="str">
        <f>IFERROR(IF(데이터입력!$AE$2="추경",VLOOKUP($N37,데이터입력!$A:$H,6,FALSE),""),"")</f>
        <v/>
      </c>
      <c r="U37" s="730" t="str">
        <f>IFERROR(IF(데이터입력!$AE$2="추경",VLOOKUP($N37,데이터입력!$A:$L,8,FALSE)+VLOOKUP($N37,데이터입력!$A:$L,9,FALSE)+VLOOKUP($N37,데이터입력!$A:$L,10,FALSE),""),"")</f>
        <v/>
      </c>
      <c r="V37" s="731" t="s">
        <v>136</v>
      </c>
      <c r="W37" s="731" t="s">
        <v>136</v>
      </c>
      <c r="X37" s="731" t="s">
        <v>136</v>
      </c>
      <c r="Y37" s="711"/>
      <c r="Z37" s="235" t="str">
        <f>데이터입력!$AB$8</f>
        <v>00</v>
      </c>
      <c r="AA37" s="238" t="str">
        <f>데이터입력!$AC$9</f>
        <v>일반사업[일반]</v>
      </c>
      <c r="AB37" s="236" t="str">
        <f>IFERROR(IF(데이터입력!$AE$2="추경",VLOOKUP($A37,보수일람표!$A:$M,4,FALSE),""),"")</f>
        <v/>
      </c>
      <c r="AC37" s="236" t="str">
        <f>IFERROR(IF(데이터입력!$AE$2="추경",VLOOKUP($A37,보수일람표!$A:$M,5,FALSE),""),"")</f>
        <v/>
      </c>
      <c r="AD37" s="236" t="str">
        <f>IFERROR(IF(데이터입력!$AE$2="추경",VLOOKUP($A37,보수일람표!$A:$M,6,FALSE),""),"")</f>
        <v/>
      </c>
      <c r="AE37" s="236" t="str">
        <f>IFERROR(IF(데이터입력!$AE$2="추경",VLOOKUP($A37,보수일람표!$A:$M,7,FALSE),""),"")</f>
        <v>간접</v>
      </c>
      <c r="AF37" s="236"/>
      <c r="AG37" s="237">
        <f>IFERROR(IF(데이터입력!$AE$2="추경",VLOOKUP($A37,보수일람표!$A:$M,9,FALSE),""),"")</f>
        <v>0</v>
      </c>
      <c r="AH37" s="237">
        <f>IFERROR(IF(데이터입력!$AE$2="추경",VLOOKUP($A37,보수일람표!$A:$M,10,FALSE),""),"")</f>
        <v>0</v>
      </c>
      <c r="AI37" s="237">
        <f>IFERROR(IF(데이터입력!$AE$2="추경",VLOOKUP($A37,보수일람표!$A:$M,11,FALSE),""),"")</f>
        <v>0</v>
      </c>
      <c r="AJ37" s="237">
        <f>IFERROR(IF(데이터입력!$AE$2="추경",VLOOKUP($A37,보수일람표!$A:$M,12,FALSE),""),"")</f>
        <v>0</v>
      </c>
      <c r="AK37" s="237">
        <f>IFERROR(IF(데이터입력!$AE$2="추경",VLOOKUP($A37,보수일람표!$A:$M,13,FALSE),""),"")</f>
        <v>0</v>
      </c>
    </row>
    <row r="38" spans="1:37">
      <c r="A38" s="233">
        <v>36</v>
      </c>
      <c r="B38" s="719" t="str">
        <f>IFERROR(IF(F38="06",데이터입력!$AB$8,IF(F38="07",데이터입력!$AD$8,IF(F38="05",데이터입력!$AF$8,데이터입력!$AB$8))),데이터입력!$AB$8)</f>
        <v>00</v>
      </c>
      <c r="C38" s="720" t="str">
        <f>데이터입력!$AC$9</f>
        <v>일반사업[일반]</v>
      </c>
      <c r="D38" s="721" t="str">
        <f>IFERROR(IF(AND(데이터입력!$AE$2="추경",데이터입력!$AM$2=TRUE),VLOOKUP($A38,데이터입력!$A:$H,4,FALSE),""),"")</f>
        <v/>
      </c>
      <c r="E38" s="721" t="str">
        <f>IFERROR(IF(AND(데이터입력!$AE$2="추경",데이터입력!$AM$2=TRUE),VLOOKUP($A38,데이터입력!$A:$H,2,FALSE),""),"")</f>
        <v/>
      </c>
      <c r="F38" s="721" t="str">
        <f>IFERROR(IF(AND(데이터입력!$AE$2="추경",데이터입력!$AM$2=TRUE),VLOOKUP($A38,데이터입력!$A:$H,5,FALSE),""),"")</f>
        <v/>
      </c>
      <c r="G38" s="721" t="str">
        <f>IFERROR(IF(AND(데이터입력!$AE$2="추경",데이터입력!$AM$2=TRUE),VLOOKUP($A38,데이터입력!$A:$H,6,FALSE),""),"")</f>
        <v/>
      </c>
      <c r="H38" s="722" t="str">
        <f>IFERROR(IF(AND(데이터입력!$AE$2="추경",데이터입력!$AM$2=TRUE),VLOOKUP($A38,데이터입력!$A:$L,7,FALSE),""),"")</f>
        <v/>
      </c>
      <c r="I38" s="722" t="str">
        <f>IFERROR(IF(AND(데이터입력!$AE$2="추경",데이터입력!$AM$2=TRUE),VLOOKUP($A38,데이터입력!$A:$L,8,FALSE)+VLOOKUP($A38,데이터입력!$A:$L,9,FALSE)+VLOOKUP($A38,데이터입력!$A:$L,10,FALSE),""),"")</f>
        <v/>
      </c>
      <c r="J38" s="723" t="s">
        <v>136</v>
      </c>
      <c r="K38" s="723" t="s">
        <v>136</v>
      </c>
      <c r="L38" s="723" t="s">
        <v>136</v>
      </c>
      <c r="M38" s="715"/>
      <c r="N38" s="233">
        <v>236</v>
      </c>
      <c r="O38" s="727" t="str">
        <f>IFERROR(IF(S38="06",데이터입력!$AB$8,IF(S38="07",데이터입력!$AD$8,IF(S38="05",데이터입력!$AF$8,데이터입력!$AB$8))),데이터입력!$AB$8)</f>
        <v>00</v>
      </c>
      <c r="P38" s="728" t="str">
        <f>데이터입력!$AC$9</f>
        <v>일반사업[일반]</v>
      </c>
      <c r="Q38" s="729" t="str">
        <f>IFERROR(IF(데이터입력!$AE$2="추경",VLOOKUP($N38,데이터입력!$A:$H,4,FALSE),""),"")</f>
        <v/>
      </c>
      <c r="R38" s="729" t="str">
        <f>IFERROR(IF(데이터입력!$AE$2="추경",VLOOKUP($N38,데이터입력!$A:$H,2,FALSE),""),"")</f>
        <v/>
      </c>
      <c r="S38" s="729" t="str">
        <f>IFERROR(IF(데이터입력!$AE$2="추경",VLOOKUP($N38,데이터입력!$A:$H,5,FALSE),""),"")</f>
        <v/>
      </c>
      <c r="T38" s="729" t="str">
        <f>IFERROR(IF(데이터입력!$AE$2="추경",VLOOKUP($N38,데이터입력!$A:$H,6,FALSE),""),"")</f>
        <v/>
      </c>
      <c r="U38" s="730" t="str">
        <f>IFERROR(IF(데이터입력!$AE$2="추경",VLOOKUP($N38,데이터입력!$A:$L,8,FALSE)+VLOOKUP($N38,데이터입력!$A:$L,9,FALSE)+VLOOKUP($N38,데이터입력!$A:$L,10,FALSE),""),"")</f>
        <v/>
      </c>
      <c r="V38" s="731" t="s">
        <v>136</v>
      </c>
      <c r="W38" s="731" t="s">
        <v>136</v>
      </c>
      <c r="X38" s="731" t="s">
        <v>136</v>
      </c>
      <c r="Y38" s="711"/>
      <c r="Z38" s="235" t="str">
        <f>데이터입력!$AB$8</f>
        <v>00</v>
      </c>
      <c r="AA38" s="238" t="str">
        <f>데이터입력!$AC$9</f>
        <v>일반사업[일반]</v>
      </c>
      <c r="AB38" s="236" t="str">
        <f>IFERROR(IF(데이터입력!$AE$2="추경",VLOOKUP($A38,보수일람표!$A:$M,4,FALSE),""),"")</f>
        <v/>
      </c>
      <c r="AC38" s="236" t="str">
        <f>IFERROR(IF(데이터입력!$AE$2="추경",VLOOKUP($A38,보수일람표!$A:$M,5,FALSE),""),"")</f>
        <v/>
      </c>
      <c r="AD38" s="236" t="str">
        <f>IFERROR(IF(데이터입력!$AE$2="추경",VLOOKUP($A38,보수일람표!$A:$M,6,FALSE),""),"")</f>
        <v/>
      </c>
      <c r="AE38" s="236" t="str">
        <f>IFERROR(IF(데이터입력!$AE$2="추경",VLOOKUP($A38,보수일람표!$A:$M,7,FALSE),""),"")</f>
        <v>간접</v>
      </c>
      <c r="AF38" s="236"/>
      <c r="AG38" s="237">
        <f>IFERROR(IF(데이터입력!$AE$2="추경",VLOOKUP($A38,보수일람표!$A:$M,9,FALSE),""),"")</f>
        <v>0</v>
      </c>
      <c r="AH38" s="237">
        <f>IFERROR(IF(데이터입력!$AE$2="추경",VLOOKUP($A38,보수일람표!$A:$M,10,FALSE),""),"")</f>
        <v>0</v>
      </c>
      <c r="AI38" s="237">
        <f>IFERROR(IF(데이터입력!$AE$2="추경",VLOOKUP($A38,보수일람표!$A:$M,11,FALSE),""),"")</f>
        <v>0</v>
      </c>
      <c r="AJ38" s="237">
        <f>IFERROR(IF(데이터입력!$AE$2="추경",VLOOKUP($A38,보수일람표!$A:$M,12,FALSE),""),"")</f>
        <v>0</v>
      </c>
      <c r="AK38" s="237">
        <f>IFERROR(IF(데이터입력!$AE$2="추경",VLOOKUP($A38,보수일람표!$A:$M,13,FALSE),""),"")</f>
        <v>0</v>
      </c>
    </row>
    <row r="39" spans="1:37">
      <c r="A39" s="233">
        <v>37</v>
      </c>
      <c r="B39" s="719" t="str">
        <f>IFERROR(IF(F39="06",데이터입력!$AB$8,IF(F39="07",데이터입력!$AD$8,IF(F39="05",데이터입력!$AF$8,데이터입력!$AB$8))),데이터입력!$AB$8)</f>
        <v>00</v>
      </c>
      <c r="C39" s="720" t="str">
        <f>데이터입력!$AC$9</f>
        <v>일반사업[일반]</v>
      </c>
      <c r="D39" s="721" t="str">
        <f>IFERROR(IF(AND(데이터입력!$AE$2="추경",데이터입력!$AM$2=TRUE),VLOOKUP($A39,데이터입력!$A:$H,4,FALSE),""),"")</f>
        <v/>
      </c>
      <c r="E39" s="721" t="str">
        <f>IFERROR(IF(AND(데이터입력!$AE$2="추경",데이터입력!$AM$2=TRUE),VLOOKUP($A39,데이터입력!$A:$H,2,FALSE),""),"")</f>
        <v/>
      </c>
      <c r="F39" s="721" t="str">
        <f>IFERROR(IF(AND(데이터입력!$AE$2="추경",데이터입력!$AM$2=TRUE),VLOOKUP($A39,데이터입력!$A:$H,5,FALSE),""),"")</f>
        <v/>
      </c>
      <c r="G39" s="721" t="str">
        <f>IFERROR(IF(AND(데이터입력!$AE$2="추경",데이터입력!$AM$2=TRUE),VLOOKUP($A39,데이터입력!$A:$H,6,FALSE),""),"")</f>
        <v/>
      </c>
      <c r="H39" s="722" t="str">
        <f>IFERROR(IF(AND(데이터입력!$AE$2="추경",데이터입력!$AM$2=TRUE),VLOOKUP($A39,데이터입력!$A:$L,7,FALSE),""),"")</f>
        <v/>
      </c>
      <c r="I39" s="722" t="str">
        <f>IFERROR(IF(AND(데이터입력!$AE$2="추경",데이터입력!$AM$2=TRUE),VLOOKUP($A39,데이터입력!$A:$L,8,FALSE)+VLOOKUP($A39,데이터입력!$A:$L,9,FALSE)+VLOOKUP($A39,데이터입력!$A:$L,10,FALSE),""),"")</f>
        <v/>
      </c>
      <c r="J39" s="723" t="s">
        <v>136</v>
      </c>
      <c r="K39" s="723" t="s">
        <v>136</v>
      </c>
      <c r="L39" s="723" t="s">
        <v>136</v>
      </c>
      <c r="M39" s="715"/>
      <c r="N39" s="233">
        <v>237</v>
      </c>
      <c r="O39" s="727" t="str">
        <f>IFERROR(IF(S39="06",데이터입력!$AB$8,IF(S39="07",데이터입력!$AD$8,IF(S39="05",데이터입력!$AF$8,데이터입력!$AB$8))),데이터입력!$AB$8)</f>
        <v>00</v>
      </c>
      <c r="P39" s="728" t="str">
        <f>데이터입력!$AC$9</f>
        <v>일반사업[일반]</v>
      </c>
      <c r="Q39" s="729" t="str">
        <f>IFERROR(IF(데이터입력!$AE$2="추경",VLOOKUP($N39,데이터입력!$A:$H,4,FALSE),""),"")</f>
        <v/>
      </c>
      <c r="R39" s="729" t="str">
        <f>IFERROR(IF(데이터입력!$AE$2="추경",VLOOKUP($N39,데이터입력!$A:$H,2,FALSE),""),"")</f>
        <v/>
      </c>
      <c r="S39" s="729" t="str">
        <f>IFERROR(IF(데이터입력!$AE$2="추경",VLOOKUP($N39,데이터입력!$A:$H,5,FALSE),""),"")</f>
        <v/>
      </c>
      <c r="T39" s="729" t="str">
        <f>IFERROR(IF(데이터입력!$AE$2="추경",VLOOKUP($N39,데이터입력!$A:$H,6,FALSE),""),"")</f>
        <v/>
      </c>
      <c r="U39" s="730" t="str">
        <f>IFERROR(IF(데이터입력!$AE$2="추경",VLOOKUP($N39,데이터입력!$A:$L,8,FALSE)+VLOOKUP($N39,데이터입력!$A:$L,9,FALSE)+VLOOKUP($N39,데이터입력!$A:$L,10,FALSE),""),"")</f>
        <v/>
      </c>
      <c r="V39" s="731" t="s">
        <v>136</v>
      </c>
      <c r="W39" s="731" t="s">
        <v>136</v>
      </c>
      <c r="X39" s="731" t="s">
        <v>136</v>
      </c>
      <c r="Y39" s="711"/>
      <c r="Z39" s="235" t="str">
        <f>데이터입력!$AB$8</f>
        <v>00</v>
      </c>
      <c r="AA39" s="238" t="str">
        <f>데이터입력!$AC$9</f>
        <v>일반사업[일반]</v>
      </c>
      <c r="AB39" s="236" t="str">
        <f>IFERROR(IF(데이터입력!$AE$2="추경",VLOOKUP($A39,보수일람표!$A:$M,4,FALSE),""),"")</f>
        <v/>
      </c>
      <c r="AC39" s="236" t="str">
        <f>IFERROR(IF(데이터입력!$AE$2="추경",VLOOKUP($A39,보수일람표!$A:$M,5,FALSE),""),"")</f>
        <v/>
      </c>
      <c r="AD39" s="236" t="str">
        <f>IFERROR(IF(데이터입력!$AE$2="추경",VLOOKUP($A39,보수일람표!$A:$M,6,FALSE),""),"")</f>
        <v/>
      </c>
      <c r="AE39" s="236" t="str">
        <f>IFERROR(IF(데이터입력!$AE$2="추경",VLOOKUP($A39,보수일람표!$A:$M,7,FALSE),""),"")</f>
        <v>간접</v>
      </c>
      <c r="AF39" s="236"/>
      <c r="AG39" s="237">
        <f>IFERROR(IF(데이터입력!$AE$2="추경",VLOOKUP($A39,보수일람표!$A:$M,9,FALSE),""),"")</f>
        <v>0</v>
      </c>
      <c r="AH39" s="237">
        <f>IFERROR(IF(데이터입력!$AE$2="추경",VLOOKUP($A39,보수일람표!$A:$M,10,FALSE),""),"")</f>
        <v>0</v>
      </c>
      <c r="AI39" s="237">
        <f>IFERROR(IF(데이터입력!$AE$2="추경",VLOOKUP($A39,보수일람표!$A:$M,11,FALSE),""),"")</f>
        <v>0</v>
      </c>
      <c r="AJ39" s="237">
        <f>IFERROR(IF(데이터입력!$AE$2="추경",VLOOKUP($A39,보수일람표!$A:$M,12,FALSE),""),"")</f>
        <v>0</v>
      </c>
      <c r="AK39" s="237">
        <f>IFERROR(IF(데이터입력!$AE$2="추경",VLOOKUP($A39,보수일람표!$A:$M,13,FALSE),""),"")</f>
        <v>0</v>
      </c>
    </row>
    <row r="40" spans="1:37">
      <c r="A40" s="233">
        <v>38</v>
      </c>
      <c r="B40" s="719" t="str">
        <f>IFERROR(IF(F40="06",데이터입력!$AB$8,IF(F40="07",데이터입력!$AD$8,IF(F40="05",데이터입력!$AF$8,데이터입력!$AB$8))),데이터입력!$AB$8)</f>
        <v>00</v>
      </c>
      <c r="C40" s="720" t="str">
        <f>데이터입력!$AC$9</f>
        <v>일반사업[일반]</v>
      </c>
      <c r="D40" s="721" t="str">
        <f>IFERROR(IF(AND(데이터입력!$AE$2="추경",데이터입력!$AM$2=TRUE),VLOOKUP($A40,데이터입력!$A:$H,4,FALSE),""),"")</f>
        <v/>
      </c>
      <c r="E40" s="721" t="str">
        <f>IFERROR(IF(AND(데이터입력!$AE$2="추경",데이터입력!$AM$2=TRUE),VLOOKUP($A40,데이터입력!$A:$H,2,FALSE),""),"")</f>
        <v/>
      </c>
      <c r="F40" s="721" t="str">
        <f>IFERROR(IF(AND(데이터입력!$AE$2="추경",데이터입력!$AM$2=TRUE),VLOOKUP($A40,데이터입력!$A:$H,5,FALSE),""),"")</f>
        <v/>
      </c>
      <c r="G40" s="721" t="str">
        <f>IFERROR(IF(AND(데이터입력!$AE$2="추경",데이터입력!$AM$2=TRUE),VLOOKUP($A40,데이터입력!$A:$H,6,FALSE),""),"")</f>
        <v/>
      </c>
      <c r="H40" s="722" t="str">
        <f>IFERROR(IF(AND(데이터입력!$AE$2="추경",데이터입력!$AM$2=TRUE),VLOOKUP($A40,데이터입력!$A:$L,7,FALSE),""),"")</f>
        <v/>
      </c>
      <c r="I40" s="722" t="str">
        <f>IFERROR(IF(AND(데이터입력!$AE$2="추경",데이터입력!$AM$2=TRUE),VLOOKUP($A40,데이터입력!$A:$L,8,FALSE)+VLOOKUP($A40,데이터입력!$A:$L,9,FALSE)+VLOOKUP($A40,데이터입력!$A:$L,10,FALSE),""),"")</f>
        <v/>
      </c>
      <c r="J40" s="723" t="s">
        <v>136</v>
      </c>
      <c r="K40" s="723" t="s">
        <v>136</v>
      </c>
      <c r="L40" s="723" t="s">
        <v>136</v>
      </c>
      <c r="M40" s="715"/>
      <c r="N40" s="233">
        <v>238</v>
      </c>
      <c r="O40" s="727" t="str">
        <f>IFERROR(IF(S40="06",데이터입력!$AB$8,IF(S40="07",데이터입력!$AD$8,IF(S40="05",데이터입력!$AF$8,데이터입력!$AB$8))),데이터입력!$AB$8)</f>
        <v>00</v>
      </c>
      <c r="P40" s="728" t="str">
        <f>데이터입력!$AC$9</f>
        <v>일반사업[일반]</v>
      </c>
      <c r="Q40" s="729" t="str">
        <f>IFERROR(IF(데이터입력!$AE$2="추경",VLOOKUP($N40,데이터입력!$A:$H,4,FALSE),""),"")</f>
        <v/>
      </c>
      <c r="R40" s="729" t="str">
        <f>IFERROR(IF(데이터입력!$AE$2="추경",VLOOKUP($N40,데이터입력!$A:$H,2,FALSE),""),"")</f>
        <v/>
      </c>
      <c r="S40" s="729" t="str">
        <f>IFERROR(IF(데이터입력!$AE$2="추경",VLOOKUP($N40,데이터입력!$A:$H,5,FALSE),""),"")</f>
        <v/>
      </c>
      <c r="T40" s="729" t="str">
        <f>IFERROR(IF(데이터입력!$AE$2="추경",VLOOKUP($N40,데이터입력!$A:$H,6,FALSE),""),"")</f>
        <v/>
      </c>
      <c r="U40" s="730" t="str">
        <f>IFERROR(IF(데이터입력!$AE$2="추경",VLOOKUP($N40,데이터입력!$A:$L,8,FALSE)+VLOOKUP($N40,데이터입력!$A:$L,9,FALSE)+VLOOKUP($N40,데이터입력!$A:$L,10,FALSE),""),"")</f>
        <v/>
      </c>
      <c r="V40" s="731" t="s">
        <v>136</v>
      </c>
      <c r="W40" s="731" t="s">
        <v>136</v>
      </c>
      <c r="X40" s="731" t="s">
        <v>136</v>
      </c>
      <c r="Y40" s="711"/>
      <c r="Z40" s="235" t="str">
        <f>데이터입력!$AB$8</f>
        <v>00</v>
      </c>
      <c r="AA40" s="238" t="str">
        <f>데이터입력!$AC$9</f>
        <v>일반사업[일반]</v>
      </c>
      <c r="AB40" s="236" t="str">
        <f>IFERROR(IF(데이터입력!$AE$2="추경",VLOOKUP($A40,보수일람표!$A:$M,4,FALSE),""),"")</f>
        <v/>
      </c>
      <c r="AC40" s="236" t="str">
        <f>IFERROR(IF(데이터입력!$AE$2="추경",VLOOKUP($A40,보수일람표!$A:$M,5,FALSE),""),"")</f>
        <v/>
      </c>
      <c r="AD40" s="236" t="str">
        <f>IFERROR(IF(데이터입력!$AE$2="추경",VLOOKUP($A40,보수일람표!$A:$M,6,FALSE),""),"")</f>
        <v/>
      </c>
      <c r="AE40" s="236" t="str">
        <f>IFERROR(IF(데이터입력!$AE$2="추경",VLOOKUP($A40,보수일람표!$A:$M,7,FALSE),""),"")</f>
        <v>간접</v>
      </c>
      <c r="AF40" s="236"/>
      <c r="AG40" s="237">
        <f>IFERROR(IF(데이터입력!$AE$2="추경",VLOOKUP($A40,보수일람표!$A:$M,9,FALSE),""),"")</f>
        <v>0</v>
      </c>
      <c r="AH40" s="237">
        <f>IFERROR(IF(데이터입력!$AE$2="추경",VLOOKUP($A40,보수일람표!$A:$M,10,FALSE),""),"")</f>
        <v>0</v>
      </c>
      <c r="AI40" s="237">
        <f>IFERROR(IF(데이터입력!$AE$2="추경",VLOOKUP($A40,보수일람표!$A:$M,11,FALSE),""),"")</f>
        <v>0</v>
      </c>
      <c r="AJ40" s="237">
        <f>IFERROR(IF(데이터입력!$AE$2="추경",VLOOKUP($A40,보수일람표!$A:$M,12,FALSE),""),"")</f>
        <v>0</v>
      </c>
      <c r="AK40" s="237">
        <f>IFERROR(IF(데이터입력!$AE$2="추경",VLOOKUP($A40,보수일람표!$A:$M,13,FALSE),""),"")</f>
        <v>0</v>
      </c>
    </row>
    <row r="41" spans="1:37">
      <c r="A41" s="233">
        <v>39</v>
      </c>
      <c r="B41" s="719" t="str">
        <f>IFERROR(IF(F41="06",데이터입력!$AB$8,IF(F41="07",데이터입력!$AD$8,IF(F41="05",데이터입력!$AF$8,데이터입력!$AB$8))),데이터입력!$AB$8)</f>
        <v>00</v>
      </c>
      <c r="C41" s="720" t="str">
        <f>데이터입력!$AC$9</f>
        <v>일반사업[일반]</v>
      </c>
      <c r="D41" s="721" t="str">
        <f>IFERROR(IF(AND(데이터입력!$AE$2="추경",데이터입력!$AM$2=TRUE),VLOOKUP($A41,데이터입력!$A:$H,4,FALSE),""),"")</f>
        <v/>
      </c>
      <c r="E41" s="721" t="str">
        <f>IFERROR(IF(AND(데이터입력!$AE$2="추경",데이터입력!$AM$2=TRUE),VLOOKUP($A41,데이터입력!$A:$H,2,FALSE),""),"")</f>
        <v/>
      </c>
      <c r="F41" s="721" t="str">
        <f>IFERROR(IF(AND(데이터입력!$AE$2="추경",데이터입력!$AM$2=TRUE),VLOOKUP($A41,데이터입력!$A:$H,5,FALSE),""),"")</f>
        <v/>
      </c>
      <c r="G41" s="721" t="str">
        <f>IFERROR(IF(AND(데이터입력!$AE$2="추경",데이터입력!$AM$2=TRUE),VLOOKUP($A41,데이터입력!$A:$H,6,FALSE),""),"")</f>
        <v/>
      </c>
      <c r="H41" s="722" t="str">
        <f>IFERROR(IF(AND(데이터입력!$AE$2="추경",데이터입력!$AM$2=TRUE),VLOOKUP($A41,데이터입력!$A:$L,7,FALSE),""),"")</f>
        <v/>
      </c>
      <c r="I41" s="722" t="str">
        <f>IFERROR(IF(AND(데이터입력!$AE$2="추경",데이터입력!$AM$2=TRUE),VLOOKUP($A41,데이터입력!$A:$L,8,FALSE)+VLOOKUP($A41,데이터입력!$A:$L,9,FALSE)+VLOOKUP($A41,데이터입력!$A:$L,10,FALSE),""),"")</f>
        <v/>
      </c>
      <c r="J41" s="723" t="s">
        <v>136</v>
      </c>
      <c r="K41" s="723" t="s">
        <v>136</v>
      </c>
      <c r="L41" s="723" t="s">
        <v>136</v>
      </c>
      <c r="M41" s="715"/>
      <c r="N41" s="233">
        <v>239</v>
      </c>
      <c r="O41" s="727" t="str">
        <f>IFERROR(IF(S41="06",데이터입력!$AB$8,IF(S41="07",데이터입력!$AD$8,IF(S41="05",데이터입력!$AF$8,데이터입력!$AB$8))),데이터입력!$AB$8)</f>
        <v>00</v>
      </c>
      <c r="P41" s="728" t="str">
        <f>데이터입력!$AC$9</f>
        <v>일반사업[일반]</v>
      </c>
      <c r="Q41" s="729" t="str">
        <f>IFERROR(IF(데이터입력!$AE$2="추경",VLOOKUP($N41,데이터입력!$A:$H,4,FALSE),""),"")</f>
        <v/>
      </c>
      <c r="R41" s="729" t="str">
        <f>IFERROR(IF(데이터입력!$AE$2="추경",VLOOKUP($N41,데이터입력!$A:$H,2,FALSE),""),"")</f>
        <v/>
      </c>
      <c r="S41" s="729" t="str">
        <f>IFERROR(IF(데이터입력!$AE$2="추경",VLOOKUP($N41,데이터입력!$A:$H,5,FALSE),""),"")</f>
        <v/>
      </c>
      <c r="T41" s="729" t="str">
        <f>IFERROR(IF(데이터입력!$AE$2="추경",VLOOKUP($N41,데이터입력!$A:$H,6,FALSE),""),"")</f>
        <v/>
      </c>
      <c r="U41" s="730" t="str">
        <f>IFERROR(IF(데이터입력!$AE$2="추경",VLOOKUP($N41,데이터입력!$A:$L,8,FALSE)+VLOOKUP($N41,데이터입력!$A:$L,9,FALSE)+VLOOKUP($N41,데이터입력!$A:$L,10,FALSE),""),"")</f>
        <v/>
      </c>
      <c r="V41" s="731" t="s">
        <v>136</v>
      </c>
      <c r="W41" s="731" t="s">
        <v>136</v>
      </c>
      <c r="X41" s="731" t="s">
        <v>136</v>
      </c>
      <c r="Y41" s="712"/>
      <c r="Z41" s="235" t="str">
        <f>데이터입력!$AB$8</f>
        <v>00</v>
      </c>
      <c r="AA41" s="238" t="str">
        <f>데이터입력!$AC$9</f>
        <v>일반사업[일반]</v>
      </c>
      <c r="AB41" s="236" t="str">
        <f>IFERROR(IF(데이터입력!$AE$2="추경",VLOOKUP($A41,보수일람표!$A:$M,4,FALSE),""),"")</f>
        <v/>
      </c>
      <c r="AC41" s="236" t="str">
        <f>IFERROR(IF(데이터입력!$AE$2="추경",VLOOKUP($A41,보수일람표!$A:$M,5,FALSE),""),"")</f>
        <v/>
      </c>
      <c r="AD41" s="236" t="str">
        <f>IFERROR(IF(데이터입력!$AE$2="추경",VLOOKUP($A41,보수일람표!$A:$M,6,FALSE),""),"")</f>
        <v/>
      </c>
      <c r="AE41" s="236" t="str">
        <f>IFERROR(IF(데이터입력!$AE$2="추경",VLOOKUP($A41,보수일람표!$A:$M,7,FALSE),""),"")</f>
        <v>간접</v>
      </c>
      <c r="AF41" s="236"/>
      <c r="AG41" s="237">
        <f>IFERROR(IF(데이터입력!$AE$2="추경",VLOOKUP($A41,보수일람표!$A:$M,9,FALSE),""),"")</f>
        <v>0</v>
      </c>
      <c r="AH41" s="237">
        <f>IFERROR(IF(데이터입력!$AE$2="추경",VLOOKUP($A41,보수일람표!$A:$M,10,FALSE),""),"")</f>
        <v>0</v>
      </c>
      <c r="AI41" s="237">
        <f>IFERROR(IF(데이터입력!$AE$2="추경",VLOOKUP($A41,보수일람표!$A:$M,11,FALSE),""),"")</f>
        <v>0</v>
      </c>
      <c r="AJ41" s="237">
        <f>IFERROR(IF(데이터입력!$AE$2="추경",VLOOKUP($A41,보수일람표!$A:$M,12,FALSE),""),"")</f>
        <v>0</v>
      </c>
      <c r="AK41" s="237">
        <f>IFERROR(IF(데이터입력!$AE$2="추경",VLOOKUP($A41,보수일람표!$A:$M,13,FALSE),""),"")</f>
        <v>0</v>
      </c>
    </row>
    <row r="42" spans="1:37">
      <c r="A42" s="233">
        <v>40</v>
      </c>
      <c r="B42" s="719" t="str">
        <f>IFERROR(IF(F42="06",데이터입력!$AB$8,IF(F42="07",데이터입력!$AD$8,IF(F42="05",데이터입력!$AF$8,데이터입력!$AB$8))),데이터입력!$AB$8)</f>
        <v>00</v>
      </c>
      <c r="C42" s="720" t="str">
        <f>데이터입력!$AC$9</f>
        <v>일반사업[일반]</v>
      </c>
      <c r="D42" s="721" t="str">
        <f>IFERROR(IF(AND(데이터입력!$AE$2="추경",데이터입력!$AM$2=TRUE),VLOOKUP($A42,데이터입력!$A:$H,4,FALSE),""),"")</f>
        <v/>
      </c>
      <c r="E42" s="721" t="str">
        <f>IFERROR(IF(AND(데이터입력!$AE$2="추경",데이터입력!$AM$2=TRUE),VLOOKUP($A42,데이터입력!$A:$H,2,FALSE),""),"")</f>
        <v/>
      </c>
      <c r="F42" s="721" t="str">
        <f>IFERROR(IF(AND(데이터입력!$AE$2="추경",데이터입력!$AM$2=TRUE),VLOOKUP($A42,데이터입력!$A:$H,5,FALSE),""),"")</f>
        <v/>
      </c>
      <c r="G42" s="721" t="str">
        <f>IFERROR(IF(AND(데이터입력!$AE$2="추경",데이터입력!$AM$2=TRUE),VLOOKUP($A42,데이터입력!$A:$H,6,FALSE),""),"")</f>
        <v/>
      </c>
      <c r="H42" s="722" t="str">
        <f>IFERROR(IF(AND(데이터입력!$AE$2="추경",데이터입력!$AM$2=TRUE),VLOOKUP($A42,데이터입력!$A:$L,7,FALSE),""),"")</f>
        <v/>
      </c>
      <c r="I42" s="722" t="str">
        <f>IFERROR(IF(AND(데이터입력!$AE$2="추경",데이터입력!$AM$2=TRUE),VLOOKUP($A42,데이터입력!$A:$L,8,FALSE)+VLOOKUP($A42,데이터입력!$A:$L,9,FALSE)+VLOOKUP($A42,데이터입력!$A:$L,10,FALSE),""),"")</f>
        <v/>
      </c>
      <c r="J42" s="723" t="s">
        <v>136</v>
      </c>
      <c r="K42" s="723" t="s">
        <v>136</v>
      </c>
      <c r="L42" s="723" t="s">
        <v>136</v>
      </c>
      <c r="M42" s="715"/>
      <c r="N42" s="233">
        <v>240</v>
      </c>
      <c r="O42" s="727" t="str">
        <f>IFERROR(IF(S42="06",데이터입력!$AB$8,IF(S42="07",데이터입력!$AD$8,IF(S42="05",데이터입력!$AF$8,데이터입력!$AB$8))),데이터입력!$AB$8)</f>
        <v>00</v>
      </c>
      <c r="P42" s="728" t="str">
        <f>데이터입력!$AC$9</f>
        <v>일반사업[일반]</v>
      </c>
      <c r="Q42" s="729" t="str">
        <f>IFERROR(IF(데이터입력!$AE$2="추경",VLOOKUP($N42,데이터입력!$A:$H,4,FALSE),""),"")</f>
        <v/>
      </c>
      <c r="R42" s="729" t="str">
        <f>IFERROR(IF(데이터입력!$AE$2="추경",VLOOKUP($N42,데이터입력!$A:$H,2,FALSE),""),"")</f>
        <v/>
      </c>
      <c r="S42" s="729" t="str">
        <f>IFERROR(IF(데이터입력!$AE$2="추경",VLOOKUP($N42,데이터입력!$A:$H,5,FALSE),""),"")</f>
        <v/>
      </c>
      <c r="T42" s="729" t="str">
        <f>IFERROR(IF(데이터입력!$AE$2="추경",VLOOKUP($N42,데이터입력!$A:$H,6,FALSE),""),"")</f>
        <v/>
      </c>
      <c r="U42" s="730" t="str">
        <f>IFERROR(IF(데이터입력!$AE$2="추경",VLOOKUP($N42,데이터입력!$A:$L,8,FALSE)+VLOOKUP($N42,데이터입력!$A:$L,9,FALSE)+VLOOKUP($N42,데이터입력!$A:$L,10,FALSE),""),"")</f>
        <v/>
      </c>
      <c r="V42" s="731" t="s">
        <v>136</v>
      </c>
      <c r="W42" s="731" t="s">
        <v>136</v>
      </c>
      <c r="X42" s="731" t="s">
        <v>136</v>
      </c>
      <c r="Y42" s="711"/>
      <c r="Z42" s="235" t="str">
        <f>데이터입력!$AB$8</f>
        <v>00</v>
      </c>
      <c r="AA42" s="238" t="str">
        <f>데이터입력!$AC$9</f>
        <v>일반사업[일반]</v>
      </c>
      <c r="AB42" s="236" t="str">
        <f>IFERROR(IF(데이터입력!$AE$2="추경",VLOOKUP($A42,보수일람표!$A:$M,4,FALSE),""),"")</f>
        <v/>
      </c>
      <c r="AC42" s="236" t="str">
        <f>IFERROR(IF(데이터입력!$AE$2="추경",VLOOKUP($A42,보수일람표!$A:$M,5,FALSE),""),"")</f>
        <v/>
      </c>
      <c r="AD42" s="236" t="str">
        <f>IFERROR(IF(데이터입력!$AE$2="추경",VLOOKUP($A42,보수일람표!$A:$M,6,FALSE),""),"")</f>
        <v/>
      </c>
      <c r="AE42" s="236" t="str">
        <f>IFERROR(IF(데이터입력!$AE$2="추경",VLOOKUP($A42,보수일람표!$A:$M,7,FALSE),""),"")</f>
        <v>간접</v>
      </c>
      <c r="AF42" s="236"/>
      <c r="AG42" s="237">
        <f>IFERROR(IF(데이터입력!$AE$2="추경",VLOOKUP($A42,보수일람표!$A:$M,9,FALSE),""),"")</f>
        <v>0</v>
      </c>
      <c r="AH42" s="237">
        <f>IFERROR(IF(데이터입력!$AE$2="추경",VLOOKUP($A42,보수일람표!$A:$M,10,FALSE),""),"")</f>
        <v>0</v>
      </c>
      <c r="AI42" s="237">
        <f>IFERROR(IF(데이터입력!$AE$2="추경",VLOOKUP($A42,보수일람표!$A:$M,11,FALSE),""),"")</f>
        <v>0</v>
      </c>
      <c r="AJ42" s="237">
        <f>IFERROR(IF(데이터입력!$AE$2="추경",VLOOKUP($A42,보수일람표!$A:$M,12,FALSE),""),"")</f>
        <v>0</v>
      </c>
      <c r="AK42" s="237">
        <f>IFERROR(IF(데이터입력!$AE$2="추경",VLOOKUP($A42,보수일람표!$A:$M,13,FALSE),""),"")</f>
        <v>0</v>
      </c>
    </row>
    <row r="43" spans="1:37">
      <c r="A43" s="233">
        <v>41</v>
      </c>
      <c r="B43" s="719" t="str">
        <f>IFERROR(IF(F43="06",데이터입력!$AB$8,IF(F43="07",데이터입력!$AD$8,IF(F43="05",데이터입력!$AF$8,데이터입력!$AB$8))),데이터입력!$AB$8)</f>
        <v>00</v>
      </c>
      <c r="C43" s="720" t="str">
        <f>데이터입력!$AC$9</f>
        <v>일반사업[일반]</v>
      </c>
      <c r="D43" s="721" t="str">
        <f>IFERROR(IF(AND(데이터입력!$AE$2="추경",데이터입력!$AM$2=TRUE),VLOOKUP($A43,데이터입력!$A:$H,4,FALSE),""),"")</f>
        <v/>
      </c>
      <c r="E43" s="721" t="str">
        <f>IFERROR(IF(AND(데이터입력!$AE$2="추경",데이터입력!$AM$2=TRUE),VLOOKUP($A43,데이터입력!$A:$H,2,FALSE),""),"")</f>
        <v/>
      </c>
      <c r="F43" s="721" t="str">
        <f>IFERROR(IF(AND(데이터입력!$AE$2="추경",데이터입력!$AM$2=TRUE),VLOOKUP($A43,데이터입력!$A:$H,5,FALSE),""),"")</f>
        <v/>
      </c>
      <c r="G43" s="721" t="str">
        <f>IFERROR(IF(AND(데이터입력!$AE$2="추경",데이터입력!$AM$2=TRUE),VLOOKUP($A43,데이터입력!$A:$H,6,FALSE),""),"")</f>
        <v/>
      </c>
      <c r="H43" s="722" t="str">
        <f>IFERROR(IF(AND(데이터입력!$AE$2="추경",데이터입력!$AM$2=TRUE),VLOOKUP($A43,데이터입력!$A:$L,7,FALSE),""),"")</f>
        <v/>
      </c>
      <c r="I43" s="722" t="str">
        <f>IFERROR(IF(AND(데이터입력!$AE$2="추경",데이터입력!$AM$2=TRUE),VLOOKUP($A43,데이터입력!$A:$L,8,FALSE)+VLOOKUP($A43,데이터입력!$A:$L,9,FALSE)+VLOOKUP($A43,데이터입력!$A:$L,10,FALSE),""),"")</f>
        <v/>
      </c>
      <c r="J43" s="723" t="s">
        <v>136</v>
      </c>
      <c r="K43" s="723" t="s">
        <v>136</v>
      </c>
      <c r="L43" s="723" t="s">
        <v>136</v>
      </c>
      <c r="M43" s="715"/>
      <c r="N43" s="233">
        <v>241</v>
      </c>
      <c r="O43" s="727" t="str">
        <f>IFERROR(IF(S43="06",데이터입력!$AB$8,IF(S43="07",데이터입력!$AD$8,IF(S43="05",데이터입력!$AF$8,데이터입력!$AB$8))),데이터입력!$AB$8)</f>
        <v>00</v>
      </c>
      <c r="P43" s="728" t="str">
        <f>데이터입력!$AC$9</f>
        <v>일반사업[일반]</v>
      </c>
      <c r="Q43" s="729" t="str">
        <f>IFERROR(IF(데이터입력!$AE$2="추경",VLOOKUP($N43,데이터입력!$A:$H,4,FALSE),""),"")</f>
        <v/>
      </c>
      <c r="R43" s="729" t="str">
        <f>IFERROR(IF(데이터입력!$AE$2="추경",VLOOKUP($N43,데이터입력!$A:$H,2,FALSE),""),"")</f>
        <v/>
      </c>
      <c r="S43" s="729" t="str">
        <f>IFERROR(IF(데이터입력!$AE$2="추경",VLOOKUP($N43,데이터입력!$A:$H,5,FALSE),""),"")</f>
        <v/>
      </c>
      <c r="T43" s="729" t="str">
        <f>IFERROR(IF(데이터입력!$AE$2="추경",VLOOKUP($N43,데이터입력!$A:$H,6,FALSE),""),"")</f>
        <v/>
      </c>
      <c r="U43" s="730" t="str">
        <f>IFERROR(IF(데이터입력!$AE$2="추경",VLOOKUP($N43,데이터입력!$A:$L,8,FALSE)+VLOOKUP($N43,데이터입력!$A:$L,9,FALSE)+VLOOKUP($N43,데이터입력!$A:$L,10,FALSE),""),"")</f>
        <v/>
      </c>
      <c r="V43" s="731" t="s">
        <v>136</v>
      </c>
      <c r="W43" s="731" t="s">
        <v>136</v>
      </c>
      <c r="X43" s="731" t="s">
        <v>136</v>
      </c>
      <c r="Y43" s="712"/>
      <c r="Z43" s="235" t="str">
        <f>데이터입력!$AB$8</f>
        <v>00</v>
      </c>
      <c r="AA43" s="238" t="str">
        <f>데이터입력!$AC$9</f>
        <v>일반사업[일반]</v>
      </c>
      <c r="AB43" s="236" t="str">
        <f>IFERROR(IF(데이터입력!$AE$2="추경",VLOOKUP($A43,보수일람표!$A:$M,4,FALSE),""),"")</f>
        <v/>
      </c>
      <c r="AC43" s="236" t="str">
        <f>IFERROR(IF(데이터입력!$AE$2="추경",VLOOKUP($A43,보수일람표!$A:$M,5,FALSE),""),"")</f>
        <v/>
      </c>
      <c r="AD43" s="236" t="str">
        <f>IFERROR(IF(데이터입력!$AE$2="추경",VLOOKUP($A43,보수일람표!$A:$M,6,FALSE),""),"")</f>
        <v/>
      </c>
      <c r="AE43" s="236" t="str">
        <f>IFERROR(IF(데이터입력!$AE$2="추경",VLOOKUP($A43,보수일람표!$A:$M,7,FALSE),""),"")</f>
        <v>간접</v>
      </c>
      <c r="AF43" s="236"/>
      <c r="AG43" s="237">
        <f>IFERROR(IF(데이터입력!$AE$2="추경",VLOOKUP($A43,보수일람표!$A:$M,9,FALSE),""),"")</f>
        <v>0</v>
      </c>
      <c r="AH43" s="237">
        <f>IFERROR(IF(데이터입력!$AE$2="추경",VLOOKUP($A43,보수일람표!$A:$M,10,FALSE),""),"")</f>
        <v>0</v>
      </c>
      <c r="AI43" s="237">
        <f>IFERROR(IF(데이터입력!$AE$2="추경",VLOOKUP($A43,보수일람표!$A:$M,11,FALSE),""),"")</f>
        <v>0</v>
      </c>
      <c r="AJ43" s="237">
        <f>IFERROR(IF(데이터입력!$AE$2="추경",VLOOKUP($A43,보수일람표!$A:$M,12,FALSE),""),"")</f>
        <v>0</v>
      </c>
      <c r="AK43" s="237">
        <f>IFERROR(IF(데이터입력!$AE$2="추경",VLOOKUP($A43,보수일람표!$A:$M,13,FALSE),""),"")</f>
        <v>0</v>
      </c>
    </row>
    <row r="44" spans="1:37">
      <c r="A44" s="233">
        <v>42</v>
      </c>
      <c r="B44" s="719" t="str">
        <f>IFERROR(IF(F44="06",데이터입력!$AB$8,IF(F44="07",데이터입력!$AD$8,IF(F44="05",데이터입력!$AF$8,데이터입력!$AB$8))),데이터입력!$AB$8)</f>
        <v>00</v>
      </c>
      <c r="C44" s="720" t="str">
        <f>데이터입력!$AC$9</f>
        <v>일반사업[일반]</v>
      </c>
      <c r="D44" s="721" t="str">
        <f>IFERROR(IF(AND(데이터입력!$AE$2="추경",데이터입력!$AM$2=TRUE),VLOOKUP($A44,데이터입력!$A:$H,4,FALSE),""),"")</f>
        <v/>
      </c>
      <c r="E44" s="721" t="str">
        <f>IFERROR(IF(AND(데이터입력!$AE$2="추경",데이터입력!$AM$2=TRUE),VLOOKUP($A44,데이터입력!$A:$H,2,FALSE),""),"")</f>
        <v/>
      </c>
      <c r="F44" s="721" t="str">
        <f>IFERROR(IF(AND(데이터입력!$AE$2="추경",데이터입력!$AM$2=TRUE),VLOOKUP($A44,데이터입력!$A:$H,5,FALSE),""),"")</f>
        <v/>
      </c>
      <c r="G44" s="721" t="str">
        <f>IFERROR(IF(AND(데이터입력!$AE$2="추경",데이터입력!$AM$2=TRUE),VLOOKUP($A44,데이터입력!$A:$H,6,FALSE),""),"")</f>
        <v/>
      </c>
      <c r="H44" s="722" t="str">
        <f>IFERROR(IF(AND(데이터입력!$AE$2="추경",데이터입력!$AM$2=TRUE),VLOOKUP($A44,데이터입력!$A:$L,7,FALSE),""),"")</f>
        <v/>
      </c>
      <c r="I44" s="722" t="str">
        <f>IFERROR(IF(AND(데이터입력!$AE$2="추경",데이터입력!$AM$2=TRUE),VLOOKUP($A44,데이터입력!$A:$L,8,FALSE)+VLOOKUP($A44,데이터입력!$A:$L,9,FALSE)+VLOOKUP($A44,데이터입력!$A:$L,10,FALSE),""),"")</f>
        <v/>
      </c>
      <c r="J44" s="723" t="s">
        <v>136</v>
      </c>
      <c r="K44" s="723" t="s">
        <v>136</v>
      </c>
      <c r="L44" s="723" t="s">
        <v>136</v>
      </c>
      <c r="M44" s="715"/>
      <c r="N44" s="233">
        <v>242</v>
      </c>
      <c r="O44" s="727" t="str">
        <f>IFERROR(IF(S44="06",데이터입력!$AB$8,IF(S44="07",데이터입력!$AD$8,IF(S44="05",데이터입력!$AF$8,데이터입력!$AB$8))),데이터입력!$AB$8)</f>
        <v>00</v>
      </c>
      <c r="P44" s="728" t="str">
        <f>데이터입력!$AC$9</f>
        <v>일반사업[일반]</v>
      </c>
      <c r="Q44" s="729" t="str">
        <f>IFERROR(IF(데이터입력!$AE$2="추경",VLOOKUP($N44,데이터입력!$A:$H,4,FALSE),""),"")</f>
        <v/>
      </c>
      <c r="R44" s="729" t="str">
        <f>IFERROR(IF(데이터입력!$AE$2="추경",VLOOKUP($N44,데이터입력!$A:$H,2,FALSE),""),"")</f>
        <v/>
      </c>
      <c r="S44" s="729" t="str">
        <f>IFERROR(IF(데이터입력!$AE$2="추경",VLOOKUP($N44,데이터입력!$A:$H,5,FALSE),""),"")</f>
        <v/>
      </c>
      <c r="T44" s="729" t="str">
        <f>IFERROR(IF(데이터입력!$AE$2="추경",VLOOKUP($N44,데이터입력!$A:$H,6,FALSE),""),"")</f>
        <v/>
      </c>
      <c r="U44" s="730" t="str">
        <f>IFERROR(IF(데이터입력!$AE$2="추경",VLOOKUP($N44,데이터입력!$A:$L,8,FALSE)+VLOOKUP($N44,데이터입력!$A:$L,9,FALSE)+VLOOKUP($N44,데이터입력!$A:$L,10,FALSE),""),"")</f>
        <v/>
      </c>
      <c r="V44" s="731" t="s">
        <v>136</v>
      </c>
      <c r="W44" s="731" t="s">
        <v>136</v>
      </c>
      <c r="X44" s="731" t="s">
        <v>136</v>
      </c>
      <c r="Y44" s="711"/>
      <c r="Z44" s="235" t="str">
        <f>데이터입력!$AB$8</f>
        <v>00</v>
      </c>
      <c r="AA44" s="238" t="str">
        <f>데이터입력!$AC$9</f>
        <v>일반사업[일반]</v>
      </c>
      <c r="AB44" s="236" t="str">
        <f>IFERROR(IF(데이터입력!$AE$2="추경",VLOOKUP($A44,보수일람표!$A:$M,4,FALSE),""),"")</f>
        <v/>
      </c>
      <c r="AC44" s="236" t="str">
        <f>IFERROR(IF(데이터입력!$AE$2="추경",VLOOKUP($A44,보수일람표!$A:$M,5,FALSE),""),"")</f>
        <v/>
      </c>
      <c r="AD44" s="236" t="str">
        <f>IFERROR(IF(데이터입력!$AE$2="추경",VLOOKUP($A44,보수일람표!$A:$M,6,FALSE),""),"")</f>
        <v/>
      </c>
      <c r="AE44" s="236" t="str">
        <f>IFERROR(IF(데이터입력!$AE$2="추경",VLOOKUP($A44,보수일람표!$A:$M,7,FALSE),""),"")</f>
        <v>간접</v>
      </c>
      <c r="AF44" s="236"/>
      <c r="AG44" s="237">
        <f>IFERROR(IF(데이터입력!$AE$2="추경",VLOOKUP($A44,보수일람표!$A:$M,9,FALSE),""),"")</f>
        <v>0</v>
      </c>
      <c r="AH44" s="237">
        <f>IFERROR(IF(데이터입력!$AE$2="추경",VLOOKUP($A44,보수일람표!$A:$M,10,FALSE),""),"")</f>
        <v>0</v>
      </c>
      <c r="AI44" s="237">
        <f>IFERROR(IF(데이터입력!$AE$2="추경",VLOOKUP($A44,보수일람표!$A:$M,11,FALSE),""),"")</f>
        <v>0</v>
      </c>
      <c r="AJ44" s="237">
        <f>IFERROR(IF(데이터입력!$AE$2="추경",VLOOKUP($A44,보수일람표!$A:$M,12,FALSE),""),"")</f>
        <v>0</v>
      </c>
      <c r="AK44" s="237">
        <f>IFERROR(IF(데이터입력!$AE$2="추경",VLOOKUP($A44,보수일람표!$A:$M,13,FALSE),""),"")</f>
        <v>0</v>
      </c>
    </row>
    <row r="45" spans="1:37">
      <c r="A45" s="233">
        <v>43</v>
      </c>
      <c r="B45" s="719" t="str">
        <f>IFERROR(IF(F45="06",데이터입력!$AB$8,IF(F45="07",데이터입력!$AD$8,IF(F45="05",데이터입력!$AF$8,데이터입력!$AB$8))),데이터입력!$AB$8)</f>
        <v>00</v>
      </c>
      <c r="C45" s="720" t="str">
        <f>데이터입력!$AC$9</f>
        <v>일반사업[일반]</v>
      </c>
      <c r="D45" s="721" t="str">
        <f>IFERROR(IF(AND(데이터입력!$AE$2="추경",데이터입력!$AM$2=TRUE),VLOOKUP($A45,데이터입력!$A:$H,4,FALSE),""),"")</f>
        <v/>
      </c>
      <c r="E45" s="721" t="str">
        <f>IFERROR(IF(AND(데이터입력!$AE$2="추경",데이터입력!$AM$2=TRUE),VLOOKUP($A45,데이터입력!$A:$H,2,FALSE),""),"")</f>
        <v/>
      </c>
      <c r="F45" s="721" t="str">
        <f>IFERROR(IF(AND(데이터입력!$AE$2="추경",데이터입력!$AM$2=TRUE),VLOOKUP($A45,데이터입력!$A:$H,5,FALSE),""),"")</f>
        <v/>
      </c>
      <c r="G45" s="721" t="str">
        <f>IFERROR(IF(AND(데이터입력!$AE$2="추경",데이터입력!$AM$2=TRUE),VLOOKUP($A45,데이터입력!$A:$H,6,FALSE),""),"")</f>
        <v/>
      </c>
      <c r="H45" s="722" t="str">
        <f>IFERROR(IF(AND(데이터입력!$AE$2="추경",데이터입력!$AM$2=TRUE),VLOOKUP($A45,데이터입력!$A:$L,7,FALSE),""),"")</f>
        <v/>
      </c>
      <c r="I45" s="722" t="str">
        <f>IFERROR(IF(AND(데이터입력!$AE$2="추경",데이터입력!$AM$2=TRUE),VLOOKUP($A45,데이터입력!$A:$L,8,FALSE)+VLOOKUP($A45,데이터입력!$A:$L,9,FALSE)+VLOOKUP($A45,데이터입력!$A:$L,10,FALSE),""),"")</f>
        <v/>
      </c>
      <c r="J45" s="723" t="s">
        <v>136</v>
      </c>
      <c r="K45" s="723" t="s">
        <v>136</v>
      </c>
      <c r="L45" s="723" t="s">
        <v>136</v>
      </c>
      <c r="M45" s="715"/>
      <c r="N45" s="233">
        <v>243</v>
      </c>
      <c r="O45" s="727" t="str">
        <f>IFERROR(IF(S45="06",데이터입력!$AB$8,IF(S45="07",데이터입력!$AD$8,IF(S45="05",데이터입력!$AF$8,데이터입력!$AB$8))),데이터입력!$AB$8)</f>
        <v>00</v>
      </c>
      <c r="P45" s="728" t="str">
        <f>데이터입력!$AC$9</f>
        <v>일반사업[일반]</v>
      </c>
      <c r="Q45" s="729" t="str">
        <f>IFERROR(IF(데이터입력!$AE$2="추경",VLOOKUP($N45,데이터입력!$A:$H,4,FALSE),""),"")</f>
        <v/>
      </c>
      <c r="R45" s="729" t="str">
        <f>IFERROR(IF(데이터입력!$AE$2="추경",VLOOKUP($N45,데이터입력!$A:$H,2,FALSE),""),"")</f>
        <v/>
      </c>
      <c r="S45" s="729" t="str">
        <f>IFERROR(IF(데이터입력!$AE$2="추경",VLOOKUP($N45,데이터입력!$A:$H,5,FALSE),""),"")</f>
        <v/>
      </c>
      <c r="T45" s="729" t="str">
        <f>IFERROR(IF(데이터입력!$AE$2="추경",VLOOKUP($N45,데이터입력!$A:$H,6,FALSE),""),"")</f>
        <v/>
      </c>
      <c r="U45" s="730" t="str">
        <f>IFERROR(IF(데이터입력!$AE$2="추경",VLOOKUP($N45,데이터입력!$A:$L,8,FALSE)+VLOOKUP($N45,데이터입력!$A:$L,9,FALSE)+VLOOKUP($N45,데이터입력!$A:$L,10,FALSE),""),"")</f>
        <v/>
      </c>
      <c r="V45" s="731" t="s">
        <v>136</v>
      </c>
      <c r="W45" s="731" t="s">
        <v>136</v>
      </c>
      <c r="X45" s="731" t="s">
        <v>136</v>
      </c>
      <c r="Y45" s="712"/>
      <c r="Z45" s="235" t="str">
        <f>데이터입력!$AB$8</f>
        <v>00</v>
      </c>
      <c r="AA45" s="238" t="str">
        <f>데이터입력!$AC$9</f>
        <v>일반사업[일반]</v>
      </c>
      <c r="AB45" s="236" t="str">
        <f>IFERROR(IF(데이터입력!$AE$2="추경",VLOOKUP($A45,보수일람표!$A:$M,4,FALSE),""),"")</f>
        <v/>
      </c>
      <c r="AC45" s="236" t="str">
        <f>IFERROR(IF(데이터입력!$AE$2="추경",VLOOKUP($A45,보수일람표!$A:$M,5,FALSE),""),"")</f>
        <v/>
      </c>
      <c r="AD45" s="236" t="str">
        <f>IFERROR(IF(데이터입력!$AE$2="추경",VLOOKUP($A45,보수일람표!$A:$M,6,FALSE),""),"")</f>
        <v/>
      </c>
      <c r="AE45" s="236" t="str">
        <f>IFERROR(IF(데이터입력!$AE$2="추경",VLOOKUP($A45,보수일람표!$A:$M,7,FALSE),""),"")</f>
        <v>간접</v>
      </c>
      <c r="AF45" s="236"/>
      <c r="AG45" s="237">
        <f>IFERROR(IF(데이터입력!$AE$2="추경",VLOOKUP($A45,보수일람표!$A:$M,9,FALSE),""),"")</f>
        <v>0</v>
      </c>
      <c r="AH45" s="237">
        <f>IFERROR(IF(데이터입력!$AE$2="추경",VLOOKUP($A45,보수일람표!$A:$M,10,FALSE),""),"")</f>
        <v>0</v>
      </c>
      <c r="AI45" s="237">
        <f>IFERROR(IF(데이터입력!$AE$2="추경",VLOOKUP($A45,보수일람표!$A:$M,11,FALSE),""),"")</f>
        <v>0</v>
      </c>
      <c r="AJ45" s="237">
        <f>IFERROR(IF(데이터입력!$AE$2="추경",VLOOKUP($A45,보수일람표!$A:$M,12,FALSE),""),"")</f>
        <v>0</v>
      </c>
      <c r="AK45" s="237">
        <f>IFERROR(IF(데이터입력!$AE$2="추경",VLOOKUP($A45,보수일람표!$A:$M,13,FALSE),""),"")</f>
        <v>0</v>
      </c>
    </row>
    <row r="46" spans="1:37">
      <c r="A46" s="233">
        <v>44</v>
      </c>
      <c r="B46" s="719" t="str">
        <f>IFERROR(IF(F46="06",데이터입력!$AB$8,IF(F46="07",데이터입력!$AD$8,IF(F46="05",데이터입력!$AF$8,데이터입력!$AB$8))),데이터입력!$AB$8)</f>
        <v>00</v>
      </c>
      <c r="C46" s="720" t="str">
        <f>데이터입력!$AC$9</f>
        <v>일반사업[일반]</v>
      </c>
      <c r="D46" s="721" t="str">
        <f>IFERROR(IF(AND(데이터입력!$AE$2="추경",데이터입력!$AM$2=TRUE),VLOOKUP($A46,데이터입력!$A:$H,4,FALSE),""),"")</f>
        <v/>
      </c>
      <c r="E46" s="721" t="str">
        <f>IFERROR(IF(AND(데이터입력!$AE$2="추경",데이터입력!$AM$2=TRUE),VLOOKUP($A46,데이터입력!$A:$H,2,FALSE),""),"")</f>
        <v/>
      </c>
      <c r="F46" s="721" t="str">
        <f>IFERROR(IF(AND(데이터입력!$AE$2="추경",데이터입력!$AM$2=TRUE),VLOOKUP($A46,데이터입력!$A:$H,5,FALSE),""),"")</f>
        <v/>
      </c>
      <c r="G46" s="721" t="str">
        <f>IFERROR(IF(AND(데이터입력!$AE$2="추경",데이터입력!$AM$2=TRUE),VLOOKUP($A46,데이터입력!$A:$H,6,FALSE),""),"")</f>
        <v/>
      </c>
      <c r="H46" s="722" t="str">
        <f>IFERROR(IF(AND(데이터입력!$AE$2="추경",데이터입력!$AM$2=TRUE),VLOOKUP($A46,데이터입력!$A:$L,7,FALSE),""),"")</f>
        <v/>
      </c>
      <c r="I46" s="722" t="str">
        <f>IFERROR(IF(AND(데이터입력!$AE$2="추경",데이터입력!$AM$2=TRUE),VLOOKUP($A46,데이터입력!$A:$L,8,FALSE)+VLOOKUP($A46,데이터입력!$A:$L,9,FALSE)+VLOOKUP($A46,데이터입력!$A:$L,10,FALSE),""),"")</f>
        <v/>
      </c>
      <c r="J46" s="723" t="s">
        <v>136</v>
      </c>
      <c r="K46" s="723" t="s">
        <v>136</v>
      </c>
      <c r="L46" s="723" t="s">
        <v>136</v>
      </c>
      <c r="M46" s="715"/>
      <c r="N46" s="233">
        <v>244</v>
      </c>
      <c r="O46" s="727" t="str">
        <f>IFERROR(IF(S46="06",데이터입력!$AB$8,IF(S46="07",데이터입력!$AD$8,IF(S46="05",데이터입력!$AF$8,데이터입력!$AB$8))),데이터입력!$AB$8)</f>
        <v>00</v>
      </c>
      <c r="P46" s="728" t="str">
        <f>데이터입력!$AC$9</f>
        <v>일반사업[일반]</v>
      </c>
      <c r="Q46" s="729" t="str">
        <f>IFERROR(IF(데이터입력!$AE$2="추경",VLOOKUP($N46,데이터입력!$A:$H,4,FALSE),""),"")</f>
        <v/>
      </c>
      <c r="R46" s="729" t="str">
        <f>IFERROR(IF(데이터입력!$AE$2="추경",VLOOKUP($N46,데이터입력!$A:$H,2,FALSE),""),"")</f>
        <v/>
      </c>
      <c r="S46" s="729" t="str">
        <f>IFERROR(IF(데이터입력!$AE$2="추경",VLOOKUP($N46,데이터입력!$A:$H,5,FALSE),""),"")</f>
        <v/>
      </c>
      <c r="T46" s="729" t="str">
        <f>IFERROR(IF(데이터입력!$AE$2="추경",VLOOKUP($N46,데이터입력!$A:$H,6,FALSE),""),"")</f>
        <v/>
      </c>
      <c r="U46" s="730" t="str">
        <f>IFERROR(IF(데이터입력!$AE$2="추경",VLOOKUP($N46,데이터입력!$A:$L,8,FALSE)+VLOOKUP($N46,데이터입력!$A:$L,9,FALSE)+VLOOKUP($N46,데이터입력!$A:$L,10,FALSE),""),"")</f>
        <v/>
      </c>
      <c r="V46" s="731" t="s">
        <v>136</v>
      </c>
      <c r="W46" s="731" t="s">
        <v>136</v>
      </c>
      <c r="X46" s="731" t="s">
        <v>136</v>
      </c>
      <c r="Y46" s="711"/>
      <c r="Z46" s="235" t="str">
        <f>데이터입력!$AB$8</f>
        <v>00</v>
      </c>
      <c r="AA46" s="238" t="str">
        <f>데이터입력!$AC$9</f>
        <v>일반사업[일반]</v>
      </c>
      <c r="AB46" s="236" t="str">
        <f>IFERROR(IF(데이터입력!$AE$2="추경",VLOOKUP($A46,보수일람표!$A:$M,4,FALSE),""),"")</f>
        <v/>
      </c>
      <c r="AC46" s="236" t="str">
        <f>IFERROR(IF(데이터입력!$AE$2="추경",VLOOKUP($A46,보수일람표!$A:$M,5,FALSE),""),"")</f>
        <v/>
      </c>
      <c r="AD46" s="236" t="str">
        <f>IFERROR(IF(데이터입력!$AE$2="추경",VLOOKUP($A46,보수일람표!$A:$M,6,FALSE),""),"")</f>
        <v/>
      </c>
      <c r="AE46" s="236" t="str">
        <f>IFERROR(IF(데이터입력!$AE$2="추경",VLOOKUP($A46,보수일람표!$A:$M,7,FALSE),""),"")</f>
        <v>간접</v>
      </c>
      <c r="AF46" s="236"/>
      <c r="AG46" s="237">
        <f>IFERROR(IF(데이터입력!$AE$2="추경",VLOOKUP($A46,보수일람표!$A:$M,9,FALSE),""),"")</f>
        <v>0</v>
      </c>
      <c r="AH46" s="237">
        <f>IFERROR(IF(데이터입력!$AE$2="추경",VLOOKUP($A46,보수일람표!$A:$M,10,FALSE),""),"")</f>
        <v>0</v>
      </c>
      <c r="AI46" s="237">
        <f>IFERROR(IF(데이터입력!$AE$2="추경",VLOOKUP($A46,보수일람표!$A:$M,11,FALSE),""),"")</f>
        <v>0</v>
      </c>
      <c r="AJ46" s="237">
        <f>IFERROR(IF(데이터입력!$AE$2="추경",VLOOKUP($A46,보수일람표!$A:$M,12,FALSE),""),"")</f>
        <v>0</v>
      </c>
      <c r="AK46" s="237">
        <f>IFERROR(IF(데이터입력!$AE$2="추경",VLOOKUP($A46,보수일람표!$A:$M,13,FALSE),""),"")</f>
        <v>0</v>
      </c>
    </row>
    <row r="47" spans="1:37">
      <c r="A47" s="233">
        <v>45</v>
      </c>
      <c r="B47" s="719" t="str">
        <f>IFERROR(IF(F47="06",데이터입력!$AB$8,IF(F47="07",데이터입력!$AD$8,IF(F47="05",데이터입력!$AF$8,데이터입력!$AB$8))),데이터입력!$AB$8)</f>
        <v>00</v>
      </c>
      <c r="C47" s="720" t="str">
        <f>데이터입력!$AC$9</f>
        <v>일반사업[일반]</v>
      </c>
      <c r="D47" s="721" t="str">
        <f>IFERROR(IF(AND(데이터입력!$AE$2="추경",데이터입력!$AM$2=TRUE),VLOOKUP($A47,데이터입력!$A:$H,4,FALSE),""),"")</f>
        <v/>
      </c>
      <c r="E47" s="721" t="str">
        <f>IFERROR(IF(AND(데이터입력!$AE$2="추경",데이터입력!$AM$2=TRUE),VLOOKUP($A47,데이터입력!$A:$H,2,FALSE),""),"")</f>
        <v/>
      </c>
      <c r="F47" s="721" t="str">
        <f>IFERROR(IF(AND(데이터입력!$AE$2="추경",데이터입력!$AM$2=TRUE),VLOOKUP($A47,데이터입력!$A:$H,5,FALSE),""),"")</f>
        <v/>
      </c>
      <c r="G47" s="721" t="str">
        <f>IFERROR(IF(AND(데이터입력!$AE$2="추경",데이터입력!$AM$2=TRUE),VLOOKUP($A47,데이터입력!$A:$H,6,FALSE),""),"")</f>
        <v/>
      </c>
      <c r="H47" s="722" t="str">
        <f>IFERROR(IF(AND(데이터입력!$AE$2="추경",데이터입력!$AM$2=TRUE),VLOOKUP($A47,데이터입력!$A:$L,7,FALSE),""),"")</f>
        <v/>
      </c>
      <c r="I47" s="722" t="str">
        <f>IFERROR(IF(AND(데이터입력!$AE$2="추경",데이터입력!$AM$2=TRUE),VLOOKUP($A47,데이터입력!$A:$L,8,FALSE)+VLOOKUP($A47,데이터입력!$A:$L,9,FALSE)+VLOOKUP($A47,데이터입력!$A:$L,10,FALSE),""),"")</f>
        <v/>
      </c>
      <c r="J47" s="723" t="s">
        <v>136</v>
      </c>
      <c r="K47" s="723" t="s">
        <v>136</v>
      </c>
      <c r="L47" s="723" t="s">
        <v>136</v>
      </c>
      <c r="M47" s="715"/>
      <c r="N47" s="233">
        <v>245</v>
      </c>
      <c r="O47" s="727" t="str">
        <f>IFERROR(IF(S47="06",데이터입력!$AB$8,IF(S47="07",데이터입력!$AD$8,IF(S47="05",데이터입력!$AF$8,데이터입력!$AB$8))),데이터입력!$AB$8)</f>
        <v>00</v>
      </c>
      <c r="P47" s="728" t="str">
        <f>데이터입력!$AC$9</f>
        <v>일반사업[일반]</v>
      </c>
      <c r="Q47" s="729" t="str">
        <f>IFERROR(IF(데이터입력!$AE$2="추경",VLOOKUP($N47,데이터입력!$A:$H,4,FALSE),""),"")</f>
        <v/>
      </c>
      <c r="R47" s="729" t="str">
        <f>IFERROR(IF(데이터입력!$AE$2="추경",VLOOKUP($N47,데이터입력!$A:$H,2,FALSE),""),"")</f>
        <v/>
      </c>
      <c r="S47" s="729" t="str">
        <f>IFERROR(IF(데이터입력!$AE$2="추경",VLOOKUP($N47,데이터입력!$A:$H,5,FALSE),""),"")</f>
        <v/>
      </c>
      <c r="T47" s="729" t="str">
        <f>IFERROR(IF(데이터입력!$AE$2="추경",VLOOKUP($N47,데이터입력!$A:$H,6,FALSE),""),"")</f>
        <v/>
      </c>
      <c r="U47" s="730" t="str">
        <f>IFERROR(IF(데이터입력!$AE$2="추경",VLOOKUP($N47,데이터입력!$A:$L,8,FALSE)+VLOOKUP($N47,데이터입력!$A:$L,9,FALSE)+VLOOKUP($N47,데이터입력!$A:$L,10,FALSE),""),"")</f>
        <v/>
      </c>
      <c r="V47" s="731" t="s">
        <v>136</v>
      </c>
      <c r="W47" s="731" t="s">
        <v>136</v>
      </c>
      <c r="X47" s="731" t="s">
        <v>136</v>
      </c>
      <c r="Y47" s="712"/>
      <c r="Z47" s="235" t="str">
        <f>데이터입력!$AB$8</f>
        <v>00</v>
      </c>
      <c r="AA47" s="238" t="str">
        <f>데이터입력!$AC$9</f>
        <v>일반사업[일반]</v>
      </c>
      <c r="AB47" s="236" t="str">
        <f>IFERROR(IF(데이터입력!$AE$2="추경",VLOOKUP($A47,보수일람표!$A:$M,4,FALSE),""),"")</f>
        <v/>
      </c>
      <c r="AC47" s="236" t="str">
        <f>IFERROR(IF(데이터입력!$AE$2="추경",VLOOKUP($A47,보수일람표!$A:$M,5,FALSE),""),"")</f>
        <v/>
      </c>
      <c r="AD47" s="236" t="str">
        <f>IFERROR(IF(데이터입력!$AE$2="추경",VLOOKUP($A47,보수일람표!$A:$M,6,FALSE),""),"")</f>
        <v/>
      </c>
      <c r="AE47" s="236" t="str">
        <f>IFERROR(IF(데이터입력!$AE$2="추경",VLOOKUP($A47,보수일람표!$A:$M,7,FALSE),""),"")</f>
        <v>간접</v>
      </c>
      <c r="AF47" s="236"/>
      <c r="AG47" s="237">
        <f>IFERROR(IF(데이터입력!$AE$2="추경",VLOOKUP($A47,보수일람표!$A:$M,9,FALSE),""),"")</f>
        <v>0</v>
      </c>
      <c r="AH47" s="237">
        <f>IFERROR(IF(데이터입력!$AE$2="추경",VLOOKUP($A47,보수일람표!$A:$M,10,FALSE),""),"")</f>
        <v>0</v>
      </c>
      <c r="AI47" s="237">
        <f>IFERROR(IF(데이터입력!$AE$2="추경",VLOOKUP($A47,보수일람표!$A:$M,11,FALSE),""),"")</f>
        <v>0</v>
      </c>
      <c r="AJ47" s="237">
        <f>IFERROR(IF(데이터입력!$AE$2="추경",VLOOKUP($A47,보수일람표!$A:$M,12,FALSE),""),"")</f>
        <v>0</v>
      </c>
      <c r="AK47" s="237">
        <f>IFERROR(IF(데이터입력!$AE$2="추경",VLOOKUP($A47,보수일람표!$A:$M,13,FALSE),""),"")</f>
        <v>0</v>
      </c>
    </row>
    <row r="48" spans="1:37">
      <c r="A48" s="233">
        <v>46</v>
      </c>
      <c r="B48" s="719" t="str">
        <f>IFERROR(IF(F48="06",데이터입력!$AB$8,IF(F48="07",데이터입력!$AD$8,IF(F48="05",데이터입력!$AF$8,데이터입력!$AB$8))),데이터입력!$AB$8)</f>
        <v>00</v>
      </c>
      <c r="C48" s="720" t="str">
        <f>데이터입력!$AC$9</f>
        <v>일반사업[일반]</v>
      </c>
      <c r="D48" s="721" t="str">
        <f>IFERROR(IF(AND(데이터입력!$AE$2="추경",데이터입력!$AM$2=TRUE),VLOOKUP($A48,데이터입력!$A:$H,4,FALSE),""),"")</f>
        <v/>
      </c>
      <c r="E48" s="721" t="str">
        <f>IFERROR(IF(AND(데이터입력!$AE$2="추경",데이터입력!$AM$2=TRUE),VLOOKUP($A48,데이터입력!$A:$H,2,FALSE),""),"")</f>
        <v/>
      </c>
      <c r="F48" s="721" t="str">
        <f>IFERROR(IF(AND(데이터입력!$AE$2="추경",데이터입력!$AM$2=TRUE),VLOOKUP($A48,데이터입력!$A:$H,5,FALSE),""),"")</f>
        <v/>
      </c>
      <c r="G48" s="721" t="str">
        <f>IFERROR(IF(AND(데이터입력!$AE$2="추경",데이터입력!$AM$2=TRUE),VLOOKUP($A48,데이터입력!$A:$H,6,FALSE),""),"")</f>
        <v/>
      </c>
      <c r="H48" s="722" t="str">
        <f>IFERROR(IF(AND(데이터입력!$AE$2="추경",데이터입력!$AM$2=TRUE),VLOOKUP($A48,데이터입력!$A:$L,7,FALSE),""),"")</f>
        <v/>
      </c>
      <c r="I48" s="722" t="str">
        <f>IFERROR(IF(AND(데이터입력!$AE$2="추경",데이터입력!$AM$2=TRUE),VLOOKUP($A48,데이터입력!$A:$L,8,FALSE)+VLOOKUP($A48,데이터입력!$A:$L,9,FALSE)+VLOOKUP($A48,데이터입력!$A:$L,10,FALSE),""),"")</f>
        <v/>
      </c>
      <c r="J48" s="723" t="s">
        <v>136</v>
      </c>
      <c r="K48" s="723" t="s">
        <v>136</v>
      </c>
      <c r="L48" s="723" t="s">
        <v>136</v>
      </c>
      <c r="M48" s="715"/>
      <c r="N48" s="233">
        <v>246</v>
      </c>
      <c r="O48" s="727" t="str">
        <f>IFERROR(IF(S48="06",데이터입력!$AB$8,IF(S48="07",데이터입력!$AD$8,IF(S48="05",데이터입력!$AF$8,데이터입력!$AB$8))),데이터입력!$AB$8)</f>
        <v>00</v>
      </c>
      <c r="P48" s="728" t="str">
        <f>데이터입력!$AC$9</f>
        <v>일반사업[일반]</v>
      </c>
      <c r="Q48" s="729" t="str">
        <f>IFERROR(IF(데이터입력!$AE$2="추경",VLOOKUP($N48,데이터입력!$A:$H,4,FALSE),""),"")</f>
        <v/>
      </c>
      <c r="R48" s="729" t="str">
        <f>IFERROR(IF(데이터입력!$AE$2="추경",VLOOKUP($N48,데이터입력!$A:$H,2,FALSE),""),"")</f>
        <v/>
      </c>
      <c r="S48" s="729" t="str">
        <f>IFERROR(IF(데이터입력!$AE$2="추경",VLOOKUP($N48,데이터입력!$A:$H,5,FALSE),""),"")</f>
        <v/>
      </c>
      <c r="T48" s="729" t="str">
        <f>IFERROR(IF(데이터입력!$AE$2="추경",VLOOKUP($N48,데이터입력!$A:$H,6,FALSE),""),"")</f>
        <v/>
      </c>
      <c r="U48" s="730" t="str">
        <f>IFERROR(IF(데이터입력!$AE$2="추경",VLOOKUP($N48,데이터입력!$A:$L,8,FALSE)+VLOOKUP($N48,데이터입력!$A:$L,9,FALSE)+VLOOKUP($N48,데이터입력!$A:$L,10,FALSE),""),"")</f>
        <v/>
      </c>
      <c r="V48" s="731" t="s">
        <v>136</v>
      </c>
      <c r="W48" s="731" t="s">
        <v>136</v>
      </c>
      <c r="X48" s="731" t="s">
        <v>136</v>
      </c>
      <c r="Y48" s="711"/>
      <c r="Z48" s="235" t="str">
        <f>데이터입력!$AB$8</f>
        <v>00</v>
      </c>
      <c r="AA48" s="238" t="str">
        <f>데이터입력!$AC$9</f>
        <v>일반사업[일반]</v>
      </c>
      <c r="AB48" s="236" t="str">
        <f>IFERROR(IF(데이터입력!$AE$2="추경",VLOOKUP($A48,보수일람표!$A:$M,4,FALSE),""),"")</f>
        <v/>
      </c>
      <c r="AC48" s="236" t="str">
        <f>IFERROR(IF(데이터입력!$AE$2="추경",VLOOKUP($A48,보수일람표!$A:$M,5,FALSE),""),"")</f>
        <v/>
      </c>
      <c r="AD48" s="236" t="str">
        <f>IFERROR(IF(데이터입력!$AE$2="추경",VLOOKUP($A48,보수일람표!$A:$M,6,FALSE),""),"")</f>
        <v/>
      </c>
      <c r="AE48" s="236" t="str">
        <f>IFERROR(IF(데이터입력!$AE$2="추경",VLOOKUP($A48,보수일람표!$A:$M,7,FALSE),""),"")</f>
        <v>간접</v>
      </c>
      <c r="AF48" s="236"/>
      <c r="AG48" s="237">
        <f>IFERROR(IF(데이터입력!$AE$2="추경",VLOOKUP($A48,보수일람표!$A:$M,9,FALSE),""),"")</f>
        <v>0</v>
      </c>
      <c r="AH48" s="237">
        <f>IFERROR(IF(데이터입력!$AE$2="추경",VLOOKUP($A48,보수일람표!$A:$M,10,FALSE),""),"")</f>
        <v>0</v>
      </c>
      <c r="AI48" s="237">
        <f>IFERROR(IF(데이터입력!$AE$2="추경",VLOOKUP($A48,보수일람표!$A:$M,11,FALSE),""),"")</f>
        <v>0</v>
      </c>
      <c r="AJ48" s="237">
        <f>IFERROR(IF(데이터입력!$AE$2="추경",VLOOKUP($A48,보수일람표!$A:$M,12,FALSE),""),"")</f>
        <v>0</v>
      </c>
      <c r="AK48" s="237">
        <f>IFERROR(IF(데이터입력!$AE$2="추경",VLOOKUP($A48,보수일람표!$A:$M,13,FALSE),""),"")</f>
        <v>0</v>
      </c>
    </row>
    <row r="49" spans="1:37">
      <c r="A49" s="233">
        <v>47</v>
      </c>
      <c r="B49" s="719" t="str">
        <f>IFERROR(IF(F49="06",데이터입력!$AB$8,IF(F49="07",데이터입력!$AD$8,IF(F49="05",데이터입력!$AF$8,데이터입력!$AB$8))),데이터입력!$AB$8)</f>
        <v>00</v>
      </c>
      <c r="C49" s="720" t="str">
        <f>데이터입력!$AC$9</f>
        <v>일반사업[일반]</v>
      </c>
      <c r="D49" s="721" t="str">
        <f>IFERROR(IF(AND(데이터입력!$AE$2="추경",데이터입력!$AM$2=TRUE),VLOOKUP($A49,데이터입력!$A:$H,4,FALSE),""),"")</f>
        <v/>
      </c>
      <c r="E49" s="721" t="str">
        <f>IFERROR(IF(AND(데이터입력!$AE$2="추경",데이터입력!$AM$2=TRUE),VLOOKUP($A49,데이터입력!$A:$H,2,FALSE),""),"")</f>
        <v/>
      </c>
      <c r="F49" s="721" t="str">
        <f>IFERROR(IF(AND(데이터입력!$AE$2="추경",데이터입력!$AM$2=TRUE),VLOOKUP($A49,데이터입력!$A:$H,5,FALSE),""),"")</f>
        <v/>
      </c>
      <c r="G49" s="721" t="str">
        <f>IFERROR(IF(AND(데이터입력!$AE$2="추경",데이터입력!$AM$2=TRUE),VLOOKUP($A49,데이터입력!$A:$H,6,FALSE),""),"")</f>
        <v/>
      </c>
      <c r="H49" s="722" t="str">
        <f>IFERROR(IF(AND(데이터입력!$AE$2="추경",데이터입력!$AM$2=TRUE),VLOOKUP($A49,데이터입력!$A:$L,7,FALSE),""),"")</f>
        <v/>
      </c>
      <c r="I49" s="722" t="str">
        <f>IFERROR(IF(AND(데이터입력!$AE$2="추경",데이터입력!$AM$2=TRUE),VLOOKUP($A49,데이터입력!$A:$L,8,FALSE)+VLOOKUP($A49,데이터입력!$A:$L,9,FALSE)+VLOOKUP($A49,데이터입력!$A:$L,10,FALSE),""),"")</f>
        <v/>
      </c>
      <c r="J49" s="723" t="s">
        <v>136</v>
      </c>
      <c r="K49" s="723" t="s">
        <v>136</v>
      </c>
      <c r="L49" s="723" t="s">
        <v>136</v>
      </c>
      <c r="M49" s="715"/>
      <c r="N49" s="233">
        <v>247</v>
      </c>
      <c r="O49" s="727" t="str">
        <f>IFERROR(IF(S49="06",데이터입력!$AB$8,IF(S49="07",데이터입력!$AD$8,IF(S49="05",데이터입력!$AF$8,데이터입력!$AB$8))),데이터입력!$AB$8)</f>
        <v>00</v>
      </c>
      <c r="P49" s="728" t="str">
        <f>데이터입력!$AC$9</f>
        <v>일반사업[일반]</v>
      </c>
      <c r="Q49" s="729" t="str">
        <f>IFERROR(IF(데이터입력!$AE$2="추경",VLOOKUP($N49,데이터입력!$A:$H,4,FALSE),""),"")</f>
        <v/>
      </c>
      <c r="R49" s="729" t="str">
        <f>IFERROR(IF(데이터입력!$AE$2="추경",VLOOKUP($N49,데이터입력!$A:$H,2,FALSE),""),"")</f>
        <v/>
      </c>
      <c r="S49" s="729" t="str">
        <f>IFERROR(IF(데이터입력!$AE$2="추경",VLOOKUP($N49,데이터입력!$A:$H,5,FALSE),""),"")</f>
        <v/>
      </c>
      <c r="T49" s="729" t="str">
        <f>IFERROR(IF(데이터입력!$AE$2="추경",VLOOKUP($N49,데이터입력!$A:$H,6,FALSE),""),"")</f>
        <v/>
      </c>
      <c r="U49" s="730" t="str">
        <f>IFERROR(IF(데이터입력!$AE$2="추경",VLOOKUP($N49,데이터입력!$A:$L,8,FALSE)+VLOOKUP($N49,데이터입력!$A:$L,9,FALSE)+VLOOKUP($N49,데이터입력!$A:$L,10,FALSE),""),"")</f>
        <v/>
      </c>
      <c r="V49" s="731" t="s">
        <v>136</v>
      </c>
      <c r="W49" s="731" t="s">
        <v>136</v>
      </c>
      <c r="X49" s="731" t="s">
        <v>136</v>
      </c>
      <c r="Y49" s="712"/>
      <c r="Z49" s="235" t="str">
        <f>데이터입력!$AB$8</f>
        <v>00</v>
      </c>
      <c r="AA49" s="238" t="str">
        <f>데이터입력!$AC$9</f>
        <v>일반사업[일반]</v>
      </c>
      <c r="AB49" s="236" t="str">
        <f>IFERROR(IF(데이터입력!$AE$2="추경",VLOOKUP($A49,보수일람표!$A:$M,4,FALSE),""),"")</f>
        <v/>
      </c>
      <c r="AC49" s="236" t="str">
        <f>IFERROR(IF(데이터입력!$AE$2="추경",VLOOKUP($A49,보수일람표!$A:$M,5,FALSE),""),"")</f>
        <v/>
      </c>
      <c r="AD49" s="236" t="str">
        <f>IFERROR(IF(데이터입력!$AE$2="추경",VLOOKUP($A49,보수일람표!$A:$M,6,FALSE),""),"")</f>
        <v/>
      </c>
      <c r="AE49" s="236" t="str">
        <f>IFERROR(IF(데이터입력!$AE$2="추경",VLOOKUP($A49,보수일람표!$A:$M,7,FALSE),""),"")</f>
        <v>간접</v>
      </c>
      <c r="AF49" s="236"/>
      <c r="AG49" s="237">
        <f>IFERROR(IF(데이터입력!$AE$2="추경",VLOOKUP($A49,보수일람표!$A:$M,9,FALSE),""),"")</f>
        <v>0</v>
      </c>
      <c r="AH49" s="237">
        <f>IFERROR(IF(데이터입력!$AE$2="추경",VLOOKUP($A49,보수일람표!$A:$M,10,FALSE),""),"")</f>
        <v>0</v>
      </c>
      <c r="AI49" s="237">
        <f>IFERROR(IF(데이터입력!$AE$2="추경",VLOOKUP($A49,보수일람표!$A:$M,11,FALSE),""),"")</f>
        <v>0</v>
      </c>
      <c r="AJ49" s="237">
        <f>IFERROR(IF(데이터입력!$AE$2="추경",VLOOKUP($A49,보수일람표!$A:$M,12,FALSE),""),"")</f>
        <v>0</v>
      </c>
      <c r="AK49" s="237">
        <f>IFERROR(IF(데이터입력!$AE$2="추경",VLOOKUP($A49,보수일람표!$A:$M,13,FALSE),""),"")</f>
        <v>0</v>
      </c>
    </row>
    <row r="50" spans="1:37">
      <c r="A50" s="233">
        <v>48</v>
      </c>
      <c r="B50" s="719" t="str">
        <f>IFERROR(IF(F50="06",데이터입력!$AB$8,IF(F50="07",데이터입력!$AD$8,IF(F50="05",데이터입력!$AF$8,데이터입력!$AB$8))),데이터입력!$AB$8)</f>
        <v>00</v>
      </c>
      <c r="C50" s="720" t="str">
        <f>데이터입력!$AC$9</f>
        <v>일반사업[일반]</v>
      </c>
      <c r="D50" s="721" t="str">
        <f>IFERROR(IF(AND(데이터입력!$AE$2="추경",데이터입력!$AM$2=TRUE),VLOOKUP($A50,데이터입력!$A:$H,4,FALSE),""),"")</f>
        <v/>
      </c>
      <c r="E50" s="721" t="str">
        <f>IFERROR(IF(AND(데이터입력!$AE$2="추경",데이터입력!$AM$2=TRUE),VLOOKUP($A50,데이터입력!$A:$H,2,FALSE),""),"")</f>
        <v/>
      </c>
      <c r="F50" s="721" t="str">
        <f>IFERROR(IF(AND(데이터입력!$AE$2="추경",데이터입력!$AM$2=TRUE),VLOOKUP($A50,데이터입력!$A:$H,5,FALSE),""),"")</f>
        <v/>
      </c>
      <c r="G50" s="721" t="str">
        <f>IFERROR(IF(AND(데이터입력!$AE$2="추경",데이터입력!$AM$2=TRUE),VLOOKUP($A50,데이터입력!$A:$H,6,FALSE),""),"")</f>
        <v/>
      </c>
      <c r="H50" s="722" t="str">
        <f>IFERROR(IF(AND(데이터입력!$AE$2="추경",데이터입력!$AM$2=TRUE),VLOOKUP($A50,데이터입력!$A:$L,7,FALSE),""),"")</f>
        <v/>
      </c>
      <c r="I50" s="722" t="str">
        <f>IFERROR(IF(AND(데이터입력!$AE$2="추경",데이터입력!$AM$2=TRUE),VLOOKUP($A50,데이터입력!$A:$L,8,FALSE)+VLOOKUP($A50,데이터입력!$A:$L,9,FALSE)+VLOOKUP($A50,데이터입력!$A:$L,10,FALSE),""),"")</f>
        <v/>
      </c>
      <c r="J50" s="723" t="s">
        <v>136</v>
      </c>
      <c r="K50" s="723" t="s">
        <v>136</v>
      </c>
      <c r="L50" s="723" t="s">
        <v>136</v>
      </c>
      <c r="M50" s="715"/>
      <c r="N50" s="233">
        <v>248</v>
      </c>
      <c r="O50" s="727" t="str">
        <f>IFERROR(IF(S50="06",데이터입력!$AB$8,IF(S50="07",데이터입력!$AD$8,IF(S50="05",데이터입력!$AF$8,데이터입력!$AB$8))),데이터입력!$AB$8)</f>
        <v>00</v>
      </c>
      <c r="P50" s="728" t="str">
        <f>데이터입력!$AC$9</f>
        <v>일반사업[일반]</v>
      </c>
      <c r="Q50" s="729" t="str">
        <f>IFERROR(IF(데이터입력!$AE$2="추경",VLOOKUP($N50,데이터입력!$A:$H,4,FALSE),""),"")</f>
        <v/>
      </c>
      <c r="R50" s="729" t="str">
        <f>IFERROR(IF(데이터입력!$AE$2="추경",VLOOKUP($N50,데이터입력!$A:$H,2,FALSE),""),"")</f>
        <v/>
      </c>
      <c r="S50" s="729" t="str">
        <f>IFERROR(IF(데이터입력!$AE$2="추경",VLOOKUP($N50,데이터입력!$A:$H,5,FALSE),""),"")</f>
        <v/>
      </c>
      <c r="T50" s="729" t="str">
        <f>IFERROR(IF(데이터입력!$AE$2="추경",VLOOKUP($N50,데이터입력!$A:$H,6,FALSE),""),"")</f>
        <v/>
      </c>
      <c r="U50" s="730" t="str">
        <f>IFERROR(IF(데이터입력!$AE$2="추경",VLOOKUP($N50,데이터입력!$A:$L,8,FALSE)+VLOOKUP($N50,데이터입력!$A:$L,9,FALSE)+VLOOKUP($N50,데이터입력!$A:$L,10,FALSE),""),"")</f>
        <v/>
      </c>
      <c r="V50" s="731" t="s">
        <v>136</v>
      </c>
      <c r="W50" s="731" t="s">
        <v>136</v>
      </c>
      <c r="X50" s="731" t="s">
        <v>136</v>
      </c>
      <c r="Y50" s="711"/>
      <c r="Z50" s="235" t="str">
        <f>데이터입력!$AB$8</f>
        <v>00</v>
      </c>
      <c r="AA50" s="238" t="str">
        <f>데이터입력!$AC$9</f>
        <v>일반사업[일반]</v>
      </c>
      <c r="AB50" s="236" t="str">
        <f>IFERROR(IF(데이터입력!$AE$2="추경",VLOOKUP($A50,보수일람표!$A:$M,4,FALSE),""),"")</f>
        <v/>
      </c>
      <c r="AC50" s="236" t="str">
        <f>IFERROR(IF(데이터입력!$AE$2="추경",VLOOKUP($A50,보수일람표!$A:$M,5,FALSE),""),"")</f>
        <v/>
      </c>
      <c r="AD50" s="236" t="str">
        <f>IFERROR(IF(데이터입력!$AE$2="추경",VLOOKUP($A50,보수일람표!$A:$M,6,FALSE),""),"")</f>
        <v/>
      </c>
      <c r="AE50" s="236" t="str">
        <f>IFERROR(IF(데이터입력!$AE$2="추경",VLOOKUP($A50,보수일람표!$A:$M,7,FALSE),""),"")</f>
        <v>간접</v>
      </c>
      <c r="AF50" s="236"/>
      <c r="AG50" s="237">
        <f>IFERROR(IF(데이터입력!$AE$2="추경",VLOOKUP($A50,보수일람표!$A:$M,9,FALSE),""),"")</f>
        <v>0</v>
      </c>
      <c r="AH50" s="237">
        <f>IFERROR(IF(데이터입력!$AE$2="추경",VLOOKUP($A50,보수일람표!$A:$M,10,FALSE),""),"")</f>
        <v>0</v>
      </c>
      <c r="AI50" s="237">
        <f>IFERROR(IF(데이터입력!$AE$2="추경",VLOOKUP($A50,보수일람표!$A:$M,11,FALSE),""),"")</f>
        <v>0</v>
      </c>
      <c r="AJ50" s="237">
        <f>IFERROR(IF(데이터입력!$AE$2="추경",VLOOKUP($A50,보수일람표!$A:$M,12,FALSE),""),"")</f>
        <v>0</v>
      </c>
      <c r="AK50" s="237">
        <f>IFERROR(IF(데이터입력!$AE$2="추경",VLOOKUP($A50,보수일람표!$A:$M,13,FALSE),""),"")</f>
        <v>0</v>
      </c>
    </row>
    <row r="51" spans="1:37">
      <c r="A51" s="233">
        <v>49</v>
      </c>
      <c r="B51" s="719" t="str">
        <f>IFERROR(IF(F51="06",데이터입력!$AB$8,IF(F51="07",데이터입력!$AD$8,IF(F51="05",데이터입력!$AF$8,데이터입력!$AB$8))),데이터입력!$AB$8)</f>
        <v>00</v>
      </c>
      <c r="C51" s="720" t="str">
        <f>데이터입력!$AC$9</f>
        <v>일반사업[일반]</v>
      </c>
      <c r="D51" s="721" t="str">
        <f>IFERROR(IF(AND(데이터입력!$AE$2="추경",데이터입력!$AM$2=TRUE),VLOOKUP($A51,데이터입력!$A:$H,4,FALSE),""),"")</f>
        <v/>
      </c>
      <c r="E51" s="721" t="str">
        <f>IFERROR(IF(AND(데이터입력!$AE$2="추경",데이터입력!$AM$2=TRUE),VLOOKUP($A51,데이터입력!$A:$H,2,FALSE),""),"")</f>
        <v/>
      </c>
      <c r="F51" s="721" t="str">
        <f>IFERROR(IF(AND(데이터입력!$AE$2="추경",데이터입력!$AM$2=TRUE),VLOOKUP($A51,데이터입력!$A:$H,5,FALSE),""),"")</f>
        <v/>
      </c>
      <c r="G51" s="721" t="str">
        <f>IFERROR(IF(AND(데이터입력!$AE$2="추경",데이터입력!$AM$2=TRUE),VLOOKUP($A51,데이터입력!$A:$H,6,FALSE),""),"")</f>
        <v/>
      </c>
      <c r="H51" s="722" t="str">
        <f>IFERROR(IF(AND(데이터입력!$AE$2="추경",데이터입력!$AM$2=TRUE),VLOOKUP($A51,데이터입력!$A:$L,7,FALSE),""),"")</f>
        <v/>
      </c>
      <c r="I51" s="722" t="str">
        <f>IFERROR(IF(AND(데이터입력!$AE$2="추경",데이터입력!$AM$2=TRUE),VLOOKUP($A51,데이터입력!$A:$L,8,FALSE)+VLOOKUP($A51,데이터입력!$A:$L,9,FALSE)+VLOOKUP($A51,데이터입력!$A:$L,10,FALSE),""),"")</f>
        <v/>
      </c>
      <c r="J51" s="723" t="s">
        <v>136</v>
      </c>
      <c r="K51" s="723" t="s">
        <v>136</v>
      </c>
      <c r="L51" s="723" t="s">
        <v>136</v>
      </c>
      <c r="M51" s="715"/>
      <c r="N51" s="233">
        <v>249</v>
      </c>
      <c r="O51" s="727" t="str">
        <f>IFERROR(IF(S51="06",데이터입력!$AB$8,IF(S51="07",데이터입력!$AD$8,IF(S51="05",데이터입력!$AF$8,데이터입력!$AB$8))),데이터입력!$AB$8)</f>
        <v>00</v>
      </c>
      <c r="P51" s="728" t="str">
        <f>데이터입력!$AC$9</f>
        <v>일반사업[일반]</v>
      </c>
      <c r="Q51" s="729" t="str">
        <f>IFERROR(IF(데이터입력!$AE$2="추경",VLOOKUP($N51,데이터입력!$A:$H,4,FALSE),""),"")</f>
        <v/>
      </c>
      <c r="R51" s="729" t="str">
        <f>IFERROR(IF(데이터입력!$AE$2="추경",VLOOKUP($N51,데이터입력!$A:$H,2,FALSE),""),"")</f>
        <v/>
      </c>
      <c r="S51" s="729" t="str">
        <f>IFERROR(IF(데이터입력!$AE$2="추경",VLOOKUP($N51,데이터입력!$A:$H,5,FALSE),""),"")</f>
        <v/>
      </c>
      <c r="T51" s="729" t="str">
        <f>IFERROR(IF(데이터입력!$AE$2="추경",VLOOKUP($N51,데이터입력!$A:$H,6,FALSE),""),"")</f>
        <v/>
      </c>
      <c r="U51" s="730" t="str">
        <f>IFERROR(IF(데이터입력!$AE$2="추경",VLOOKUP($N51,데이터입력!$A:$L,8,FALSE)+VLOOKUP($N51,데이터입력!$A:$L,9,FALSE)+VLOOKUP($N51,데이터입력!$A:$L,10,FALSE),""),"")</f>
        <v/>
      </c>
      <c r="V51" s="731" t="s">
        <v>136</v>
      </c>
      <c r="W51" s="731" t="s">
        <v>136</v>
      </c>
      <c r="X51" s="731" t="s">
        <v>136</v>
      </c>
      <c r="Y51" s="712"/>
      <c r="Z51" s="235" t="str">
        <f>데이터입력!$AB$8</f>
        <v>00</v>
      </c>
      <c r="AA51" s="238" t="str">
        <f>데이터입력!$AC$9</f>
        <v>일반사업[일반]</v>
      </c>
      <c r="AB51" s="236" t="str">
        <f>IFERROR(IF(데이터입력!$AE$2="추경",VLOOKUP($A51,보수일람표!$A:$M,4,FALSE),""),"")</f>
        <v/>
      </c>
      <c r="AC51" s="236" t="str">
        <f>IFERROR(IF(데이터입력!$AE$2="추경",VLOOKUP($A51,보수일람표!$A:$M,5,FALSE),""),"")</f>
        <v/>
      </c>
      <c r="AD51" s="236" t="str">
        <f>IFERROR(IF(데이터입력!$AE$2="추경",VLOOKUP($A51,보수일람표!$A:$M,6,FALSE),""),"")</f>
        <v/>
      </c>
      <c r="AE51" s="236" t="str">
        <f>IFERROR(IF(데이터입력!$AE$2="추경",VLOOKUP($A51,보수일람표!$A:$M,7,FALSE),""),"")</f>
        <v>간접</v>
      </c>
      <c r="AF51" s="236"/>
      <c r="AG51" s="237">
        <f>IFERROR(IF(데이터입력!$AE$2="추경",VLOOKUP($A51,보수일람표!$A:$M,9,FALSE),""),"")</f>
        <v>0</v>
      </c>
      <c r="AH51" s="237">
        <f>IFERROR(IF(데이터입력!$AE$2="추경",VLOOKUP($A51,보수일람표!$A:$M,10,FALSE),""),"")</f>
        <v>0</v>
      </c>
      <c r="AI51" s="237">
        <f>IFERROR(IF(데이터입력!$AE$2="추경",VLOOKUP($A51,보수일람표!$A:$M,11,FALSE),""),"")</f>
        <v>0</v>
      </c>
      <c r="AJ51" s="237">
        <f>IFERROR(IF(데이터입력!$AE$2="추경",VLOOKUP($A51,보수일람표!$A:$M,12,FALSE),""),"")</f>
        <v>0</v>
      </c>
      <c r="AK51" s="237">
        <f>IFERROR(IF(데이터입력!$AE$2="추경",VLOOKUP($A51,보수일람표!$A:$M,13,FALSE),""),"")</f>
        <v>0</v>
      </c>
    </row>
    <row r="52" spans="1:37">
      <c r="A52" s="233">
        <v>50</v>
      </c>
      <c r="B52" s="719" t="str">
        <f>IFERROR(IF(F52="06",데이터입력!$AB$8,IF(F52="07",데이터입력!$AD$8,IF(F52="05",데이터입력!$AF$8,데이터입력!$AB$8))),데이터입력!$AB$8)</f>
        <v>00</v>
      </c>
      <c r="C52" s="720" t="str">
        <f>데이터입력!$AC$9</f>
        <v>일반사업[일반]</v>
      </c>
      <c r="D52" s="721" t="str">
        <f>IFERROR(IF(AND(데이터입력!$AE$2="추경",데이터입력!$AM$2=TRUE),VLOOKUP($A52,데이터입력!$A:$H,4,FALSE),""),"")</f>
        <v/>
      </c>
      <c r="E52" s="721" t="str">
        <f>IFERROR(IF(AND(데이터입력!$AE$2="추경",데이터입력!$AM$2=TRUE),VLOOKUP($A52,데이터입력!$A:$H,2,FALSE),""),"")</f>
        <v/>
      </c>
      <c r="F52" s="721" t="str">
        <f>IFERROR(IF(AND(데이터입력!$AE$2="추경",데이터입력!$AM$2=TRUE),VLOOKUP($A52,데이터입력!$A:$H,5,FALSE),""),"")</f>
        <v/>
      </c>
      <c r="G52" s="721" t="str">
        <f>IFERROR(IF(AND(데이터입력!$AE$2="추경",데이터입력!$AM$2=TRUE),VLOOKUP($A52,데이터입력!$A:$H,6,FALSE),""),"")</f>
        <v/>
      </c>
      <c r="H52" s="722" t="str">
        <f>IFERROR(IF(AND(데이터입력!$AE$2="추경",데이터입력!$AM$2=TRUE),VLOOKUP($A52,데이터입력!$A:$L,7,FALSE),""),"")</f>
        <v/>
      </c>
      <c r="I52" s="722" t="str">
        <f>IFERROR(IF(AND(데이터입력!$AE$2="추경",데이터입력!$AM$2=TRUE),VLOOKUP($A52,데이터입력!$A:$L,8,FALSE)+VLOOKUP($A52,데이터입력!$A:$L,9,FALSE)+VLOOKUP($A52,데이터입력!$A:$L,10,FALSE),""),"")</f>
        <v/>
      </c>
      <c r="J52" s="723" t="s">
        <v>136</v>
      </c>
      <c r="K52" s="723" t="s">
        <v>136</v>
      </c>
      <c r="L52" s="723" t="s">
        <v>136</v>
      </c>
      <c r="M52" s="715"/>
      <c r="N52" s="233">
        <v>250</v>
      </c>
      <c r="O52" s="727" t="str">
        <f>IFERROR(IF(S52="06",데이터입력!$AB$8,IF(S52="07",데이터입력!$AD$8,IF(S52="05",데이터입력!$AF$8,데이터입력!$AB$8))),데이터입력!$AB$8)</f>
        <v>00</v>
      </c>
      <c r="P52" s="728" t="str">
        <f>데이터입력!$AC$9</f>
        <v>일반사업[일반]</v>
      </c>
      <c r="Q52" s="729" t="str">
        <f>IFERROR(IF(데이터입력!$AE$2="추경",VLOOKUP($N52,데이터입력!$A:$H,4,FALSE),""),"")</f>
        <v/>
      </c>
      <c r="R52" s="729" t="str">
        <f>IFERROR(IF(데이터입력!$AE$2="추경",VLOOKUP($N52,데이터입력!$A:$H,2,FALSE),""),"")</f>
        <v/>
      </c>
      <c r="S52" s="729" t="str">
        <f>IFERROR(IF(데이터입력!$AE$2="추경",VLOOKUP($N52,데이터입력!$A:$H,5,FALSE),""),"")</f>
        <v/>
      </c>
      <c r="T52" s="729" t="str">
        <f>IFERROR(IF(데이터입력!$AE$2="추경",VLOOKUP($N52,데이터입력!$A:$H,6,FALSE),""),"")</f>
        <v/>
      </c>
      <c r="U52" s="730" t="str">
        <f>IFERROR(IF(데이터입력!$AE$2="추경",VLOOKUP($N52,데이터입력!$A:$L,8,FALSE)+VLOOKUP($N52,데이터입력!$A:$L,9,FALSE)+VLOOKUP($N52,데이터입력!$A:$L,10,FALSE),""),"")</f>
        <v/>
      </c>
      <c r="V52" s="731" t="s">
        <v>136</v>
      </c>
      <c r="W52" s="731" t="s">
        <v>136</v>
      </c>
      <c r="X52" s="731" t="s">
        <v>136</v>
      </c>
      <c r="Y52" s="711"/>
      <c r="Z52" s="235" t="str">
        <f>데이터입력!$AB$8</f>
        <v>00</v>
      </c>
      <c r="AA52" s="238" t="str">
        <f>데이터입력!$AC$9</f>
        <v>일반사업[일반]</v>
      </c>
      <c r="AB52" s="236" t="str">
        <f>IFERROR(IF(데이터입력!$AE$2="추경",VLOOKUP($A52,보수일람표!$A:$M,4,FALSE),""),"")</f>
        <v/>
      </c>
      <c r="AC52" s="236" t="str">
        <f>IFERROR(IF(데이터입력!$AE$2="추경",VLOOKUP($A52,보수일람표!$A:$M,5,FALSE),""),"")</f>
        <v/>
      </c>
      <c r="AD52" s="236" t="str">
        <f>IFERROR(IF(데이터입력!$AE$2="추경",VLOOKUP($A52,보수일람표!$A:$M,6,FALSE),""),"")</f>
        <v/>
      </c>
      <c r="AE52" s="236" t="str">
        <f>IFERROR(IF(데이터입력!$AE$2="추경",VLOOKUP($A52,보수일람표!$A:$M,7,FALSE),""),"")</f>
        <v>간접</v>
      </c>
      <c r="AF52" s="236"/>
      <c r="AG52" s="237">
        <f>IFERROR(IF(데이터입력!$AE$2="추경",VLOOKUP($A52,보수일람표!$A:$M,9,FALSE),""),"")</f>
        <v>0</v>
      </c>
      <c r="AH52" s="237">
        <f>IFERROR(IF(데이터입력!$AE$2="추경",VLOOKUP($A52,보수일람표!$A:$M,10,FALSE),""),"")</f>
        <v>0</v>
      </c>
      <c r="AI52" s="237">
        <f>IFERROR(IF(데이터입력!$AE$2="추경",VLOOKUP($A52,보수일람표!$A:$M,11,FALSE),""),"")</f>
        <v>0</v>
      </c>
      <c r="AJ52" s="237">
        <f>IFERROR(IF(데이터입력!$AE$2="추경",VLOOKUP($A52,보수일람표!$A:$M,12,FALSE),""),"")</f>
        <v>0</v>
      </c>
      <c r="AK52" s="237">
        <f>IFERROR(IF(데이터입력!$AE$2="추경",VLOOKUP($A52,보수일람표!$A:$M,13,FALSE),""),"")</f>
        <v>0</v>
      </c>
    </row>
    <row r="53" spans="1:37" ht="24">
      <c r="A53" s="233">
        <v>51</v>
      </c>
      <c r="B53" s="719" t="str">
        <f>IFERROR(IF(F53="06",데이터입력!$AB$8,IF(F53="07",데이터입력!$AD$8,IF(F53="05",데이터입력!$AF$8,데이터입력!$AB$8))),데이터입력!$AB$8)</f>
        <v>00</v>
      </c>
      <c r="C53" s="720" t="str">
        <f>데이터입력!$AC$9</f>
        <v>일반사업[일반]</v>
      </c>
      <c r="D53" s="721" t="str">
        <f>IFERROR(IF(AND(데이터입력!$AE$2="추경",데이터입력!$AM$2=TRUE),VLOOKUP($A53,데이터입력!$A:$H,4,FALSE),""),"")</f>
        <v/>
      </c>
      <c r="E53" s="721" t="str">
        <f>IFERROR(IF(AND(데이터입력!$AE$2="추경",데이터입력!$AM$2=TRUE),VLOOKUP($A53,데이터입력!$A:$H,2,FALSE),""),"")</f>
        <v/>
      </c>
      <c r="F53" s="721" t="str">
        <f>IFERROR(IF(AND(데이터입력!$AE$2="추경",데이터입력!$AM$2=TRUE),VLOOKUP($A53,데이터입력!$A:$H,5,FALSE),""),"")</f>
        <v/>
      </c>
      <c r="G53" s="721" t="str">
        <f>IFERROR(IF(AND(데이터입력!$AE$2="추경",데이터입력!$AM$2=TRUE),VLOOKUP($A53,데이터입력!$A:$H,6,FALSE),""),"")</f>
        <v/>
      </c>
      <c r="H53" s="722" t="str">
        <f>IFERROR(IF(AND(데이터입력!$AE$2="추경",데이터입력!$AM$2=TRUE),VLOOKUP($A53,데이터입력!$A:$L,7,FALSE),""),"")</f>
        <v/>
      </c>
      <c r="I53" s="722" t="str">
        <f>IFERROR(IF(AND(데이터입력!$AE$2="추경",데이터입력!$AM$2=TRUE),VLOOKUP($A53,데이터입력!$A:$L,8,FALSE)+VLOOKUP($A53,데이터입력!$A:$L,9,FALSE)+VLOOKUP($A53,데이터입력!$A:$L,10,FALSE),""),"")</f>
        <v/>
      </c>
      <c r="J53" s="723" t="s">
        <v>136</v>
      </c>
      <c r="K53" s="723" t="s">
        <v>136</v>
      </c>
      <c r="L53" s="723" t="s">
        <v>136</v>
      </c>
      <c r="M53" s="715"/>
      <c r="N53" s="233">
        <v>251</v>
      </c>
      <c r="O53" s="727" t="str">
        <f>IFERROR(IF(S53="06",데이터입력!$AB$8,IF(S53="07",데이터입력!$AD$8,IF(S53="05",데이터입력!$AF$8,데이터입력!$AB$8))),데이터입력!$AB$8)</f>
        <v>00</v>
      </c>
      <c r="P53" s="728" t="str">
        <f>데이터입력!$AC$9</f>
        <v>일반사업[일반]</v>
      </c>
      <c r="Q53" s="729" t="str">
        <f>IFERROR(IF(데이터입력!$AE$2="추경",VLOOKUP($N53,데이터입력!$A:$H,4,FALSE),""),"")</f>
        <v/>
      </c>
      <c r="R53" s="729" t="str">
        <f>IFERROR(IF(데이터입력!$AE$2="추경",VLOOKUP($N53,데이터입력!$A:$H,2,FALSE),""),"")</f>
        <v/>
      </c>
      <c r="S53" s="729" t="str">
        <f>IFERROR(IF(데이터입력!$AE$2="추경",VLOOKUP($N53,데이터입력!$A:$H,5,FALSE),""),"")</f>
        <v/>
      </c>
      <c r="T53" s="729" t="str">
        <f>IFERROR(IF(데이터입력!$AE$2="추경",VLOOKUP($N53,데이터입력!$A:$H,6,FALSE),""),"")</f>
        <v/>
      </c>
      <c r="U53" s="730" t="str">
        <f>IFERROR(IF(데이터입력!$AE$2="추경",VLOOKUP($N53,데이터입력!$A:$L,8,FALSE)+VLOOKUP($N53,데이터입력!$A:$L,9,FALSE)+VLOOKUP($N53,데이터입력!$A:$L,10,FALSE),""),"")</f>
        <v/>
      </c>
      <c r="V53" s="731" t="s">
        <v>136</v>
      </c>
      <c r="W53" s="731" t="s">
        <v>136</v>
      </c>
      <c r="X53" s="731" t="s">
        <v>136</v>
      </c>
      <c r="Y53" s="712"/>
      <c r="Z53" s="235" t="str">
        <f>데이터입력!$AB$8</f>
        <v>00</v>
      </c>
      <c r="AA53" s="238" t="str">
        <f>데이터입력!$AC$9</f>
        <v>일반사업[일반]</v>
      </c>
      <c r="AB53" s="236" t="str">
        <f>IFERROR(IF(데이터입력!$AE$2="추경",VLOOKUP($A53,보수일람표!$A:$M,4,FALSE),""),"")</f>
        <v>신정숙</v>
      </c>
      <c r="AC53" s="236" t="str">
        <f>IFERROR(IF(데이터입력!$AE$2="추경",VLOOKUP($A53,보수일람표!$A:$M,5,FALSE),""),"")</f>
        <v>사회복지사</v>
      </c>
      <c r="AD53" s="236" t="str">
        <f>IFERROR(IF(데이터입력!$AE$2="추경",VLOOKUP($A53,보수일람표!$A:$M,6,FALSE),""),"")</f>
        <v>재가노인복지시설 주야간보호</v>
      </c>
      <c r="AE53" s="236" t="str">
        <f>IFERROR(IF(데이터입력!$AE$2="추경",VLOOKUP($A53,보수일람표!$A:$M,7,FALSE),""),"")</f>
        <v>직접</v>
      </c>
      <c r="AF53" s="236"/>
      <c r="AG53" s="237">
        <f>IFERROR(IF(데이터입력!$AE$2="추경",VLOOKUP($A53,보수일람표!$A:$M,9,FALSE),""),"")</f>
        <v>25200000</v>
      </c>
      <c r="AH53" s="237">
        <f>IFERROR(IF(데이터입력!$AE$2="추경",VLOOKUP($A53,보수일람표!$A:$M,10,FALSE),""),"")</f>
        <v>0</v>
      </c>
      <c r="AI53" s="237">
        <f>IFERROR(IF(데이터입력!$AE$2="추경",VLOOKUP($A53,보수일람표!$A:$M,11,FALSE),""),"")</f>
        <v>0</v>
      </c>
      <c r="AJ53" s="237">
        <f>IFERROR(IF(데이터입력!$AE$2="추경",VLOOKUP($A53,보수일람표!$A:$M,12,FALSE),""),"")</f>
        <v>2100000</v>
      </c>
      <c r="AK53" s="237">
        <f>IFERROR(IF(데이터입력!$AE$2="추경",VLOOKUP($A53,보수일람표!$A:$M,13,FALSE),""),"")</f>
        <v>2635730</v>
      </c>
    </row>
    <row r="54" spans="1:37" ht="24">
      <c r="A54" s="233">
        <v>52</v>
      </c>
      <c r="B54" s="719" t="str">
        <f>IFERROR(IF(F54="06",데이터입력!$AB$8,IF(F54="07",데이터입력!$AD$8,IF(F54="05",데이터입력!$AF$8,데이터입력!$AB$8))),데이터입력!$AB$8)</f>
        <v>00</v>
      </c>
      <c r="C54" s="720" t="str">
        <f>데이터입력!$AC$9</f>
        <v>일반사업[일반]</v>
      </c>
      <c r="D54" s="721" t="str">
        <f>IFERROR(IF(AND(데이터입력!$AE$2="추경",데이터입력!$AM$2=TRUE),VLOOKUP($A54,데이터입력!$A:$H,4,FALSE),""),"")</f>
        <v/>
      </c>
      <c r="E54" s="721" t="str">
        <f>IFERROR(IF(AND(데이터입력!$AE$2="추경",데이터입력!$AM$2=TRUE),VLOOKUP($A54,데이터입력!$A:$H,2,FALSE),""),"")</f>
        <v/>
      </c>
      <c r="F54" s="721" t="str">
        <f>IFERROR(IF(AND(데이터입력!$AE$2="추경",데이터입력!$AM$2=TRUE),VLOOKUP($A54,데이터입력!$A:$H,5,FALSE),""),"")</f>
        <v/>
      </c>
      <c r="G54" s="721" t="str">
        <f>IFERROR(IF(AND(데이터입력!$AE$2="추경",데이터입력!$AM$2=TRUE),VLOOKUP($A54,데이터입력!$A:$H,6,FALSE),""),"")</f>
        <v/>
      </c>
      <c r="H54" s="722" t="str">
        <f>IFERROR(IF(AND(데이터입력!$AE$2="추경",데이터입력!$AM$2=TRUE),VLOOKUP($A54,데이터입력!$A:$L,7,FALSE),""),"")</f>
        <v/>
      </c>
      <c r="I54" s="722" t="str">
        <f>IFERROR(IF(AND(데이터입력!$AE$2="추경",데이터입력!$AM$2=TRUE),VLOOKUP($A54,데이터입력!$A:$L,8,FALSE)+VLOOKUP($A54,데이터입력!$A:$L,9,FALSE)+VLOOKUP($A54,데이터입력!$A:$L,10,FALSE),""),"")</f>
        <v/>
      </c>
      <c r="J54" s="723" t="s">
        <v>136</v>
      </c>
      <c r="K54" s="723" t="s">
        <v>136</v>
      </c>
      <c r="L54" s="723" t="s">
        <v>136</v>
      </c>
      <c r="M54" s="715"/>
      <c r="N54" s="233">
        <v>252</v>
      </c>
      <c r="O54" s="727" t="str">
        <f>IFERROR(IF(S54="06",데이터입력!$AB$8,IF(S54="07",데이터입력!$AD$8,IF(S54="05",데이터입력!$AF$8,데이터입력!$AB$8))),데이터입력!$AB$8)</f>
        <v>00</v>
      </c>
      <c r="P54" s="728" t="str">
        <f>데이터입력!$AC$9</f>
        <v>일반사업[일반]</v>
      </c>
      <c r="Q54" s="729" t="str">
        <f>IFERROR(IF(데이터입력!$AE$2="추경",VLOOKUP($N54,데이터입력!$A:$H,4,FALSE),""),"")</f>
        <v/>
      </c>
      <c r="R54" s="729" t="str">
        <f>IFERROR(IF(데이터입력!$AE$2="추경",VLOOKUP($N54,데이터입력!$A:$H,2,FALSE),""),"")</f>
        <v/>
      </c>
      <c r="S54" s="729" t="str">
        <f>IFERROR(IF(데이터입력!$AE$2="추경",VLOOKUP($N54,데이터입력!$A:$H,5,FALSE),""),"")</f>
        <v/>
      </c>
      <c r="T54" s="729" t="str">
        <f>IFERROR(IF(데이터입력!$AE$2="추경",VLOOKUP($N54,데이터입력!$A:$H,6,FALSE),""),"")</f>
        <v/>
      </c>
      <c r="U54" s="730" t="str">
        <f>IFERROR(IF(데이터입력!$AE$2="추경",VLOOKUP($N54,데이터입력!$A:$L,8,FALSE)+VLOOKUP($N54,데이터입력!$A:$L,9,FALSE)+VLOOKUP($N54,데이터입력!$A:$L,10,FALSE),""),"")</f>
        <v/>
      </c>
      <c r="V54" s="731" t="s">
        <v>136</v>
      </c>
      <c r="W54" s="731" t="s">
        <v>136</v>
      </c>
      <c r="X54" s="731" t="s">
        <v>136</v>
      </c>
      <c r="Y54" s="711"/>
      <c r="Z54" s="235" t="str">
        <f>데이터입력!$AB$8</f>
        <v>00</v>
      </c>
      <c r="AA54" s="238" t="str">
        <f>데이터입력!$AC$9</f>
        <v>일반사업[일반]</v>
      </c>
      <c r="AB54" s="236" t="str">
        <f>IFERROR(IF(데이터입력!$AE$2="추경",VLOOKUP($A54,보수일람표!$A:$M,4,FALSE),""),"")</f>
        <v>최선옥</v>
      </c>
      <c r="AC54" s="236" t="str">
        <f>IFERROR(IF(데이터입력!$AE$2="추경",VLOOKUP($A54,보수일람표!$A:$M,5,FALSE),""),"")</f>
        <v>간호조무사</v>
      </c>
      <c r="AD54" s="236" t="str">
        <f>IFERROR(IF(데이터입력!$AE$2="추경",VLOOKUP($A54,보수일람표!$A:$M,6,FALSE),""),"")</f>
        <v>재가노인복지시설 주야간보호</v>
      </c>
      <c r="AE54" s="236" t="str">
        <f>IFERROR(IF(데이터입력!$AE$2="추경",VLOOKUP($A54,보수일람표!$A:$M,7,FALSE),""),"")</f>
        <v>직접</v>
      </c>
      <c r="AF54" s="236"/>
      <c r="AG54" s="237">
        <f>IFERROR(IF(데이터입력!$AE$2="추경",VLOOKUP($A54,보수일람표!$A:$M,9,FALSE),""),"")</f>
        <v>25200000</v>
      </c>
      <c r="AH54" s="237">
        <f>IFERROR(IF(데이터입력!$AE$2="추경",VLOOKUP($A54,보수일람표!$A:$M,10,FALSE),""),"")</f>
        <v>0</v>
      </c>
      <c r="AI54" s="237">
        <f>IFERROR(IF(데이터입력!$AE$2="추경",VLOOKUP($A54,보수일람표!$A:$M,11,FALSE),""),"")</f>
        <v>0</v>
      </c>
      <c r="AJ54" s="237">
        <f>IFERROR(IF(데이터입력!$AE$2="추경",VLOOKUP($A54,보수일람표!$A:$M,12,FALSE),""),"")</f>
        <v>2100000</v>
      </c>
      <c r="AK54" s="237">
        <f>IFERROR(IF(데이터입력!$AE$2="추경",VLOOKUP($A54,보수일람표!$A:$M,13,FALSE),""),"")</f>
        <v>2635680</v>
      </c>
    </row>
    <row r="55" spans="1:37" ht="24">
      <c r="A55" s="233">
        <v>53</v>
      </c>
      <c r="B55" s="719" t="str">
        <f>IFERROR(IF(F55="06",데이터입력!$AB$8,IF(F55="07",데이터입력!$AD$8,IF(F55="05",데이터입력!$AF$8,데이터입력!$AB$8))),데이터입력!$AB$8)</f>
        <v>00</v>
      </c>
      <c r="C55" s="720" t="str">
        <f>데이터입력!$AC$9</f>
        <v>일반사업[일반]</v>
      </c>
      <c r="D55" s="721" t="str">
        <f>IFERROR(IF(AND(데이터입력!$AE$2="추경",데이터입력!$AM$2=TRUE),VLOOKUP($A55,데이터입력!$A:$H,4,FALSE),""),"")</f>
        <v/>
      </c>
      <c r="E55" s="721" t="str">
        <f>IFERROR(IF(AND(데이터입력!$AE$2="추경",데이터입력!$AM$2=TRUE),VLOOKUP($A55,데이터입력!$A:$H,2,FALSE),""),"")</f>
        <v/>
      </c>
      <c r="F55" s="721" t="str">
        <f>IFERROR(IF(AND(데이터입력!$AE$2="추경",데이터입력!$AM$2=TRUE),VLOOKUP($A55,데이터입력!$A:$H,5,FALSE),""),"")</f>
        <v/>
      </c>
      <c r="G55" s="721" t="str">
        <f>IFERROR(IF(AND(데이터입력!$AE$2="추경",데이터입력!$AM$2=TRUE),VLOOKUP($A55,데이터입력!$A:$H,6,FALSE),""),"")</f>
        <v/>
      </c>
      <c r="H55" s="722" t="str">
        <f>IFERROR(IF(AND(데이터입력!$AE$2="추경",데이터입력!$AM$2=TRUE),VLOOKUP($A55,데이터입력!$A:$L,7,FALSE),""),"")</f>
        <v/>
      </c>
      <c r="I55" s="722" t="str">
        <f>IFERROR(IF(AND(데이터입력!$AE$2="추경",데이터입력!$AM$2=TRUE),VLOOKUP($A55,데이터입력!$A:$L,8,FALSE)+VLOOKUP($A55,데이터입력!$A:$L,9,FALSE)+VLOOKUP($A55,데이터입력!$A:$L,10,FALSE),""),"")</f>
        <v/>
      </c>
      <c r="J55" s="723" t="s">
        <v>136</v>
      </c>
      <c r="K55" s="723" t="s">
        <v>136</v>
      </c>
      <c r="L55" s="723" t="s">
        <v>136</v>
      </c>
      <c r="M55" s="715"/>
      <c r="N55" s="233">
        <v>253</v>
      </c>
      <c r="O55" s="727" t="str">
        <f>IFERROR(IF(S55="06",데이터입력!$AB$8,IF(S55="07",데이터입력!$AD$8,IF(S55="05",데이터입력!$AF$8,데이터입력!$AB$8))),데이터입력!$AB$8)</f>
        <v>00</v>
      </c>
      <c r="P55" s="728" t="str">
        <f>데이터입력!$AC$9</f>
        <v>일반사업[일반]</v>
      </c>
      <c r="Q55" s="729" t="str">
        <f>IFERROR(IF(데이터입력!$AE$2="추경",VLOOKUP($N55,데이터입력!$A:$H,4,FALSE),""),"")</f>
        <v/>
      </c>
      <c r="R55" s="729" t="str">
        <f>IFERROR(IF(데이터입력!$AE$2="추경",VLOOKUP($N55,데이터입력!$A:$H,2,FALSE),""),"")</f>
        <v/>
      </c>
      <c r="S55" s="729" t="str">
        <f>IFERROR(IF(데이터입력!$AE$2="추경",VLOOKUP($N55,데이터입력!$A:$H,5,FALSE),""),"")</f>
        <v/>
      </c>
      <c r="T55" s="729" t="str">
        <f>IFERROR(IF(데이터입력!$AE$2="추경",VLOOKUP($N55,데이터입력!$A:$H,6,FALSE),""),"")</f>
        <v/>
      </c>
      <c r="U55" s="730" t="str">
        <f>IFERROR(IF(데이터입력!$AE$2="추경",VLOOKUP($N55,데이터입력!$A:$L,8,FALSE)+VLOOKUP($N55,데이터입력!$A:$L,9,FALSE)+VLOOKUP($N55,데이터입력!$A:$L,10,FALSE),""),"")</f>
        <v/>
      </c>
      <c r="V55" s="731" t="s">
        <v>136</v>
      </c>
      <c r="W55" s="731" t="s">
        <v>136</v>
      </c>
      <c r="X55" s="731" t="s">
        <v>136</v>
      </c>
      <c r="Y55" s="712"/>
      <c r="Z55" s="235" t="str">
        <f>데이터입력!$AB$8</f>
        <v>00</v>
      </c>
      <c r="AA55" s="238" t="str">
        <f>데이터입력!$AC$9</f>
        <v>일반사업[일반]</v>
      </c>
      <c r="AB55" s="236" t="str">
        <f>IFERROR(IF(데이터입력!$AE$2="추경",VLOOKUP($A55,보수일람표!$A:$M,4,FALSE),""),"")</f>
        <v>강태술</v>
      </c>
      <c r="AC55" s="236" t="str">
        <f>IFERROR(IF(데이터입력!$AE$2="추경",VLOOKUP($A55,보수일람표!$A:$M,5,FALSE),""),"")</f>
        <v>요양보호사 1급</v>
      </c>
      <c r="AD55" s="236" t="str">
        <f>IFERROR(IF(데이터입력!$AE$2="추경",VLOOKUP($A55,보수일람표!$A:$M,6,FALSE),""),"")</f>
        <v>재가노인복지시설 주야간보호</v>
      </c>
      <c r="AE55" s="236" t="str">
        <f>IFERROR(IF(데이터입력!$AE$2="추경",VLOOKUP($A55,보수일람표!$A:$M,7,FALSE),""),"")</f>
        <v>직접</v>
      </c>
      <c r="AF55" s="236"/>
      <c r="AG55" s="237">
        <f>IFERROR(IF(데이터입력!$AE$2="추경",VLOOKUP($A55,보수일람표!$A:$M,9,FALSE),""),"")</f>
        <v>25512000</v>
      </c>
      <c r="AH55" s="237">
        <f>IFERROR(IF(데이터입력!$AE$2="추경",VLOOKUP($A55,보수일람표!$A:$M,10,FALSE),""),"")</f>
        <v>0</v>
      </c>
      <c r="AI55" s="237">
        <f>IFERROR(IF(데이터입력!$AE$2="추경",VLOOKUP($A55,보수일람표!$A:$M,11,FALSE),""),"")</f>
        <v>0</v>
      </c>
      <c r="AJ55" s="237">
        <f>IFERROR(IF(데이터입력!$AE$2="추경",VLOOKUP($A55,보수일람표!$A:$M,12,FALSE),""),"")</f>
        <v>2126004</v>
      </c>
      <c r="AK55" s="237">
        <f>IFERROR(IF(데이터입력!$AE$2="추경",VLOOKUP($A55,보수일람표!$A:$M,13,FALSE),""),"")</f>
        <v>2668320</v>
      </c>
    </row>
    <row r="56" spans="1:37" ht="24">
      <c r="A56" s="233">
        <v>54</v>
      </c>
      <c r="B56" s="719" t="str">
        <f>IFERROR(IF(F56="06",데이터입력!$AB$8,IF(F56="07",데이터입력!$AD$8,IF(F56="05",데이터입력!$AF$8,데이터입력!$AB$8))),데이터입력!$AB$8)</f>
        <v>00</v>
      </c>
      <c r="C56" s="720" t="str">
        <f>데이터입력!$AC$9</f>
        <v>일반사업[일반]</v>
      </c>
      <c r="D56" s="721" t="str">
        <f>IFERROR(IF(AND(데이터입력!$AE$2="추경",데이터입력!$AM$2=TRUE),VLOOKUP($A56,데이터입력!$A:$H,4,FALSE),""),"")</f>
        <v/>
      </c>
      <c r="E56" s="721" t="str">
        <f>IFERROR(IF(AND(데이터입력!$AE$2="추경",데이터입력!$AM$2=TRUE),VLOOKUP($A56,데이터입력!$A:$H,2,FALSE),""),"")</f>
        <v/>
      </c>
      <c r="F56" s="721" t="str">
        <f>IFERROR(IF(AND(데이터입력!$AE$2="추경",데이터입력!$AM$2=TRUE),VLOOKUP($A56,데이터입력!$A:$H,5,FALSE),""),"")</f>
        <v/>
      </c>
      <c r="G56" s="721" t="str">
        <f>IFERROR(IF(AND(데이터입력!$AE$2="추경",데이터입력!$AM$2=TRUE),VLOOKUP($A56,데이터입력!$A:$H,6,FALSE),""),"")</f>
        <v/>
      </c>
      <c r="H56" s="722" t="str">
        <f>IFERROR(IF(AND(데이터입력!$AE$2="추경",데이터입력!$AM$2=TRUE),VLOOKUP($A56,데이터입력!$A:$L,7,FALSE),""),"")</f>
        <v/>
      </c>
      <c r="I56" s="722" t="str">
        <f>IFERROR(IF(AND(데이터입력!$AE$2="추경",데이터입력!$AM$2=TRUE),VLOOKUP($A56,데이터입력!$A:$L,8,FALSE)+VLOOKUP($A56,데이터입력!$A:$L,9,FALSE)+VLOOKUP($A56,데이터입력!$A:$L,10,FALSE),""),"")</f>
        <v/>
      </c>
      <c r="J56" s="723" t="s">
        <v>136</v>
      </c>
      <c r="K56" s="723" t="s">
        <v>136</v>
      </c>
      <c r="L56" s="723" t="s">
        <v>136</v>
      </c>
      <c r="M56" s="715"/>
      <c r="N56" s="233">
        <v>254</v>
      </c>
      <c r="O56" s="727" t="str">
        <f>IFERROR(IF(S56="06",데이터입력!$AB$8,IF(S56="07",데이터입력!$AD$8,IF(S56="05",데이터입력!$AF$8,데이터입력!$AB$8))),데이터입력!$AB$8)</f>
        <v>00</v>
      </c>
      <c r="P56" s="728" t="str">
        <f>데이터입력!$AC$9</f>
        <v>일반사업[일반]</v>
      </c>
      <c r="Q56" s="729" t="str">
        <f>IFERROR(IF(데이터입력!$AE$2="추경",VLOOKUP($N56,데이터입력!$A:$H,4,FALSE),""),"")</f>
        <v/>
      </c>
      <c r="R56" s="729" t="str">
        <f>IFERROR(IF(데이터입력!$AE$2="추경",VLOOKUP($N56,데이터입력!$A:$H,2,FALSE),""),"")</f>
        <v/>
      </c>
      <c r="S56" s="729" t="str">
        <f>IFERROR(IF(데이터입력!$AE$2="추경",VLOOKUP($N56,데이터입력!$A:$H,5,FALSE),""),"")</f>
        <v/>
      </c>
      <c r="T56" s="729" t="str">
        <f>IFERROR(IF(데이터입력!$AE$2="추경",VLOOKUP($N56,데이터입력!$A:$H,6,FALSE),""),"")</f>
        <v/>
      </c>
      <c r="U56" s="730" t="str">
        <f>IFERROR(IF(데이터입력!$AE$2="추경",VLOOKUP($N56,데이터입력!$A:$L,8,FALSE)+VLOOKUP($N56,데이터입력!$A:$L,9,FALSE)+VLOOKUP($N56,데이터입력!$A:$L,10,FALSE),""),"")</f>
        <v/>
      </c>
      <c r="V56" s="731" t="s">
        <v>136</v>
      </c>
      <c r="W56" s="731" t="s">
        <v>136</v>
      </c>
      <c r="X56" s="731" t="s">
        <v>136</v>
      </c>
      <c r="Y56" s="711"/>
      <c r="Z56" s="235" t="str">
        <f>데이터입력!$AB$8</f>
        <v>00</v>
      </c>
      <c r="AA56" s="238" t="str">
        <f>데이터입력!$AC$9</f>
        <v>일반사업[일반]</v>
      </c>
      <c r="AB56" s="236" t="str">
        <f>IFERROR(IF(데이터입력!$AE$2="추경",VLOOKUP($A56,보수일람표!$A:$M,4,FALSE),""),"")</f>
        <v>김수연</v>
      </c>
      <c r="AC56" s="236" t="str">
        <f>IFERROR(IF(데이터입력!$AE$2="추경",VLOOKUP($A56,보수일람표!$A:$M,5,FALSE),""),"")</f>
        <v>요양보호사 1급</v>
      </c>
      <c r="AD56" s="236" t="str">
        <f>IFERROR(IF(데이터입력!$AE$2="추경",VLOOKUP($A56,보수일람표!$A:$M,6,FALSE),""),"")</f>
        <v>재가노인복지시설 주야간보호</v>
      </c>
      <c r="AE56" s="236" t="str">
        <f>IFERROR(IF(데이터입력!$AE$2="추경",VLOOKUP($A56,보수일람표!$A:$M,7,FALSE),""),"")</f>
        <v>직접</v>
      </c>
      <c r="AF56" s="236"/>
      <c r="AG56" s="237">
        <f>IFERROR(IF(데이터입력!$AE$2="추경",VLOOKUP($A56,보수일람표!$A:$M,9,FALSE),""),"")</f>
        <v>25512000</v>
      </c>
      <c r="AH56" s="237">
        <f>IFERROR(IF(데이터입력!$AE$2="추경",VLOOKUP($A56,보수일람표!$A:$M,10,FALSE),""),"")</f>
        <v>0</v>
      </c>
      <c r="AI56" s="237">
        <f>IFERROR(IF(데이터입력!$AE$2="추경",VLOOKUP($A56,보수일람표!$A:$M,11,FALSE),""),"")</f>
        <v>0</v>
      </c>
      <c r="AJ56" s="237">
        <f>IFERROR(IF(데이터입력!$AE$2="추경",VLOOKUP($A56,보수일람표!$A:$M,12,FALSE),""),"")</f>
        <v>2126004</v>
      </c>
      <c r="AK56" s="237">
        <f>IFERROR(IF(데이터입력!$AE$2="추경",VLOOKUP($A56,보수일람표!$A:$M,13,FALSE),""),"")</f>
        <v>2668320</v>
      </c>
    </row>
    <row r="57" spans="1:37" ht="24">
      <c r="A57" s="233">
        <v>55</v>
      </c>
      <c r="B57" s="719" t="str">
        <f>IFERROR(IF(F57="06",데이터입력!$AB$8,IF(F57="07",데이터입력!$AD$8,IF(F57="05",데이터입력!$AF$8,데이터입력!$AB$8))),데이터입력!$AB$8)</f>
        <v>00</v>
      </c>
      <c r="C57" s="720" t="str">
        <f>데이터입력!$AC$9</f>
        <v>일반사업[일반]</v>
      </c>
      <c r="D57" s="721" t="str">
        <f>IFERROR(IF(AND(데이터입력!$AE$2="추경",데이터입력!$AM$2=TRUE),VLOOKUP($A57,데이터입력!$A:$H,4,FALSE),""),"")</f>
        <v/>
      </c>
      <c r="E57" s="721" t="str">
        <f>IFERROR(IF(AND(데이터입력!$AE$2="추경",데이터입력!$AM$2=TRUE),VLOOKUP($A57,데이터입력!$A:$H,2,FALSE),""),"")</f>
        <v/>
      </c>
      <c r="F57" s="721" t="str">
        <f>IFERROR(IF(AND(데이터입력!$AE$2="추경",데이터입력!$AM$2=TRUE),VLOOKUP($A57,데이터입력!$A:$H,5,FALSE),""),"")</f>
        <v/>
      </c>
      <c r="G57" s="721" t="str">
        <f>IFERROR(IF(AND(데이터입력!$AE$2="추경",데이터입력!$AM$2=TRUE),VLOOKUP($A57,데이터입력!$A:$H,6,FALSE),""),"")</f>
        <v/>
      </c>
      <c r="H57" s="722" t="str">
        <f>IFERROR(IF(AND(데이터입력!$AE$2="추경",데이터입력!$AM$2=TRUE),VLOOKUP($A57,데이터입력!$A:$L,7,FALSE),""),"")</f>
        <v/>
      </c>
      <c r="I57" s="722" t="str">
        <f>IFERROR(IF(AND(데이터입력!$AE$2="추경",데이터입력!$AM$2=TRUE),VLOOKUP($A57,데이터입력!$A:$L,8,FALSE)+VLOOKUP($A57,데이터입력!$A:$L,9,FALSE)+VLOOKUP($A57,데이터입력!$A:$L,10,FALSE),""),"")</f>
        <v/>
      </c>
      <c r="J57" s="723" t="s">
        <v>136</v>
      </c>
      <c r="K57" s="723" t="s">
        <v>136</v>
      </c>
      <c r="L57" s="723" t="s">
        <v>136</v>
      </c>
      <c r="M57" s="715"/>
      <c r="N57" s="233">
        <v>255</v>
      </c>
      <c r="O57" s="727" t="str">
        <f>IFERROR(IF(S57="06",데이터입력!$AB$8,IF(S57="07",데이터입력!$AD$8,IF(S57="05",데이터입력!$AF$8,데이터입력!$AB$8))),데이터입력!$AB$8)</f>
        <v>00</v>
      </c>
      <c r="P57" s="728" t="str">
        <f>데이터입력!$AC$9</f>
        <v>일반사업[일반]</v>
      </c>
      <c r="Q57" s="729" t="str">
        <f>IFERROR(IF(데이터입력!$AE$2="추경",VLOOKUP($N57,데이터입력!$A:$H,4,FALSE),""),"")</f>
        <v/>
      </c>
      <c r="R57" s="729" t="str">
        <f>IFERROR(IF(데이터입력!$AE$2="추경",VLOOKUP($N57,데이터입력!$A:$H,2,FALSE),""),"")</f>
        <v/>
      </c>
      <c r="S57" s="729" t="str">
        <f>IFERROR(IF(데이터입력!$AE$2="추경",VLOOKUP($N57,데이터입력!$A:$H,5,FALSE),""),"")</f>
        <v/>
      </c>
      <c r="T57" s="729" t="str">
        <f>IFERROR(IF(데이터입력!$AE$2="추경",VLOOKUP($N57,데이터입력!$A:$H,6,FALSE),""),"")</f>
        <v/>
      </c>
      <c r="U57" s="730" t="str">
        <f>IFERROR(IF(데이터입력!$AE$2="추경",VLOOKUP($N57,데이터입력!$A:$L,8,FALSE)+VLOOKUP($N57,데이터입력!$A:$L,9,FALSE)+VLOOKUP($N57,데이터입력!$A:$L,10,FALSE),""),"")</f>
        <v/>
      </c>
      <c r="V57" s="731" t="s">
        <v>136</v>
      </c>
      <c r="W57" s="731" t="s">
        <v>136</v>
      </c>
      <c r="X57" s="731" t="s">
        <v>136</v>
      </c>
      <c r="Y57" s="712"/>
      <c r="Z57" s="235" t="str">
        <f>데이터입력!$AB$8</f>
        <v>00</v>
      </c>
      <c r="AA57" s="238" t="str">
        <f>데이터입력!$AC$9</f>
        <v>일반사업[일반]</v>
      </c>
      <c r="AB57" s="236" t="str">
        <f>IFERROR(IF(데이터입력!$AE$2="추경",VLOOKUP($A57,보수일람표!$A:$M,4,FALSE),""),"")</f>
        <v>신규2</v>
      </c>
      <c r="AC57" s="236" t="str">
        <f>IFERROR(IF(데이터입력!$AE$2="추경",VLOOKUP($A57,보수일람표!$A:$M,5,FALSE),""),"")</f>
        <v>요양보호사 1급</v>
      </c>
      <c r="AD57" s="236" t="str">
        <f>IFERROR(IF(데이터입력!$AE$2="추경",VLOOKUP($A57,보수일람표!$A:$M,6,FALSE),""),"")</f>
        <v>재가노인복지시설 주야간보호</v>
      </c>
      <c r="AE57" s="236" t="str">
        <f>IFERROR(IF(데이터입력!$AE$2="추경",VLOOKUP($A57,보수일람표!$A:$M,7,FALSE),""),"")</f>
        <v>직접</v>
      </c>
      <c r="AF57" s="236"/>
      <c r="AG57" s="237">
        <f>IFERROR(IF(데이터입력!$AE$2="추경",VLOOKUP($A57,보수일람표!$A:$M,9,FALSE),""),"")</f>
        <v>25512000</v>
      </c>
      <c r="AH57" s="237">
        <f>IFERROR(IF(데이터입력!$AE$2="추경",VLOOKUP($A57,보수일람표!$A:$M,10,FALSE),""),"")</f>
        <v>0</v>
      </c>
      <c r="AI57" s="237">
        <f>IFERROR(IF(데이터입력!$AE$2="추경",VLOOKUP($A57,보수일람표!$A:$M,11,FALSE),""),"")</f>
        <v>0</v>
      </c>
      <c r="AJ57" s="237">
        <f>IFERROR(IF(데이터입력!$AE$2="추경",VLOOKUP($A57,보수일람표!$A:$M,12,FALSE),""),"")</f>
        <v>2126004</v>
      </c>
      <c r="AK57" s="237">
        <f>IFERROR(IF(데이터입력!$AE$2="추경",VLOOKUP($A57,보수일람표!$A:$M,13,FALSE),""),"")</f>
        <v>2668320</v>
      </c>
    </row>
    <row r="58" spans="1:37">
      <c r="A58" s="233">
        <v>56</v>
      </c>
      <c r="B58" s="719" t="str">
        <f>IFERROR(IF(F58="06",데이터입력!$AB$8,IF(F58="07",데이터입력!$AD$8,IF(F58="05",데이터입력!$AF$8,데이터입력!$AB$8))),데이터입력!$AB$8)</f>
        <v>00</v>
      </c>
      <c r="C58" s="720" t="str">
        <f>데이터입력!$AC$9</f>
        <v>일반사업[일반]</v>
      </c>
      <c r="D58" s="721" t="str">
        <f>IFERROR(IF(AND(데이터입력!$AE$2="추경",데이터입력!$AM$2=TRUE),VLOOKUP($A58,데이터입력!$A:$H,4,FALSE),""),"")</f>
        <v/>
      </c>
      <c r="E58" s="721" t="str">
        <f>IFERROR(IF(AND(데이터입력!$AE$2="추경",데이터입력!$AM$2=TRUE),VLOOKUP($A58,데이터입력!$A:$H,2,FALSE),""),"")</f>
        <v/>
      </c>
      <c r="F58" s="721" t="str">
        <f>IFERROR(IF(AND(데이터입력!$AE$2="추경",데이터입력!$AM$2=TRUE),VLOOKUP($A58,데이터입력!$A:$H,5,FALSE),""),"")</f>
        <v/>
      </c>
      <c r="G58" s="721" t="str">
        <f>IFERROR(IF(AND(데이터입력!$AE$2="추경",데이터입력!$AM$2=TRUE),VLOOKUP($A58,데이터입력!$A:$H,6,FALSE),""),"")</f>
        <v/>
      </c>
      <c r="H58" s="722" t="str">
        <f>IFERROR(IF(AND(데이터입력!$AE$2="추경",데이터입력!$AM$2=TRUE),VLOOKUP($A58,데이터입력!$A:$L,7,FALSE),""),"")</f>
        <v/>
      </c>
      <c r="I58" s="722" t="str">
        <f>IFERROR(IF(AND(데이터입력!$AE$2="추경",데이터입력!$AM$2=TRUE),VLOOKUP($A58,데이터입력!$A:$L,8,FALSE)+VLOOKUP($A58,데이터입력!$A:$L,9,FALSE)+VLOOKUP($A58,데이터입력!$A:$L,10,FALSE),""),"")</f>
        <v/>
      </c>
      <c r="J58" s="723" t="s">
        <v>136</v>
      </c>
      <c r="K58" s="723" t="s">
        <v>136</v>
      </c>
      <c r="L58" s="723" t="s">
        <v>136</v>
      </c>
      <c r="M58" s="715"/>
      <c r="N58" s="233">
        <v>256</v>
      </c>
      <c r="O58" s="727" t="str">
        <f>IFERROR(IF(S58="06",데이터입력!$AB$8,IF(S58="07",데이터입력!$AD$8,IF(S58="05",데이터입력!$AF$8,데이터입력!$AB$8))),데이터입력!$AB$8)</f>
        <v>00</v>
      </c>
      <c r="P58" s="728" t="str">
        <f>데이터입력!$AC$9</f>
        <v>일반사업[일반]</v>
      </c>
      <c r="Q58" s="729" t="str">
        <f>IFERROR(IF(데이터입력!$AE$2="추경",VLOOKUP($N58,데이터입력!$A:$H,4,FALSE),""),"")</f>
        <v/>
      </c>
      <c r="R58" s="729" t="str">
        <f>IFERROR(IF(데이터입력!$AE$2="추경",VLOOKUP($N58,데이터입력!$A:$H,2,FALSE),""),"")</f>
        <v/>
      </c>
      <c r="S58" s="729" t="str">
        <f>IFERROR(IF(데이터입력!$AE$2="추경",VLOOKUP($N58,데이터입력!$A:$H,5,FALSE),""),"")</f>
        <v/>
      </c>
      <c r="T58" s="729" t="str">
        <f>IFERROR(IF(데이터입력!$AE$2="추경",VLOOKUP($N58,데이터입력!$A:$H,6,FALSE),""),"")</f>
        <v/>
      </c>
      <c r="U58" s="730" t="str">
        <f>IFERROR(IF(데이터입력!$AE$2="추경",VLOOKUP($N58,데이터입력!$A:$L,8,FALSE)+VLOOKUP($N58,데이터입력!$A:$L,9,FALSE)+VLOOKUP($N58,데이터입력!$A:$L,10,FALSE),""),"")</f>
        <v/>
      </c>
      <c r="V58" s="731" t="s">
        <v>136</v>
      </c>
      <c r="W58" s="731" t="s">
        <v>136</v>
      </c>
      <c r="X58" s="731" t="s">
        <v>136</v>
      </c>
      <c r="Y58" s="711"/>
      <c r="Z58" s="235" t="str">
        <f>데이터입력!$AB$8</f>
        <v>00</v>
      </c>
      <c r="AA58" s="238" t="str">
        <f>데이터입력!$AC$9</f>
        <v>일반사업[일반]</v>
      </c>
      <c r="AB58" s="236" t="str">
        <f>IFERROR(IF(데이터입력!$AE$2="추경",VLOOKUP($A58,보수일람표!$A:$M,4,FALSE),""),"")</f>
        <v/>
      </c>
      <c r="AC58" s="236" t="str">
        <f>IFERROR(IF(데이터입력!$AE$2="추경",VLOOKUP($A58,보수일람표!$A:$M,5,FALSE),""),"")</f>
        <v/>
      </c>
      <c r="AD58" s="236" t="str">
        <f>IFERROR(IF(데이터입력!$AE$2="추경",VLOOKUP($A58,보수일람표!$A:$M,6,FALSE),""),"")</f>
        <v/>
      </c>
      <c r="AE58" s="236" t="str">
        <f>IFERROR(IF(데이터입력!$AE$2="추경",VLOOKUP($A58,보수일람표!$A:$M,7,FALSE),""),"")</f>
        <v>직접</v>
      </c>
      <c r="AF58" s="236"/>
      <c r="AG58" s="237">
        <f>IFERROR(IF(데이터입력!$AE$2="추경",VLOOKUP($A58,보수일람표!$A:$M,9,FALSE),""),"")</f>
        <v>0</v>
      </c>
      <c r="AH58" s="237">
        <f>IFERROR(IF(데이터입력!$AE$2="추경",VLOOKUP($A58,보수일람표!$A:$M,10,FALSE),""),"")</f>
        <v>0</v>
      </c>
      <c r="AI58" s="237">
        <f>IFERROR(IF(데이터입력!$AE$2="추경",VLOOKUP($A58,보수일람표!$A:$M,11,FALSE),""),"")</f>
        <v>0</v>
      </c>
      <c r="AJ58" s="237">
        <f>IFERROR(IF(데이터입력!$AE$2="추경",VLOOKUP($A58,보수일람표!$A:$M,12,FALSE),""),"")</f>
        <v>0</v>
      </c>
      <c r="AK58" s="237">
        <f>IFERROR(IF(데이터입력!$AE$2="추경",VLOOKUP($A58,보수일람표!$A:$M,13,FALSE),""),"")</f>
        <v>0</v>
      </c>
    </row>
    <row r="59" spans="1:37">
      <c r="A59" s="233">
        <v>57</v>
      </c>
      <c r="B59" s="719" t="str">
        <f>IFERROR(IF(F59="06",데이터입력!$AB$8,IF(F59="07",데이터입력!$AD$8,IF(F59="05",데이터입력!$AF$8,데이터입력!$AB$8))),데이터입력!$AB$8)</f>
        <v>00</v>
      </c>
      <c r="C59" s="720" t="str">
        <f>데이터입력!$AC$9</f>
        <v>일반사업[일반]</v>
      </c>
      <c r="D59" s="721" t="str">
        <f>IFERROR(IF(AND(데이터입력!$AE$2="추경",데이터입력!$AM$2=TRUE),VLOOKUP($A59,데이터입력!$A:$H,4,FALSE),""),"")</f>
        <v/>
      </c>
      <c r="E59" s="721" t="str">
        <f>IFERROR(IF(AND(데이터입력!$AE$2="추경",데이터입력!$AM$2=TRUE),VLOOKUP($A59,데이터입력!$A:$H,2,FALSE),""),"")</f>
        <v/>
      </c>
      <c r="F59" s="721" t="str">
        <f>IFERROR(IF(AND(데이터입력!$AE$2="추경",데이터입력!$AM$2=TRUE),VLOOKUP($A59,데이터입력!$A:$H,5,FALSE),""),"")</f>
        <v/>
      </c>
      <c r="G59" s="721" t="str">
        <f>IFERROR(IF(AND(데이터입력!$AE$2="추경",데이터입력!$AM$2=TRUE),VLOOKUP($A59,데이터입력!$A:$H,6,FALSE),""),"")</f>
        <v/>
      </c>
      <c r="H59" s="722" t="str">
        <f>IFERROR(IF(AND(데이터입력!$AE$2="추경",데이터입력!$AM$2=TRUE),VLOOKUP($A59,데이터입력!$A:$L,7,FALSE),""),"")</f>
        <v/>
      </c>
      <c r="I59" s="722" t="str">
        <f>IFERROR(IF(AND(데이터입력!$AE$2="추경",데이터입력!$AM$2=TRUE),VLOOKUP($A59,데이터입력!$A:$L,8,FALSE)+VLOOKUP($A59,데이터입력!$A:$L,9,FALSE)+VLOOKUP($A59,데이터입력!$A:$L,10,FALSE),""),"")</f>
        <v/>
      </c>
      <c r="J59" s="723" t="s">
        <v>136</v>
      </c>
      <c r="K59" s="723" t="s">
        <v>136</v>
      </c>
      <c r="L59" s="723" t="s">
        <v>136</v>
      </c>
      <c r="M59" s="715"/>
      <c r="N59" s="233">
        <v>257</v>
      </c>
      <c r="O59" s="727" t="str">
        <f>IFERROR(IF(S59="06",데이터입력!$AB$8,IF(S59="07",데이터입력!$AD$8,IF(S59="05",데이터입력!$AF$8,데이터입력!$AB$8))),데이터입력!$AB$8)</f>
        <v>00</v>
      </c>
      <c r="P59" s="728" t="str">
        <f>데이터입력!$AC$9</f>
        <v>일반사업[일반]</v>
      </c>
      <c r="Q59" s="729" t="str">
        <f>IFERROR(IF(데이터입력!$AE$2="추경",VLOOKUP($N59,데이터입력!$A:$H,4,FALSE),""),"")</f>
        <v/>
      </c>
      <c r="R59" s="729" t="str">
        <f>IFERROR(IF(데이터입력!$AE$2="추경",VLOOKUP($N59,데이터입력!$A:$H,2,FALSE),""),"")</f>
        <v/>
      </c>
      <c r="S59" s="729" t="str">
        <f>IFERROR(IF(데이터입력!$AE$2="추경",VLOOKUP($N59,데이터입력!$A:$H,5,FALSE),""),"")</f>
        <v/>
      </c>
      <c r="T59" s="729" t="str">
        <f>IFERROR(IF(데이터입력!$AE$2="추경",VLOOKUP($N59,데이터입력!$A:$H,6,FALSE),""),"")</f>
        <v/>
      </c>
      <c r="U59" s="730" t="str">
        <f>IFERROR(IF(데이터입력!$AE$2="추경",VLOOKUP($N59,데이터입력!$A:$L,8,FALSE)+VLOOKUP($N59,데이터입력!$A:$L,9,FALSE)+VLOOKUP($N59,데이터입력!$A:$L,10,FALSE),""),"")</f>
        <v/>
      </c>
      <c r="V59" s="731" t="s">
        <v>136</v>
      </c>
      <c r="W59" s="731" t="s">
        <v>136</v>
      </c>
      <c r="X59" s="731" t="s">
        <v>136</v>
      </c>
      <c r="Y59" s="712"/>
      <c r="Z59" s="235" t="str">
        <f>데이터입력!$AB$8</f>
        <v>00</v>
      </c>
      <c r="AA59" s="238" t="str">
        <f>데이터입력!$AC$9</f>
        <v>일반사업[일반]</v>
      </c>
      <c r="AB59" s="236" t="str">
        <f>IFERROR(IF(데이터입력!$AE$2="추경",VLOOKUP($A59,보수일람표!$A:$M,4,FALSE),""),"")</f>
        <v/>
      </c>
      <c r="AC59" s="236" t="str">
        <f>IFERROR(IF(데이터입력!$AE$2="추경",VLOOKUP($A59,보수일람표!$A:$M,5,FALSE),""),"")</f>
        <v/>
      </c>
      <c r="AD59" s="236" t="str">
        <f>IFERROR(IF(데이터입력!$AE$2="추경",VLOOKUP($A59,보수일람표!$A:$M,6,FALSE),""),"")</f>
        <v/>
      </c>
      <c r="AE59" s="236" t="str">
        <f>IFERROR(IF(데이터입력!$AE$2="추경",VLOOKUP($A59,보수일람표!$A:$M,7,FALSE),""),"")</f>
        <v>직접</v>
      </c>
      <c r="AF59" s="236"/>
      <c r="AG59" s="237">
        <f>IFERROR(IF(데이터입력!$AE$2="추경",VLOOKUP($A59,보수일람표!$A:$M,9,FALSE),""),"")</f>
        <v>0</v>
      </c>
      <c r="AH59" s="237">
        <f>IFERROR(IF(데이터입력!$AE$2="추경",VLOOKUP($A59,보수일람표!$A:$M,10,FALSE),""),"")</f>
        <v>0</v>
      </c>
      <c r="AI59" s="237">
        <f>IFERROR(IF(데이터입력!$AE$2="추경",VLOOKUP($A59,보수일람표!$A:$M,11,FALSE),""),"")</f>
        <v>0</v>
      </c>
      <c r="AJ59" s="237">
        <f>IFERROR(IF(데이터입력!$AE$2="추경",VLOOKUP($A59,보수일람표!$A:$M,12,FALSE),""),"")</f>
        <v>0</v>
      </c>
      <c r="AK59" s="237">
        <f>IFERROR(IF(데이터입력!$AE$2="추경",VLOOKUP($A59,보수일람표!$A:$M,13,FALSE),""),"")</f>
        <v>0</v>
      </c>
    </row>
    <row r="60" spans="1:37">
      <c r="A60" s="233">
        <v>58</v>
      </c>
      <c r="B60" s="719" t="str">
        <f>IFERROR(IF(F60="06",데이터입력!$AB$8,IF(F60="07",데이터입력!$AD$8,IF(F60="05",데이터입력!$AF$8,데이터입력!$AB$8))),데이터입력!$AB$8)</f>
        <v>00</v>
      </c>
      <c r="C60" s="720" t="str">
        <f>데이터입력!$AC$9</f>
        <v>일반사업[일반]</v>
      </c>
      <c r="D60" s="721" t="str">
        <f>IFERROR(IF(AND(데이터입력!$AE$2="추경",데이터입력!$AM$2=TRUE),VLOOKUP($A60,데이터입력!$A:$H,4,FALSE),""),"")</f>
        <v/>
      </c>
      <c r="E60" s="721" t="str">
        <f>IFERROR(IF(AND(데이터입력!$AE$2="추경",데이터입력!$AM$2=TRUE),VLOOKUP($A60,데이터입력!$A:$H,2,FALSE),""),"")</f>
        <v/>
      </c>
      <c r="F60" s="721" t="str">
        <f>IFERROR(IF(AND(데이터입력!$AE$2="추경",데이터입력!$AM$2=TRUE),VLOOKUP($A60,데이터입력!$A:$H,5,FALSE),""),"")</f>
        <v/>
      </c>
      <c r="G60" s="721" t="str">
        <f>IFERROR(IF(AND(데이터입력!$AE$2="추경",데이터입력!$AM$2=TRUE),VLOOKUP($A60,데이터입력!$A:$H,6,FALSE),""),"")</f>
        <v/>
      </c>
      <c r="H60" s="722" t="str">
        <f>IFERROR(IF(AND(데이터입력!$AE$2="추경",데이터입력!$AM$2=TRUE),VLOOKUP($A60,데이터입력!$A:$L,7,FALSE),""),"")</f>
        <v/>
      </c>
      <c r="I60" s="722" t="str">
        <f>IFERROR(IF(AND(데이터입력!$AE$2="추경",데이터입력!$AM$2=TRUE),VLOOKUP($A60,데이터입력!$A:$L,8,FALSE)+VLOOKUP($A60,데이터입력!$A:$L,9,FALSE)+VLOOKUP($A60,데이터입력!$A:$L,10,FALSE),""),"")</f>
        <v/>
      </c>
      <c r="J60" s="723" t="s">
        <v>136</v>
      </c>
      <c r="K60" s="723" t="s">
        <v>136</v>
      </c>
      <c r="L60" s="723" t="s">
        <v>136</v>
      </c>
      <c r="M60" s="715"/>
      <c r="N60" s="233">
        <v>258</v>
      </c>
      <c r="O60" s="727" t="str">
        <f>IFERROR(IF(S60="06",데이터입력!$AB$8,IF(S60="07",데이터입력!$AD$8,IF(S60="05",데이터입력!$AF$8,데이터입력!$AB$8))),데이터입력!$AB$8)</f>
        <v>00</v>
      </c>
      <c r="P60" s="728" t="str">
        <f>데이터입력!$AC$9</f>
        <v>일반사업[일반]</v>
      </c>
      <c r="Q60" s="729" t="str">
        <f>IFERROR(IF(데이터입력!$AE$2="추경",VLOOKUP($N60,데이터입력!$A:$H,4,FALSE),""),"")</f>
        <v/>
      </c>
      <c r="R60" s="729" t="str">
        <f>IFERROR(IF(데이터입력!$AE$2="추경",VLOOKUP($N60,데이터입력!$A:$H,2,FALSE),""),"")</f>
        <v/>
      </c>
      <c r="S60" s="729" t="str">
        <f>IFERROR(IF(데이터입력!$AE$2="추경",VLOOKUP($N60,데이터입력!$A:$H,5,FALSE),""),"")</f>
        <v/>
      </c>
      <c r="T60" s="729" t="str">
        <f>IFERROR(IF(데이터입력!$AE$2="추경",VLOOKUP($N60,데이터입력!$A:$H,6,FALSE),""),"")</f>
        <v/>
      </c>
      <c r="U60" s="730" t="str">
        <f>IFERROR(IF(데이터입력!$AE$2="추경",VLOOKUP($N60,데이터입력!$A:$L,8,FALSE)+VLOOKUP($N60,데이터입력!$A:$L,9,FALSE)+VLOOKUP($N60,데이터입력!$A:$L,10,FALSE),""),"")</f>
        <v/>
      </c>
      <c r="V60" s="731" t="s">
        <v>136</v>
      </c>
      <c r="W60" s="731" t="s">
        <v>136</v>
      </c>
      <c r="X60" s="731" t="s">
        <v>136</v>
      </c>
      <c r="Y60" s="711"/>
      <c r="Z60" s="235" t="str">
        <f>데이터입력!$AB$8</f>
        <v>00</v>
      </c>
      <c r="AA60" s="238" t="str">
        <f>데이터입력!$AC$9</f>
        <v>일반사업[일반]</v>
      </c>
      <c r="AB60" s="236" t="str">
        <f>IFERROR(IF(데이터입력!$AE$2="추경",VLOOKUP($A60,보수일람표!$A:$M,4,FALSE),""),"")</f>
        <v/>
      </c>
      <c r="AC60" s="236" t="str">
        <f>IFERROR(IF(데이터입력!$AE$2="추경",VLOOKUP($A60,보수일람표!$A:$M,5,FALSE),""),"")</f>
        <v/>
      </c>
      <c r="AD60" s="236" t="str">
        <f>IFERROR(IF(데이터입력!$AE$2="추경",VLOOKUP($A60,보수일람표!$A:$M,6,FALSE),""),"")</f>
        <v/>
      </c>
      <c r="AE60" s="236" t="str">
        <f>IFERROR(IF(데이터입력!$AE$2="추경",VLOOKUP($A60,보수일람표!$A:$M,7,FALSE),""),"")</f>
        <v>직접</v>
      </c>
      <c r="AF60" s="236"/>
      <c r="AG60" s="237">
        <f>IFERROR(IF(데이터입력!$AE$2="추경",VLOOKUP($A60,보수일람표!$A:$M,9,FALSE),""),"")</f>
        <v>0</v>
      </c>
      <c r="AH60" s="237">
        <f>IFERROR(IF(데이터입력!$AE$2="추경",VLOOKUP($A60,보수일람표!$A:$M,10,FALSE),""),"")</f>
        <v>0</v>
      </c>
      <c r="AI60" s="237">
        <f>IFERROR(IF(데이터입력!$AE$2="추경",VLOOKUP($A60,보수일람표!$A:$M,11,FALSE),""),"")</f>
        <v>0</v>
      </c>
      <c r="AJ60" s="237">
        <f>IFERROR(IF(데이터입력!$AE$2="추경",VLOOKUP($A60,보수일람표!$A:$M,12,FALSE),""),"")</f>
        <v>0</v>
      </c>
      <c r="AK60" s="237">
        <f>IFERROR(IF(데이터입력!$AE$2="추경",VLOOKUP($A60,보수일람표!$A:$M,13,FALSE),""),"")</f>
        <v>0</v>
      </c>
    </row>
    <row r="61" spans="1:37">
      <c r="A61" s="233">
        <v>59</v>
      </c>
      <c r="B61" s="719" t="str">
        <f>IFERROR(IF(F61="06",데이터입력!$AB$8,IF(F61="07",데이터입력!$AD$8,IF(F61="05",데이터입력!$AF$8,데이터입력!$AB$8))),데이터입력!$AB$8)</f>
        <v>00</v>
      </c>
      <c r="C61" s="720" t="str">
        <f>데이터입력!$AC$9</f>
        <v>일반사업[일반]</v>
      </c>
      <c r="D61" s="721" t="str">
        <f>IFERROR(IF(AND(데이터입력!$AE$2="추경",데이터입력!$AM$2=TRUE),VLOOKUP($A61,데이터입력!$A:$H,4,FALSE),""),"")</f>
        <v/>
      </c>
      <c r="E61" s="721" t="str">
        <f>IFERROR(IF(AND(데이터입력!$AE$2="추경",데이터입력!$AM$2=TRUE),VLOOKUP($A61,데이터입력!$A:$H,2,FALSE),""),"")</f>
        <v/>
      </c>
      <c r="F61" s="721" t="str">
        <f>IFERROR(IF(AND(데이터입력!$AE$2="추경",데이터입력!$AM$2=TRUE),VLOOKUP($A61,데이터입력!$A:$H,5,FALSE),""),"")</f>
        <v/>
      </c>
      <c r="G61" s="721" t="str">
        <f>IFERROR(IF(AND(데이터입력!$AE$2="추경",데이터입력!$AM$2=TRUE),VLOOKUP($A61,데이터입력!$A:$H,6,FALSE),""),"")</f>
        <v/>
      </c>
      <c r="H61" s="722" t="str">
        <f>IFERROR(IF(AND(데이터입력!$AE$2="추경",데이터입력!$AM$2=TRUE),VLOOKUP($A61,데이터입력!$A:$L,7,FALSE),""),"")</f>
        <v/>
      </c>
      <c r="I61" s="722" t="str">
        <f>IFERROR(IF(AND(데이터입력!$AE$2="추경",데이터입력!$AM$2=TRUE),VLOOKUP($A61,데이터입력!$A:$L,8,FALSE)+VLOOKUP($A61,데이터입력!$A:$L,9,FALSE)+VLOOKUP($A61,데이터입력!$A:$L,10,FALSE),""),"")</f>
        <v/>
      </c>
      <c r="J61" s="723" t="s">
        <v>136</v>
      </c>
      <c r="K61" s="723" t="s">
        <v>136</v>
      </c>
      <c r="L61" s="723" t="s">
        <v>136</v>
      </c>
      <c r="M61" s="715"/>
      <c r="N61" s="233">
        <v>259</v>
      </c>
      <c r="O61" s="727" t="str">
        <f>IFERROR(IF(S61="06",데이터입력!$AB$8,IF(S61="07",데이터입력!$AD$8,IF(S61="05",데이터입력!$AF$8,데이터입력!$AB$8))),데이터입력!$AB$8)</f>
        <v>00</v>
      </c>
      <c r="P61" s="728" t="str">
        <f>데이터입력!$AC$9</f>
        <v>일반사업[일반]</v>
      </c>
      <c r="Q61" s="729" t="str">
        <f>IFERROR(IF(데이터입력!$AE$2="추경",VLOOKUP($N61,데이터입력!$A:$H,4,FALSE),""),"")</f>
        <v/>
      </c>
      <c r="R61" s="729" t="str">
        <f>IFERROR(IF(데이터입력!$AE$2="추경",VLOOKUP($N61,데이터입력!$A:$H,2,FALSE),""),"")</f>
        <v/>
      </c>
      <c r="S61" s="729" t="str">
        <f>IFERROR(IF(데이터입력!$AE$2="추경",VLOOKUP($N61,데이터입력!$A:$H,5,FALSE),""),"")</f>
        <v/>
      </c>
      <c r="T61" s="729" t="str">
        <f>IFERROR(IF(데이터입력!$AE$2="추경",VLOOKUP($N61,데이터입력!$A:$H,6,FALSE),""),"")</f>
        <v/>
      </c>
      <c r="U61" s="730" t="str">
        <f>IFERROR(IF(데이터입력!$AE$2="추경",VLOOKUP($N61,데이터입력!$A:$L,8,FALSE)+VLOOKUP($N61,데이터입력!$A:$L,9,FALSE)+VLOOKUP($N61,데이터입력!$A:$L,10,FALSE),""),"")</f>
        <v/>
      </c>
      <c r="V61" s="731" t="s">
        <v>136</v>
      </c>
      <c r="W61" s="731" t="s">
        <v>136</v>
      </c>
      <c r="X61" s="731" t="s">
        <v>136</v>
      </c>
      <c r="Y61" s="712"/>
      <c r="Z61" s="235" t="str">
        <f>데이터입력!$AB$8</f>
        <v>00</v>
      </c>
      <c r="AA61" s="238" t="str">
        <f>데이터입력!$AC$9</f>
        <v>일반사업[일반]</v>
      </c>
      <c r="AB61" s="236" t="str">
        <f>IFERROR(IF(데이터입력!$AE$2="추경",VLOOKUP($A61,보수일람표!$A:$M,4,FALSE),""),"")</f>
        <v/>
      </c>
      <c r="AC61" s="236" t="str">
        <f>IFERROR(IF(데이터입력!$AE$2="추경",VLOOKUP($A61,보수일람표!$A:$M,5,FALSE),""),"")</f>
        <v/>
      </c>
      <c r="AD61" s="236" t="str">
        <f>IFERROR(IF(데이터입력!$AE$2="추경",VLOOKUP($A61,보수일람표!$A:$M,6,FALSE),""),"")</f>
        <v/>
      </c>
      <c r="AE61" s="236" t="str">
        <f>IFERROR(IF(데이터입력!$AE$2="추경",VLOOKUP($A61,보수일람표!$A:$M,7,FALSE),""),"")</f>
        <v>직접</v>
      </c>
      <c r="AF61" s="236"/>
      <c r="AG61" s="237">
        <f>IFERROR(IF(데이터입력!$AE$2="추경",VLOOKUP($A61,보수일람표!$A:$M,9,FALSE),""),"")</f>
        <v>0</v>
      </c>
      <c r="AH61" s="237">
        <f>IFERROR(IF(데이터입력!$AE$2="추경",VLOOKUP($A61,보수일람표!$A:$M,10,FALSE),""),"")</f>
        <v>0</v>
      </c>
      <c r="AI61" s="237">
        <f>IFERROR(IF(데이터입력!$AE$2="추경",VLOOKUP($A61,보수일람표!$A:$M,11,FALSE),""),"")</f>
        <v>0</v>
      </c>
      <c r="AJ61" s="237">
        <f>IFERROR(IF(데이터입력!$AE$2="추경",VLOOKUP($A61,보수일람표!$A:$M,12,FALSE),""),"")</f>
        <v>0</v>
      </c>
      <c r="AK61" s="237">
        <f>IFERROR(IF(데이터입력!$AE$2="추경",VLOOKUP($A61,보수일람표!$A:$M,13,FALSE),""),"")</f>
        <v>0</v>
      </c>
    </row>
    <row r="62" spans="1:37">
      <c r="A62" s="233">
        <v>60</v>
      </c>
      <c r="B62" s="719" t="str">
        <f>IFERROR(IF(F62="06",데이터입력!$AB$8,IF(F62="07",데이터입력!$AD$8,IF(F62="05",데이터입력!$AF$8,데이터입력!$AB$8))),데이터입력!$AB$8)</f>
        <v>00</v>
      </c>
      <c r="C62" s="720" t="str">
        <f>데이터입력!$AC$9</f>
        <v>일반사업[일반]</v>
      </c>
      <c r="D62" s="721" t="str">
        <f>IFERROR(IF(AND(데이터입력!$AE$2="추경",데이터입력!$AM$2=TRUE),VLOOKUP($A62,데이터입력!$A:$H,4,FALSE),""),"")</f>
        <v/>
      </c>
      <c r="E62" s="721" t="str">
        <f>IFERROR(IF(AND(데이터입력!$AE$2="추경",데이터입력!$AM$2=TRUE),VLOOKUP($A62,데이터입력!$A:$H,2,FALSE),""),"")</f>
        <v/>
      </c>
      <c r="F62" s="721" t="str">
        <f>IFERROR(IF(AND(데이터입력!$AE$2="추경",데이터입력!$AM$2=TRUE),VLOOKUP($A62,데이터입력!$A:$H,5,FALSE),""),"")</f>
        <v/>
      </c>
      <c r="G62" s="721" t="str">
        <f>IFERROR(IF(AND(데이터입력!$AE$2="추경",데이터입력!$AM$2=TRUE),VLOOKUP($A62,데이터입력!$A:$H,6,FALSE),""),"")</f>
        <v/>
      </c>
      <c r="H62" s="722" t="str">
        <f>IFERROR(IF(AND(데이터입력!$AE$2="추경",데이터입력!$AM$2=TRUE),VLOOKUP($A62,데이터입력!$A:$L,7,FALSE),""),"")</f>
        <v/>
      </c>
      <c r="I62" s="722" t="str">
        <f>IFERROR(IF(AND(데이터입력!$AE$2="추경",데이터입력!$AM$2=TRUE),VLOOKUP($A62,데이터입력!$A:$L,8,FALSE)+VLOOKUP($A62,데이터입력!$A:$L,9,FALSE)+VLOOKUP($A62,데이터입력!$A:$L,10,FALSE),""),"")</f>
        <v/>
      </c>
      <c r="J62" s="723" t="s">
        <v>136</v>
      </c>
      <c r="K62" s="723" t="s">
        <v>136</v>
      </c>
      <c r="L62" s="723" t="s">
        <v>136</v>
      </c>
      <c r="M62" s="715"/>
      <c r="N62" s="233">
        <v>260</v>
      </c>
      <c r="O62" s="727" t="str">
        <f>IFERROR(IF(S62="06",데이터입력!$AB$8,IF(S62="07",데이터입력!$AD$8,IF(S62="05",데이터입력!$AF$8,데이터입력!$AB$8))),데이터입력!$AB$8)</f>
        <v>00</v>
      </c>
      <c r="P62" s="728" t="str">
        <f>데이터입력!$AC$9</f>
        <v>일반사업[일반]</v>
      </c>
      <c r="Q62" s="729" t="str">
        <f>IFERROR(IF(데이터입력!$AE$2="추경",VLOOKUP($N62,데이터입력!$A:$H,4,FALSE),""),"")</f>
        <v/>
      </c>
      <c r="R62" s="729" t="str">
        <f>IFERROR(IF(데이터입력!$AE$2="추경",VLOOKUP($N62,데이터입력!$A:$H,2,FALSE),""),"")</f>
        <v/>
      </c>
      <c r="S62" s="729" t="str">
        <f>IFERROR(IF(데이터입력!$AE$2="추경",VLOOKUP($N62,데이터입력!$A:$H,5,FALSE),""),"")</f>
        <v/>
      </c>
      <c r="T62" s="729" t="str">
        <f>IFERROR(IF(데이터입력!$AE$2="추경",VLOOKUP($N62,데이터입력!$A:$H,6,FALSE),""),"")</f>
        <v/>
      </c>
      <c r="U62" s="730" t="str">
        <f>IFERROR(IF(데이터입력!$AE$2="추경",VLOOKUP($N62,데이터입력!$A:$L,8,FALSE)+VLOOKUP($N62,데이터입력!$A:$L,9,FALSE)+VLOOKUP($N62,데이터입력!$A:$L,10,FALSE),""),"")</f>
        <v/>
      </c>
      <c r="V62" s="731" t="s">
        <v>136</v>
      </c>
      <c r="W62" s="731" t="s">
        <v>136</v>
      </c>
      <c r="X62" s="731" t="s">
        <v>136</v>
      </c>
      <c r="Y62" s="711"/>
      <c r="Z62" s="235" t="str">
        <f>데이터입력!$AB$8</f>
        <v>00</v>
      </c>
      <c r="AA62" s="238" t="str">
        <f>데이터입력!$AC$9</f>
        <v>일반사업[일반]</v>
      </c>
      <c r="AB62" s="236" t="str">
        <f>IFERROR(IF(데이터입력!$AE$2="추경",VLOOKUP($A62,보수일람표!$A:$M,4,FALSE),""),"")</f>
        <v/>
      </c>
      <c r="AC62" s="236" t="str">
        <f>IFERROR(IF(데이터입력!$AE$2="추경",VLOOKUP($A62,보수일람표!$A:$M,5,FALSE),""),"")</f>
        <v/>
      </c>
      <c r="AD62" s="236" t="str">
        <f>IFERROR(IF(데이터입력!$AE$2="추경",VLOOKUP($A62,보수일람표!$A:$M,6,FALSE),""),"")</f>
        <v/>
      </c>
      <c r="AE62" s="236" t="str">
        <f>IFERROR(IF(데이터입력!$AE$2="추경",VLOOKUP($A62,보수일람표!$A:$M,7,FALSE),""),"")</f>
        <v>직접</v>
      </c>
      <c r="AF62" s="236"/>
      <c r="AG62" s="237">
        <f>IFERROR(IF(데이터입력!$AE$2="추경",VLOOKUP($A62,보수일람표!$A:$M,9,FALSE),""),"")</f>
        <v>0</v>
      </c>
      <c r="AH62" s="237">
        <f>IFERROR(IF(데이터입력!$AE$2="추경",VLOOKUP($A62,보수일람표!$A:$M,10,FALSE),""),"")</f>
        <v>0</v>
      </c>
      <c r="AI62" s="237">
        <f>IFERROR(IF(데이터입력!$AE$2="추경",VLOOKUP($A62,보수일람표!$A:$M,11,FALSE),""),"")</f>
        <v>0</v>
      </c>
      <c r="AJ62" s="237">
        <f>IFERROR(IF(데이터입력!$AE$2="추경",VLOOKUP($A62,보수일람표!$A:$M,12,FALSE),""),"")</f>
        <v>0</v>
      </c>
      <c r="AK62" s="237">
        <f>IFERROR(IF(데이터입력!$AE$2="추경",VLOOKUP($A62,보수일람표!$A:$M,13,FALSE),""),"")</f>
        <v>0</v>
      </c>
    </row>
    <row r="63" spans="1:37">
      <c r="A63" s="233">
        <v>61</v>
      </c>
      <c r="B63" s="719" t="str">
        <f>IFERROR(IF(F63="06",데이터입력!$AB$8,IF(F63="07",데이터입력!$AD$8,IF(F63="05",데이터입력!$AF$8,데이터입력!$AB$8))),데이터입력!$AB$8)</f>
        <v>00</v>
      </c>
      <c r="C63" s="720" t="str">
        <f>데이터입력!$AC$9</f>
        <v>일반사업[일반]</v>
      </c>
      <c r="D63" s="721" t="str">
        <f>IFERROR(IF(AND(데이터입력!$AE$2="추경",데이터입력!$AM$2=TRUE),VLOOKUP($A63,데이터입력!$A:$H,4,FALSE),""),"")</f>
        <v/>
      </c>
      <c r="E63" s="721" t="str">
        <f>IFERROR(IF(AND(데이터입력!$AE$2="추경",데이터입력!$AM$2=TRUE),VLOOKUP($A63,데이터입력!$A:$H,2,FALSE),""),"")</f>
        <v/>
      </c>
      <c r="F63" s="721" t="str">
        <f>IFERROR(IF(AND(데이터입력!$AE$2="추경",데이터입력!$AM$2=TRUE),VLOOKUP($A63,데이터입력!$A:$H,5,FALSE),""),"")</f>
        <v/>
      </c>
      <c r="G63" s="721" t="str">
        <f>IFERROR(IF(AND(데이터입력!$AE$2="추경",데이터입력!$AM$2=TRUE),VLOOKUP($A63,데이터입력!$A:$H,6,FALSE),""),"")</f>
        <v/>
      </c>
      <c r="H63" s="722" t="str">
        <f>IFERROR(IF(AND(데이터입력!$AE$2="추경",데이터입력!$AM$2=TRUE),VLOOKUP($A63,데이터입력!$A:$L,7,FALSE),""),"")</f>
        <v/>
      </c>
      <c r="I63" s="722" t="str">
        <f>IFERROR(IF(AND(데이터입력!$AE$2="추경",데이터입력!$AM$2=TRUE),VLOOKUP($A63,데이터입력!$A:$L,8,FALSE)+VLOOKUP($A63,데이터입력!$A:$L,9,FALSE)+VLOOKUP($A63,데이터입력!$A:$L,10,FALSE),""),"")</f>
        <v/>
      </c>
      <c r="J63" s="723" t="s">
        <v>136</v>
      </c>
      <c r="K63" s="723" t="s">
        <v>136</v>
      </c>
      <c r="L63" s="723" t="s">
        <v>136</v>
      </c>
      <c r="M63" s="715"/>
      <c r="N63" s="233">
        <v>261</v>
      </c>
      <c r="O63" s="727" t="str">
        <f>IFERROR(IF(S63="06",데이터입력!$AB$8,IF(S63="07",데이터입력!$AD$8,IF(S63="05",데이터입력!$AF$8,데이터입력!$AB$8))),데이터입력!$AB$8)</f>
        <v>00</v>
      </c>
      <c r="P63" s="728" t="str">
        <f>데이터입력!$AC$9</f>
        <v>일반사업[일반]</v>
      </c>
      <c r="Q63" s="729" t="str">
        <f>IFERROR(IF(데이터입력!$AE$2="추경",VLOOKUP($N63,데이터입력!$A:$H,4,FALSE),""),"")</f>
        <v/>
      </c>
      <c r="R63" s="729" t="str">
        <f>IFERROR(IF(데이터입력!$AE$2="추경",VLOOKUP($N63,데이터입력!$A:$H,2,FALSE),""),"")</f>
        <v/>
      </c>
      <c r="S63" s="729" t="str">
        <f>IFERROR(IF(데이터입력!$AE$2="추경",VLOOKUP($N63,데이터입력!$A:$H,5,FALSE),""),"")</f>
        <v/>
      </c>
      <c r="T63" s="729" t="str">
        <f>IFERROR(IF(데이터입력!$AE$2="추경",VLOOKUP($N63,데이터입력!$A:$H,6,FALSE),""),"")</f>
        <v/>
      </c>
      <c r="U63" s="730" t="str">
        <f>IFERROR(IF(데이터입력!$AE$2="추경",VLOOKUP($N63,데이터입력!$A:$L,8,FALSE)+VLOOKUP($N63,데이터입력!$A:$L,9,FALSE)+VLOOKUP($N63,데이터입력!$A:$L,10,FALSE),""),"")</f>
        <v/>
      </c>
      <c r="V63" s="731" t="s">
        <v>136</v>
      </c>
      <c r="W63" s="731" t="s">
        <v>136</v>
      </c>
      <c r="X63" s="731" t="s">
        <v>136</v>
      </c>
      <c r="Y63" s="712"/>
      <c r="Z63" s="235" t="str">
        <f>데이터입력!$AB$8</f>
        <v>00</v>
      </c>
      <c r="AA63" s="238" t="str">
        <f>데이터입력!$AC$9</f>
        <v>일반사업[일반]</v>
      </c>
      <c r="AB63" s="236" t="str">
        <f>IFERROR(IF(데이터입력!$AE$2="추경",VLOOKUP($A63,보수일람표!$A:$M,4,FALSE),""),"")</f>
        <v/>
      </c>
      <c r="AC63" s="236" t="str">
        <f>IFERROR(IF(데이터입력!$AE$2="추경",VLOOKUP($A63,보수일람표!$A:$M,5,FALSE),""),"")</f>
        <v/>
      </c>
      <c r="AD63" s="236" t="str">
        <f>IFERROR(IF(데이터입력!$AE$2="추경",VLOOKUP($A63,보수일람표!$A:$M,6,FALSE),""),"")</f>
        <v/>
      </c>
      <c r="AE63" s="236" t="str">
        <f>IFERROR(IF(데이터입력!$AE$2="추경",VLOOKUP($A63,보수일람표!$A:$M,7,FALSE),""),"")</f>
        <v>직접</v>
      </c>
      <c r="AF63" s="236"/>
      <c r="AG63" s="237">
        <f>IFERROR(IF(데이터입력!$AE$2="추경",VLOOKUP($A63,보수일람표!$A:$M,9,FALSE),""),"")</f>
        <v>0</v>
      </c>
      <c r="AH63" s="237">
        <f>IFERROR(IF(데이터입력!$AE$2="추경",VLOOKUP($A63,보수일람표!$A:$M,10,FALSE),""),"")</f>
        <v>0</v>
      </c>
      <c r="AI63" s="237">
        <f>IFERROR(IF(데이터입력!$AE$2="추경",VLOOKUP($A63,보수일람표!$A:$M,11,FALSE),""),"")</f>
        <v>0</v>
      </c>
      <c r="AJ63" s="237">
        <f>IFERROR(IF(데이터입력!$AE$2="추경",VLOOKUP($A63,보수일람표!$A:$M,12,FALSE),""),"")</f>
        <v>0</v>
      </c>
      <c r="AK63" s="237">
        <f>IFERROR(IF(데이터입력!$AE$2="추경",VLOOKUP($A63,보수일람표!$A:$M,13,FALSE),""),"")</f>
        <v>0</v>
      </c>
    </row>
    <row r="64" spans="1:37">
      <c r="A64" s="233">
        <v>62</v>
      </c>
      <c r="B64" s="719" t="str">
        <f>IFERROR(IF(F64="06",데이터입력!$AB$8,IF(F64="07",데이터입력!$AD$8,IF(F64="05",데이터입력!$AF$8,데이터입력!$AB$8))),데이터입력!$AB$8)</f>
        <v>00</v>
      </c>
      <c r="C64" s="720" t="str">
        <f>데이터입력!$AC$9</f>
        <v>일반사업[일반]</v>
      </c>
      <c r="D64" s="721" t="str">
        <f>IFERROR(IF(AND(데이터입력!$AE$2="추경",데이터입력!$AM$2=TRUE),VLOOKUP($A64,데이터입력!$A:$H,4,FALSE),""),"")</f>
        <v/>
      </c>
      <c r="E64" s="721" t="str">
        <f>IFERROR(IF(AND(데이터입력!$AE$2="추경",데이터입력!$AM$2=TRUE),VLOOKUP($A64,데이터입력!$A:$H,2,FALSE),""),"")</f>
        <v/>
      </c>
      <c r="F64" s="721" t="str">
        <f>IFERROR(IF(AND(데이터입력!$AE$2="추경",데이터입력!$AM$2=TRUE),VLOOKUP($A64,데이터입력!$A:$H,5,FALSE),""),"")</f>
        <v/>
      </c>
      <c r="G64" s="721" t="str">
        <f>IFERROR(IF(AND(데이터입력!$AE$2="추경",데이터입력!$AM$2=TRUE),VLOOKUP($A64,데이터입력!$A:$H,6,FALSE),""),"")</f>
        <v/>
      </c>
      <c r="H64" s="722" t="str">
        <f>IFERROR(IF(AND(데이터입력!$AE$2="추경",데이터입력!$AM$2=TRUE),VLOOKUP($A64,데이터입력!$A:$L,7,FALSE),""),"")</f>
        <v/>
      </c>
      <c r="I64" s="722" t="str">
        <f>IFERROR(IF(AND(데이터입력!$AE$2="추경",데이터입력!$AM$2=TRUE),VLOOKUP($A64,데이터입력!$A:$L,8,FALSE)+VLOOKUP($A64,데이터입력!$A:$L,9,FALSE)+VLOOKUP($A64,데이터입력!$A:$L,10,FALSE),""),"")</f>
        <v/>
      </c>
      <c r="J64" s="723" t="s">
        <v>136</v>
      </c>
      <c r="K64" s="723" t="s">
        <v>136</v>
      </c>
      <c r="L64" s="723" t="s">
        <v>136</v>
      </c>
      <c r="M64" s="715"/>
      <c r="N64" s="233">
        <v>262</v>
      </c>
      <c r="O64" s="727" t="str">
        <f>IFERROR(IF(S64="06",데이터입력!$AB$8,IF(S64="07",데이터입력!$AD$8,IF(S64="05",데이터입력!$AF$8,데이터입력!$AB$8))),데이터입력!$AB$8)</f>
        <v>00</v>
      </c>
      <c r="P64" s="728" t="str">
        <f>데이터입력!$AC$9</f>
        <v>일반사업[일반]</v>
      </c>
      <c r="Q64" s="729" t="str">
        <f>IFERROR(IF(데이터입력!$AE$2="추경",VLOOKUP($N64,데이터입력!$A:$H,4,FALSE),""),"")</f>
        <v/>
      </c>
      <c r="R64" s="729" t="str">
        <f>IFERROR(IF(데이터입력!$AE$2="추경",VLOOKUP($N64,데이터입력!$A:$H,2,FALSE),""),"")</f>
        <v/>
      </c>
      <c r="S64" s="729" t="str">
        <f>IFERROR(IF(데이터입력!$AE$2="추경",VLOOKUP($N64,데이터입력!$A:$H,5,FALSE),""),"")</f>
        <v/>
      </c>
      <c r="T64" s="729" t="str">
        <f>IFERROR(IF(데이터입력!$AE$2="추경",VLOOKUP($N64,데이터입력!$A:$H,6,FALSE),""),"")</f>
        <v/>
      </c>
      <c r="U64" s="730" t="str">
        <f>IFERROR(IF(데이터입력!$AE$2="추경",VLOOKUP($N64,데이터입력!$A:$L,8,FALSE)+VLOOKUP($N64,데이터입력!$A:$L,9,FALSE)+VLOOKUP($N64,데이터입력!$A:$L,10,FALSE),""),"")</f>
        <v/>
      </c>
      <c r="V64" s="731" t="s">
        <v>136</v>
      </c>
      <c r="W64" s="731" t="s">
        <v>136</v>
      </c>
      <c r="X64" s="731" t="s">
        <v>136</v>
      </c>
      <c r="Y64" s="711"/>
      <c r="Z64" s="235" t="str">
        <f>데이터입력!$AB$8</f>
        <v>00</v>
      </c>
      <c r="AA64" s="238" t="str">
        <f>데이터입력!$AC$9</f>
        <v>일반사업[일반]</v>
      </c>
      <c r="AB64" s="236" t="str">
        <f>IFERROR(IF(데이터입력!$AE$2="추경",VLOOKUP($A64,보수일람표!$A:$M,4,FALSE),""),"")</f>
        <v/>
      </c>
      <c r="AC64" s="236" t="str">
        <f>IFERROR(IF(데이터입력!$AE$2="추경",VLOOKUP($A64,보수일람표!$A:$M,5,FALSE),""),"")</f>
        <v/>
      </c>
      <c r="AD64" s="236" t="str">
        <f>IFERROR(IF(데이터입력!$AE$2="추경",VLOOKUP($A64,보수일람표!$A:$M,6,FALSE),""),"")</f>
        <v/>
      </c>
      <c r="AE64" s="236" t="str">
        <f>IFERROR(IF(데이터입력!$AE$2="추경",VLOOKUP($A64,보수일람표!$A:$M,7,FALSE),""),"")</f>
        <v>직접</v>
      </c>
      <c r="AF64" s="236"/>
      <c r="AG64" s="237">
        <f>IFERROR(IF(데이터입력!$AE$2="추경",VLOOKUP($A64,보수일람표!$A:$M,9,FALSE),""),"")</f>
        <v>0</v>
      </c>
      <c r="AH64" s="237">
        <f>IFERROR(IF(데이터입력!$AE$2="추경",VLOOKUP($A64,보수일람표!$A:$M,10,FALSE),""),"")</f>
        <v>0</v>
      </c>
      <c r="AI64" s="237">
        <f>IFERROR(IF(데이터입력!$AE$2="추경",VLOOKUP($A64,보수일람표!$A:$M,11,FALSE),""),"")</f>
        <v>0</v>
      </c>
      <c r="AJ64" s="237">
        <f>IFERROR(IF(데이터입력!$AE$2="추경",VLOOKUP($A64,보수일람표!$A:$M,12,FALSE),""),"")</f>
        <v>0</v>
      </c>
      <c r="AK64" s="237">
        <f>IFERROR(IF(데이터입력!$AE$2="추경",VLOOKUP($A64,보수일람표!$A:$M,13,FALSE),""),"")</f>
        <v>0</v>
      </c>
    </row>
    <row r="65" spans="1:37">
      <c r="A65" s="233">
        <v>63</v>
      </c>
      <c r="B65" s="719" t="str">
        <f>IFERROR(IF(F65="06",데이터입력!$AB$8,IF(F65="07",데이터입력!$AD$8,IF(F65="05",데이터입력!$AF$8,데이터입력!$AB$8))),데이터입력!$AB$8)</f>
        <v>00</v>
      </c>
      <c r="C65" s="720" t="str">
        <f>데이터입력!$AC$9</f>
        <v>일반사업[일반]</v>
      </c>
      <c r="D65" s="721" t="str">
        <f>IFERROR(IF(AND(데이터입력!$AE$2="추경",데이터입력!$AM$2=TRUE),VLOOKUP($A65,데이터입력!$A:$H,4,FALSE),""),"")</f>
        <v/>
      </c>
      <c r="E65" s="721" t="str">
        <f>IFERROR(IF(AND(데이터입력!$AE$2="추경",데이터입력!$AM$2=TRUE),VLOOKUP($A65,데이터입력!$A:$H,2,FALSE),""),"")</f>
        <v/>
      </c>
      <c r="F65" s="721" t="str">
        <f>IFERROR(IF(AND(데이터입력!$AE$2="추경",데이터입력!$AM$2=TRUE),VLOOKUP($A65,데이터입력!$A:$H,5,FALSE),""),"")</f>
        <v/>
      </c>
      <c r="G65" s="721" t="str">
        <f>IFERROR(IF(AND(데이터입력!$AE$2="추경",데이터입력!$AM$2=TRUE),VLOOKUP($A65,데이터입력!$A:$H,6,FALSE),""),"")</f>
        <v/>
      </c>
      <c r="H65" s="722" t="str">
        <f>IFERROR(IF(AND(데이터입력!$AE$2="추경",데이터입력!$AM$2=TRUE),VLOOKUP($A65,데이터입력!$A:$L,7,FALSE),""),"")</f>
        <v/>
      </c>
      <c r="I65" s="722" t="str">
        <f>IFERROR(IF(AND(데이터입력!$AE$2="추경",데이터입력!$AM$2=TRUE),VLOOKUP($A65,데이터입력!$A:$L,8,FALSE)+VLOOKUP($A65,데이터입력!$A:$L,9,FALSE)+VLOOKUP($A65,데이터입력!$A:$L,10,FALSE),""),"")</f>
        <v/>
      </c>
      <c r="J65" s="723" t="s">
        <v>136</v>
      </c>
      <c r="K65" s="723" t="s">
        <v>136</v>
      </c>
      <c r="L65" s="723" t="s">
        <v>136</v>
      </c>
      <c r="M65" s="715"/>
      <c r="N65" s="233">
        <v>263</v>
      </c>
      <c r="O65" s="727" t="str">
        <f>IFERROR(IF(S65="06",데이터입력!$AB$8,IF(S65="07",데이터입력!$AD$8,IF(S65="05",데이터입력!$AF$8,데이터입력!$AB$8))),데이터입력!$AB$8)</f>
        <v>00</v>
      </c>
      <c r="P65" s="728" t="str">
        <f>데이터입력!$AC$9</f>
        <v>일반사업[일반]</v>
      </c>
      <c r="Q65" s="729" t="str">
        <f>IFERROR(IF(데이터입력!$AE$2="추경",VLOOKUP($N65,데이터입력!$A:$H,4,FALSE),""),"")</f>
        <v/>
      </c>
      <c r="R65" s="729" t="str">
        <f>IFERROR(IF(데이터입력!$AE$2="추경",VLOOKUP($N65,데이터입력!$A:$H,2,FALSE),""),"")</f>
        <v/>
      </c>
      <c r="S65" s="729" t="str">
        <f>IFERROR(IF(데이터입력!$AE$2="추경",VLOOKUP($N65,데이터입력!$A:$H,5,FALSE),""),"")</f>
        <v/>
      </c>
      <c r="T65" s="729" t="str">
        <f>IFERROR(IF(데이터입력!$AE$2="추경",VLOOKUP($N65,데이터입력!$A:$H,6,FALSE),""),"")</f>
        <v/>
      </c>
      <c r="U65" s="730" t="str">
        <f>IFERROR(IF(데이터입력!$AE$2="추경",VLOOKUP($N65,데이터입력!$A:$L,8,FALSE)+VLOOKUP($N65,데이터입력!$A:$L,9,FALSE)+VLOOKUP($N65,데이터입력!$A:$L,10,FALSE),""),"")</f>
        <v/>
      </c>
      <c r="V65" s="731" t="s">
        <v>136</v>
      </c>
      <c r="W65" s="731" t="s">
        <v>136</v>
      </c>
      <c r="X65" s="731" t="s">
        <v>136</v>
      </c>
      <c r="Y65" s="712"/>
      <c r="Z65" s="235" t="str">
        <f>데이터입력!$AB$8</f>
        <v>00</v>
      </c>
      <c r="AA65" s="238" t="str">
        <f>데이터입력!$AC$9</f>
        <v>일반사업[일반]</v>
      </c>
      <c r="AB65" s="236" t="str">
        <f>IFERROR(IF(데이터입력!$AE$2="추경",VLOOKUP($A65,보수일람표!$A:$M,4,FALSE),""),"")</f>
        <v/>
      </c>
      <c r="AC65" s="236" t="str">
        <f>IFERROR(IF(데이터입력!$AE$2="추경",VLOOKUP($A65,보수일람표!$A:$M,5,FALSE),""),"")</f>
        <v/>
      </c>
      <c r="AD65" s="236" t="str">
        <f>IFERROR(IF(데이터입력!$AE$2="추경",VLOOKUP($A65,보수일람표!$A:$M,6,FALSE),""),"")</f>
        <v/>
      </c>
      <c r="AE65" s="236" t="str">
        <f>IFERROR(IF(데이터입력!$AE$2="추경",VLOOKUP($A65,보수일람표!$A:$M,7,FALSE),""),"")</f>
        <v>직접</v>
      </c>
      <c r="AF65" s="236"/>
      <c r="AG65" s="237">
        <f>IFERROR(IF(데이터입력!$AE$2="추경",VLOOKUP($A65,보수일람표!$A:$M,9,FALSE),""),"")</f>
        <v>0</v>
      </c>
      <c r="AH65" s="237">
        <f>IFERROR(IF(데이터입력!$AE$2="추경",VLOOKUP($A65,보수일람표!$A:$M,10,FALSE),""),"")</f>
        <v>0</v>
      </c>
      <c r="AI65" s="237">
        <f>IFERROR(IF(데이터입력!$AE$2="추경",VLOOKUP($A65,보수일람표!$A:$M,11,FALSE),""),"")</f>
        <v>0</v>
      </c>
      <c r="AJ65" s="237">
        <f>IFERROR(IF(데이터입력!$AE$2="추경",VLOOKUP($A65,보수일람표!$A:$M,12,FALSE),""),"")</f>
        <v>0</v>
      </c>
      <c r="AK65" s="237">
        <f>IFERROR(IF(데이터입력!$AE$2="추경",VLOOKUP($A65,보수일람표!$A:$M,13,FALSE),""),"")</f>
        <v>0</v>
      </c>
    </row>
    <row r="66" spans="1:37">
      <c r="A66" s="233">
        <v>64</v>
      </c>
      <c r="B66" s="719" t="str">
        <f>IFERROR(IF(F66="06",데이터입력!$AB$8,IF(F66="07",데이터입력!$AD$8,IF(F66="05",데이터입력!$AF$8,데이터입력!$AB$8))),데이터입력!$AB$8)</f>
        <v>00</v>
      </c>
      <c r="C66" s="720" t="str">
        <f>데이터입력!$AC$9</f>
        <v>일반사업[일반]</v>
      </c>
      <c r="D66" s="721" t="str">
        <f>IFERROR(IF(AND(데이터입력!$AE$2="추경",데이터입력!$AM$2=TRUE),VLOOKUP($A66,데이터입력!$A:$H,4,FALSE),""),"")</f>
        <v/>
      </c>
      <c r="E66" s="721" t="str">
        <f>IFERROR(IF(AND(데이터입력!$AE$2="추경",데이터입력!$AM$2=TRUE),VLOOKUP($A66,데이터입력!$A:$H,2,FALSE),""),"")</f>
        <v/>
      </c>
      <c r="F66" s="721" t="str">
        <f>IFERROR(IF(AND(데이터입력!$AE$2="추경",데이터입력!$AM$2=TRUE),VLOOKUP($A66,데이터입력!$A:$H,5,FALSE),""),"")</f>
        <v/>
      </c>
      <c r="G66" s="721" t="str">
        <f>IFERROR(IF(AND(데이터입력!$AE$2="추경",데이터입력!$AM$2=TRUE),VLOOKUP($A66,데이터입력!$A:$H,6,FALSE),""),"")</f>
        <v/>
      </c>
      <c r="H66" s="722" t="str">
        <f>IFERROR(IF(AND(데이터입력!$AE$2="추경",데이터입력!$AM$2=TRUE),VLOOKUP($A66,데이터입력!$A:$L,7,FALSE),""),"")</f>
        <v/>
      </c>
      <c r="I66" s="722" t="str">
        <f>IFERROR(IF(AND(데이터입력!$AE$2="추경",데이터입력!$AM$2=TRUE),VLOOKUP($A66,데이터입력!$A:$L,8,FALSE)+VLOOKUP($A66,데이터입력!$A:$L,9,FALSE)+VLOOKUP($A66,데이터입력!$A:$L,10,FALSE),""),"")</f>
        <v/>
      </c>
      <c r="J66" s="723" t="s">
        <v>136</v>
      </c>
      <c r="K66" s="723" t="s">
        <v>136</v>
      </c>
      <c r="L66" s="723" t="s">
        <v>136</v>
      </c>
      <c r="M66" s="715"/>
      <c r="N66" s="233">
        <v>264</v>
      </c>
      <c r="O66" s="727" t="str">
        <f>IFERROR(IF(S66="06",데이터입력!$AB$8,IF(S66="07",데이터입력!$AD$8,IF(S66="05",데이터입력!$AF$8,데이터입력!$AB$8))),데이터입력!$AB$8)</f>
        <v>00</v>
      </c>
      <c r="P66" s="728" t="str">
        <f>데이터입력!$AC$9</f>
        <v>일반사업[일반]</v>
      </c>
      <c r="Q66" s="729" t="str">
        <f>IFERROR(IF(데이터입력!$AE$2="추경",VLOOKUP($N66,데이터입력!$A:$H,4,FALSE),""),"")</f>
        <v/>
      </c>
      <c r="R66" s="729" t="str">
        <f>IFERROR(IF(데이터입력!$AE$2="추경",VLOOKUP($N66,데이터입력!$A:$H,2,FALSE),""),"")</f>
        <v/>
      </c>
      <c r="S66" s="729" t="str">
        <f>IFERROR(IF(데이터입력!$AE$2="추경",VLOOKUP($N66,데이터입력!$A:$H,5,FALSE),""),"")</f>
        <v/>
      </c>
      <c r="T66" s="729" t="str">
        <f>IFERROR(IF(데이터입력!$AE$2="추경",VLOOKUP($N66,데이터입력!$A:$H,6,FALSE),""),"")</f>
        <v/>
      </c>
      <c r="U66" s="730" t="str">
        <f>IFERROR(IF(데이터입력!$AE$2="추경",VLOOKUP($N66,데이터입력!$A:$L,8,FALSE)+VLOOKUP($N66,데이터입력!$A:$L,9,FALSE)+VLOOKUP($N66,데이터입력!$A:$L,10,FALSE),""),"")</f>
        <v/>
      </c>
      <c r="V66" s="731" t="s">
        <v>136</v>
      </c>
      <c r="W66" s="731" t="s">
        <v>136</v>
      </c>
      <c r="X66" s="731" t="s">
        <v>136</v>
      </c>
      <c r="Y66" s="711"/>
      <c r="Z66" s="235" t="str">
        <f>데이터입력!$AB$8</f>
        <v>00</v>
      </c>
      <c r="AA66" s="238" t="str">
        <f>데이터입력!$AC$9</f>
        <v>일반사업[일반]</v>
      </c>
      <c r="AB66" s="236" t="str">
        <f>IFERROR(IF(데이터입력!$AE$2="추경",VLOOKUP($A66,보수일람표!$A:$M,4,FALSE),""),"")</f>
        <v/>
      </c>
      <c r="AC66" s="236" t="str">
        <f>IFERROR(IF(데이터입력!$AE$2="추경",VLOOKUP($A66,보수일람표!$A:$M,5,FALSE),""),"")</f>
        <v/>
      </c>
      <c r="AD66" s="236" t="str">
        <f>IFERROR(IF(데이터입력!$AE$2="추경",VLOOKUP($A66,보수일람표!$A:$M,6,FALSE),""),"")</f>
        <v/>
      </c>
      <c r="AE66" s="236" t="str">
        <f>IFERROR(IF(데이터입력!$AE$2="추경",VLOOKUP($A66,보수일람표!$A:$M,7,FALSE),""),"")</f>
        <v>직접</v>
      </c>
      <c r="AF66" s="236"/>
      <c r="AG66" s="237">
        <f>IFERROR(IF(데이터입력!$AE$2="추경",VLOOKUP($A66,보수일람표!$A:$M,9,FALSE),""),"")</f>
        <v>0</v>
      </c>
      <c r="AH66" s="237">
        <f>IFERROR(IF(데이터입력!$AE$2="추경",VLOOKUP($A66,보수일람표!$A:$M,10,FALSE),""),"")</f>
        <v>0</v>
      </c>
      <c r="AI66" s="237">
        <f>IFERROR(IF(데이터입력!$AE$2="추경",VLOOKUP($A66,보수일람표!$A:$M,11,FALSE),""),"")</f>
        <v>0</v>
      </c>
      <c r="AJ66" s="237">
        <f>IFERROR(IF(데이터입력!$AE$2="추경",VLOOKUP($A66,보수일람표!$A:$M,12,FALSE),""),"")</f>
        <v>0</v>
      </c>
      <c r="AK66" s="237">
        <f>IFERROR(IF(데이터입력!$AE$2="추경",VLOOKUP($A66,보수일람표!$A:$M,13,FALSE),""),"")</f>
        <v>0</v>
      </c>
    </row>
    <row r="67" spans="1:37">
      <c r="A67" s="233">
        <v>65</v>
      </c>
      <c r="B67" s="719" t="str">
        <f>IFERROR(IF(F67="06",데이터입력!$AB$8,IF(F67="07",데이터입력!$AD$8,IF(F67="05",데이터입력!$AF$8,데이터입력!$AB$8))),데이터입력!$AB$8)</f>
        <v>00</v>
      </c>
      <c r="C67" s="720" t="str">
        <f>데이터입력!$AC$9</f>
        <v>일반사업[일반]</v>
      </c>
      <c r="D67" s="721" t="str">
        <f>IFERROR(IF(AND(데이터입력!$AE$2="추경",데이터입력!$AM$2=TRUE),VLOOKUP($A67,데이터입력!$A:$H,4,FALSE),""),"")</f>
        <v/>
      </c>
      <c r="E67" s="721" t="str">
        <f>IFERROR(IF(AND(데이터입력!$AE$2="추경",데이터입력!$AM$2=TRUE),VLOOKUP($A67,데이터입력!$A:$H,2,FALSE),""),"")</f>
        <v/>
      </c>
      <c r="F67" s="721" t="str">
        <f>IFERROR(IF(AND(데이터입력!$AE$2="추경",데이터입력!$AM$2=TRUE),VLOOKUP($A67,데이터입력!$A:$H,5,FALSE),""),"")</f>
        <v/>
      </c>
      <c r="G67" s="721" t="str">
        <f>IFERROR(IF(AND(데이터입력!$AE$2="추경",데이터입력!$AM$2=TRUE),VLOOKUP($A67,데이터입력!$A:$H,6,FALSE),""),"")</f>
        <v/>
      </c>
      <c r="H67" s="722" t="str">
        <f>IFERROR(IF(AND(데이터입력!$AE$2="추경",데이터입력!$AM$2=TRUE),VLOOKUP($A67,데이터입력!$A:$L,7,FALSE),""),"")</f>
        <v/>
      </c>
      <c r="I67" s="722" t="str">
        <f>IFERROR(IF(AND(데이터입력!$AE$2="추경",데이터입력!$AM$2=TRUE),VLOOKUP($A67,데이터입력!$A:$L,8,FALSE)+VLOOKUP($A67,데이터입력!$A:$L,9,FALSE)+VLOOKUP($A67,데이터입력!$A:$L,10,FALSE),""),"")</f>
        <v/>
      </c>
      <c r="J67" s="723" t="s">
        <v>136</v>
      </c>
      <c r="K67" s="723" t="s">
        <v>136</v>
      </c>
      <c r="L67" s="723" t="s">
        <v>136</v>
      </c>
      <c r="M67" s="715"/>
      <c r="N67" s="233">
        <v>265</v>
      </c>
      <c r="O67" s="727" t="str">
        <f>IFERROR(IF(S67="06",데이터입력!$AB$8,IF(S67="07",데이터입력!$AD$8,IF(S67="05",데이터입력!$AF$8,데이터입력!$AB$8))),데이터입력!$AB$8)</f>
        <v>00</v>
      </c>
      <c r="P67" s="728" t="str">
        <f>데이터입력!$AC$9</f>
        <v>일반사업[일반]</v>
      </c>
      <c r="Q67" s="729" t="str">
        <f>IFERROR(IF(데이터입력!$AE$2="추경",VLOOKUP($N67,데이터입력!$A:$H,4,FALSE),""),"")</f>
        <v/>
      </c>
      <c r="R67" s="729" t="str">
        <f>IFERROR(IF(데이터입력!$AE$2="추경",VLOOKUP($N67,데이터입력!$A:$H,2,FALSE),""),"")</f>
        <v/>
      </c>
      <c r="S67" s="729" t="str">
        <f>IFERROR(IF(데이터입력!$AE$2="추경",VLOOKUP($N67,데이터입력!$A:$H,5,FALSE),""),"")</f>
        <v/>
      </c>
      <c r="T67" s="729" t="str">
        <f>IFERROR(IF(데이터입력!$AE$2="추경",VLOOKUP($N67,데이터입력!$A:$H,6,FALSE),""),"")</f>
        <v/>
      </c>
      <c r="U67" s="730" t="str">
        <f>IFERROR(IF(데이터입력!$AE$2="추경",VLOOKUP($N67,데이터입력!$A:$L,8,FALSE)+VLOOKUP($N67,데이터입력!$A:$L,9,FALSE)+VLOOKUP($N67,데이터입력!$A:$L,10,FALSE),""),"")</f>
        <v/>
      </c>
      <c r="V67" s="731" t="s">
        <v>136</v>
      </c>
      <c r="W67" s="731" t="s">
        <v>136</v>
      </c>
      <c r="X67" s="731" t="s">
        <v>136</v>
      </c>
      <c r="Y67" s="712"/>
      <c r="Z67" s="235" t="str">
        <f>데이터입력!$AB$8</f>
        <v>00</v>
      </c>
      <c r="AA67" s="238" t="str">
        <f>데이터입력!$AC$9</f>
        <v>일반사업[일반]</v>
      </c>
      <c r="AB67" s="236" t="str">
        <f>IFERROR(IF(데이터입력!$AE$2="추경",VLOOKUP($A67,보수일람표!$A:$M,4,FALSE),""),"")</f>
        <v/>
      </c>
      <c r="AC67" s="236" t="str">
        <f>IFERROR(IF(데이터입력!$AE$2="추경",VLOOKUP($A67,보수일람표!$A:$M,5,FALSE),""),"")</f>
        <v/>
      </c>
      <c r="AD67" s="236" t="str">
        <f>IFERROR(IF(데이터입력!$AE$2="추경",VLOOKUP($A67,보수일람표!$A:$M,6,FALSE),""),"")</f>
        <v/>
      </c>
      <c r="AE67" s="236" t="str">
        <f>IFERROR(IF(데이터입력!$AE$2="추경",VLOOKUP($A67,보수일람표!$A:$M,7,FALSE),""),"")</f>
        <v>직접</v>
      </c>
      <c r="AF67" s="236"/>
      <c r="AG67" s="237">
        <f>IFERROR(IF(데이터입력!$AE$2="추경",VLOOKUP($A67,보수일람표!$A:$M,9,FALSE),""),"")</f>
        <v>0</v>
      </c>
      <c r="AH67" s="237">
        <f>IFERROR(IF(데이터입력!$AE$2="추경",VLOOKUP($A67,보수일람표!$A:$M,10,FALSE),""),"")</f>
        <v>0</v>
      </c>
      <c r="AI67" s="237">
        <f>IFERROR(IF(데이터입력!$AE$2="추경",VLOOKUP($A67,보수일람표!$A:$M,11,FALSE),""),"")</f>
        <v>0</v>
      </c>
      <c r="AJ67" s="237">
        <f>IFERROR(IF(데이터입력!$AE$2="추경",VLOOKUP($A67,보수일람표!$A:$M,12,FALSE),""),"")</f>
        <v>0</v>
      </c>
      <c r="AK67" s="237">
        <f>IFERROR(IF(데이터입력!$AE$2="추경",VLOOKUP($A67,보수일람표!$A:$M,13,FALSE),""),"")</f>
        <v>0</v>
      </c>
    </row>
    <row r="68" spans="1:37">
      <c r="A68" s="233">
        <v>66</v>
      </c>
      <c r="B68" s="719" t="str">
        <f>IFERROR(IF(F68="06",데이터입력!$AB$8,IF(F68="07",데이터입력!$AD$8,IF(F68="05",데이터입력!$AF$8,데이터입력!$AB$8))),데이터입력!$AB$8)</f>
        <v>00</v>
      </c>
      <c r="C68" s="720" t="str">
        <f>데이터입력!$AC$9</f>
        <v>일반사업[일반]</v>
      </c>
      <c r="D68" s="721" t="str">
        <f>IFERROR(IF(AND(데이터입력!$AE$2="추경",데이터입력!$AM$2=TRUE),VLOOKUP($A68,데이터입력!$A:$H,4,FALSE),""),"")</f>
        <v/>
      </c>
      <c r="E68" s="721" t="str">
        <f>IFERROR(IF(AND(데이터입력!$AE$2="추경",데이터입력!$AM$2=TRUE),VLOOKUP($A68,데이터입력!$A:$H,2,FALSE),""),"")</f>
        <v/>
      </c>
      <c r="F68" s="721" t="str">
        <f>IFERROR(IF(AND(데이터입력!$AE$2="추경",데이터입력!$AM$2=TRUE),VLOOKUP($A68,데이터입력!$A:$H,5,FALSE),""),"")</f>
        <v/>
      </c>
      <c r="G68" s="721" t="str">
        <f>IFERROR(IF(AND(데이터입력!$AE$2="추경",데이터입력!$AM$2=TRUE),VLOOKUP($A68,데이터입력!$A:$H,6,FALSE),""),"")</f>
        <v/>
      </c>
      <c r="H68" s="722" t="str">
        <f>IFERROR(IF(AND(데이터입력!$AE$2="추경",데이터입력!$AM$2=TRUE),VLOOKUP($A68,데이터입력!$A:$L,7,FALSE),""),"")</f>
        <v/>
      </c>
      <c r="I68" s="722" t="str">
        <f>IFERROR(IF(AND(데이터입력!$AE$2="추경",데이터입력!$AM$2=TRUE),VLOOKUP($A68,데이터입력!$A:$L,8,FALSE)+VLOOKUP($A68,데이터입력!$A:$L,9,FALSE)+VLOOKUP($A68,데이터입력!$A:$L,10,FALSE),""),"")</f>
        <v/>
      </c>
      <c r="J68" s="723" t="s">
        <v>136</v>
      </c>
      <c r="K68" s="723" t="s">
        <v>136</v>
      </c>
      <c r="L68" s="723" t="s">
        <v>136</v>
      </c>
      <c r="M68" s="715"/>
      <c r="N68" s="233">
        <v>266</v>
      </c>
      <c r="O68" s="727" t="str">
        <f>IFERROR(IF(S68="06",데이터입력!$AB$8,IF(S68="07",데이터입력!$AD$8,IF(S68="05",데이터입력!$AF$8,데이터입력!$AB$8))),데이터입력!$AB$8)</f>
        <v>00</v>
      </c>
      <c r="P68" s="728" t="str">
        <f>데이터입력!$AC$9</f>
        <v>일반사업[일반]</v>
      </c>
      <c r="Q68" s="729" t="str">
        <f>IFERROR(IF(데이터입력!$AE$2="추경",VLOOKUP($N68,데이터입력!$A:$H,4,FALSE),""),"")</f>
        <v/>
      </c>
      <c r="R68" s="729" t="str">
        <f>IFERROR(IF(데이터입력!$AE$2="추경",VLOOKUP($N68,데이터입력!$A:$H,2,FALSE),""),"")</f>
        <v/>
      </c>
      <c r="S68" s="729" t="str">
        <f>IFERROR(IF(데이터입력!$AE$2="추경",VLOOKUP($N68,데이터입력!$A:$H,5,FALSE),""),"")</f>
        <v/>
      </c>
      <c r="T68" s="729" t="str">
        <f>IFERROR(IF(데이터입력!$AE$2="추경",VLOOKUP($N68,데이터입력!$A:$H,6,FALSE),""),"")</f>
        <v/>
      </c>
      <c r="U68" s="730" t="str">
        <f>IFERROR(IF(데이터입력!$AE$2="추경",VLOOKUP($N68,데이터입력!$A:$L,8,FALSE)+VLOOKUP($N68,데이터입력!$A:$L,9,FALSE)+VLOOKUP($N68,데이터입력!$A:$L,10,FALSE),""),"")</f>
        <v/>
      </c>
      <c r="V68" s="731" t="s">
        <v>136</v>
      </c>
      <c r="W68" s="731" t="s">
        <v>136</v>
      </c>
      <c r="X68" s="731" t="s">
        <v>136</v>
      </c>
      <c r="Y68" s="711"/>
      <c r="Z68" s="235" t="str">
        <f>데이터입력!$AB$8</f>
        <v>00</v>
      </c>
      <c r="AA68" s="238" t="str">
        <f>데이터입력!$AC$9</f>
        <v>일반사업[일반]</v>
      </c>
      <c r="AB68" s="236" t="str">
        <f>IFERROR(IF(데이터입력!$AE$2="추경",VLOOKUP($A68,보수일람표!$A:$M,4,FALSE),""),"")</f>
        <v/>
      </c>
      <c r="AC68" s="236" t="str">
        <f>IFERROR(IF(데이터입력!$AE$2="추경",VLOOKUP($A68,보수일람표!$A:$M,5,FALSE),""),"")</f>
        <v/>
      </c>
      <c r="AD68" s="236" t="str">
        <f>IFERROR(IF(데이터입력!$AE$2="추경",VLOOKUP($A68,보수일람표!$A:$M,6,FALSE),""),"")</f>
        <v/>
      </c>
      <c r="AE68" s="236" t="str">
        <f>IFERROR(IF(데이터입력!$AE$2="추경",VLOOKUP($A68,보수일람표!$A:$M,7,FALSE),""),"")</f>
        <v>직접</v>
      </c>
      <c r="AF68" s="236"/>
      <c r="AG68" s="237">
        <f>IFERROR(IF(데이터입력!$AE$2="추경",VLOOKUP($A68,보수일람표!$A:$M,9,FALSE),""),"")</f>
        <v>0</v>
      </c>
      <c r="AH68" s="237">
        <f>IFERROR(IF(데이터입력!$AE$2="추경",VLOOKUP($A68,보수일람표!$A:$M,10,FALSE),""),"")</f>
        <v>0</v>
      </c>
      <c r="AI68" s="237">
        <f>IFERROR(IF(데이터입력!$AE$2="추경",VLOOKUP($A68,보수일람표!$A:$M,11,FALSE),""),"")</f>
        <v>0</v>
      </c>
      <c r="AJ68" s="237">
        <f>IFERROR(IF(데이터입력!$AE$2="추경",VLOOKUP($A68,보수일람표!$A:$M,12,FALSE),""),"")</f>
        <v>0</v>
      </c>
      <c r="AK68" s="237">
        <f>IFERROR(IF(데이터입력!$AE$2="추경",VLOOKUP($A68,보수일람표!$A:$M,13,FALSE),""),"")</f>
        <v>0</v>
      </c>
    </row>
    <row r="69" spans="1:37">
      <c r="A69" s="233">
        <v>67</v>
      </c>
      <c r="B69" s="719" t="str">
        <f>IFERROR(IF(F69="06",데이터입력!$AB$8,IF(F69="07",데이터입력!$AD$8,IF(F69="05",데이터입력!$AF$8,데이터입력!$AB$8))),데이터입력!$AB$8)</f>
        <v>00</v>
      </c>
      <c r="C69" s="720" t="str">
        <f>데이터입력!$AC$9</f>
        <v>일반사업[일반]</v>
      </c>
      <c r="D69" s="721" t="str">
        <f>IFERROR(IF(AND(데이터입력!$AE$2="추경",데이터입력!$AM$2=TRUE),VLOOKUP($A69,데이터입력!$A:$H,4,FALSE),""),"")</f>
        <v/>
      </c>
      <c r="E69" s="721" t="str">
        <f>IFERROR(IF(AND(데이터입력!$AE$2="추경",데이터입력!$AM$2=TRUE),VLOOKUP($A69,데이터입력!$A:$H,2,FALSE),""),"")</f>
        <v/>
      </c>
      <c r="F69" s="721" t="str">
        <f>IFERROR(IF(AND(데이터입력!$AE$2="추경",데이터입력!$AM$2=TRUE),VLOOKUP($A69,데이터입력!$A:$H,5,FALSE),""),"")</f>
        <v/>
      </c>
      <c r="G69" s="721" t="str">
        <f>IFERROR(IF(AND(데이터입력!$AE$2="추경",데이터입력!$AM$2=TRUE),VLOOKUP($A69,데이터입력!$A:$H,6,FALSE),""),"")</f>
        <v/>
      </c>
      <c r="H69" s="722" t="str">
        <f>IFERROR(IF(AND(데이터입력!$AE$2="추경",데이터입력!$AM$2=TRUE),VLOOKUP($A69,데이터입력!$A:$L,7,FALSE),""),"")</f>
        <v/>
      </c>
      <c r="I69" s="722" t="str">
        <f>IFERROR(IF(AND(데이터입력!$AE$2="추경",데이터입력!$AM$2=TRUE),VLOOKUP($A69,데이터입력!$A:$L,8,FALSE)+VLOOKUP($A69,데이터입력!$A:$L,9,FALSE)+VLOOKUP($A69,데이터입력!$A:$L,10,FALSE),""),"")</f>
        <v/>
      </c>
      <c r="J69" s="723" t="s">
        <v>136</v>
      </c>
      <c r="K69" s="723" t="s">
        <v>136</v>
      </c>
      <c r="L69" s="723" t="s">
        <v>136</v>
      </c>
      <c r="M69" s="715"/>
      <c r="N69" s="233">
        <v>267</v>
      </c>
      <c r="O69" s="727" t="str">
        <f>IFERROR(IF(S69="06",데이터입력!$AB$8,IF(S69="07",데이터입력!$AD$8,IF(S69="05",데이터입력!$AF$8,데이터입력!$AB$8))),데이터입력!$AB$8)</f>
        <v>00</v>
      </c>
      <c r="P69" s="728" t="str">
        <f>데이터입력!$AC$9</f>
        <v>일반사업[일반]</v>
      </c>
      <c r="Q69" s="729" t="str">
        <f>IFERROR(IF(데이터입력!$AE$2="추경",VLOOKUP($N69,데이터입력!$A:$H,4,FALSE),""),"")</f>
        <v/>
      </c>
      <c r="R69" s="729" t="str">
        <f>IFERROR(IF(데이터입력!$AE$2="추경",VLOOKUP($N69,데이터입력!$A:$H,2,FALSE),""),"")</f>
        <v/>
      </c>
      <c r="S69" s="729" t="str">
        <f>IFERROR(IF(데이터입력!$AE$2="추경",VLOOKUP($N69,데이터입력!$A:$H,5,FALSE),""),"")</f>
        <v/>
      </c>
      <c r="T69" s="729" t="str">
        <f>IFERROR(IF(데이터입력!$AE$2="추경",VLOOKUP($N69,데이터입력!$A:$H,6,FALSE),""),"")</f>
        <v/>
      </c>
      <c r="U69" s="730" t="str">
        <f>IFERROR(IF(데이터입력!$AE$2="추경",VLOOKUP($N69,데이터입력!$A:$L,8,FALSE)+VLOOKUP($N69,데이터입력!$A:$L,9,FALSE)+VLOOKUP($N69,데이터입력!$A:$L,10,FALSE),""),"")</f>
        <v/>
      </c>
      <c r="V69" s="731" t="s">
        <v>136</v>
      </c>
      <c r="W69" s="731" t="s">
        <v>136</v>
      </c>
      <c r="X69" s="731" t="s">
        <v>136</v>
      </c>
      <c r="Y69" s="712"/>
      <c r="Z69" s="235" t="str">
        <f>데이터입력!$AB$8</f>
        <v>00</v>
      </c>
      <c r="AA69" s="238" t="str">
        <f>데이터입력!$AC$9</f>
        <v>일반사업[일반]</v>
      </c>
      <c r="AB69" s="236" t="str">
        <f>IFERROR(IF(데이터입력!$AE$2="추경",VLOOKUP($A69,보수일람표!$A:$M,4,FALSE),""),"")</f>
        <v/>
      </c>
      <c r="AC69" s="236" t="str">
        <f>IFERROR(IF(데이터입력!$AE$2="추경",VLOOKUP($A69,보수일람표!$A:$M,5,FALSE),""),"")</f>
        <v/>
      </c>
      <c r="AD69" s="236" t="str">
        <f>IFERROR(IF(데이터입력!$AE$2="추경",VLOOKUP($A69,보수일람표!$A:$M,6,FALSE),""),"")</f>
        <v/>
      </c>
      <c r="AE69" s="236" t="str">
        <f>IFERROR(IF(데이터입력!$AE$2="추경",VLOOKUP($A69,보수일람표!$A:$M,7,FALSE),""),"")</f>
        <v>직접</v>
      </c>
      <c r="AF69" s="236"/>
      <c r="AG69" s="237">
        <f>IFERROR(IF(데이터입력!$AE$2="추경",VLOOKUP($A69,보수일람표!$A:$M,9,FALSE),""),"")</f>
        <v>0</v>
      </c>
      <c r="AH69" s="237">
        <f>IFERROR(IF(데이터입력!$AE$2="추경",VLOOKUP($A69,보수일람표!$A:$M,10,FALSE),""),"")</f>
        <v>0</v>
      </c>
      <c r="AI69" s="237">
        <f>IFERROR(IF(데이터입력!$AE$2="추경",VLOOKUP($A69,보수일람표!$A:$M,11,FALSE),""),"")</f>
        <v>0</v>
      </c>
      <c r="AJ69" s="237">
        <f>IFERROR(IF(데이터입력!$AE$2="추경",VLOOKUP($A69,보수일람표!$A:$M,12,FALSE),""),"")</f>
        <v>0</v>
      </c>
      <c r="AK69" s="237">
        <f>IFERROR(IF(데이터입력!$AE$2="추경",VLOOKUP($A69,보수일람표!$A:$M,13,FALSE),""),"")</f>
        <v>0</v>
      </c>
    </row>
    <row r="70" spans="1:37">
      <c r="A70" s="233">
        <v>68</v>
      </c>
      <c r="B70" s="719" t="str">
        <f>IFERROR(IF(F70="06",데이터입력!$AB$8,IF(F70="07",데이터입력!$AD$8,IF(F70="05",데이터입력!$AF$8,데이터입력!$AB$8))),데이터입력!$AB$8)</f>
        <v>00</v>
      </c>
      <c r="C70" s="720" t="str">
        <f>데이터입력!$AC$9</f>
        <v>일반사업[일반]</v>
      </c>
      <c r="D70" s="721" t="str">
        <f>IFERROR(IF(AND(데이터입력!$AE$2="추경",데이터입력!$AM$2=TRUE),VLOOKUP($A70,데이터입력!$A:$H,4,FALSE),""),"")</f>
        <v/>
      </c>
      <c r="E70" s="721" t="str">
        <f>IFERROR(IF(AND(데이터입력!$AE$2="추경",데이터입력!$AM$2=TRUE),VLOOKUP($A70,데이터입력!$A:$H,2,FALSE),""),"")</f>
        <v/>
      </c>
      <c r="F70" s="721" t="str">
        <f>IFERROR(IF(AND(데이터입력!$AE$2="추경",데이터입력!$AM$2=TRUE),VLOOKUP($A70,데이터입력!$A:$H,5,FALSE),""),"")</f>
        <v/>
      </c>
      <c r="G70" s="721" t="str">
        <f>IFERROR(IF(AND(데이터입력!$AE$2="추경",데이터입력!$AM$2=TRUE),VLOOKUP($A70,데이터입력!$A:$H,6,FALSE),""),"")</f>
        <v/>
      </c>
      <c r="H70" s="722" t="str">
        <f>IFERROR(IF(AND(데이터입력!$AE$2="추경",데이터입력!$AM$2=TRUE),VLOOKUP($A70,데이터입력!$A:$L,7,FALSE),""),"")</f>
        <v/>
      </c>
      <c r="I70" s="722" t="str">
        <f>IFERROR(IF(AND(데이터입력!$AE$2="추경",데이터입력!$AM$2=TRUE),VLOOKUP($A70,데이터입력!$A:$L,8,FALSE)+VLOOKUP($A70,데이터입력!$A:$L,9,FALSE)+VLOOKUP($A70,데이터입력!$A:$L,10,FALSE),""),"")</f>
        <v/>
      </c>
      <c r="J70" s="723" t="s">
        <v>136</v>
      </c>
      <c r="K70" s="723" t="s">
        <v>136</v>
      </c>
      <c r="L70" s="723" t="s">
        <v>136</v>
      </c>
      <c r="M70" s="715"/>
      <c r="N70" s="233">
        <v>268</v>
      </c>
      <c r="O70" s="727" t="str">
        <f>IFERROR(IF(S70="06",데이터입력!$AB$8,IF(S70="07",데이터입력!$AD$8,IF(S70="05",데이터입력!$AF$8,데이터입력!$AB$8))),데이터입력!$AB$8)</f>
        <v>00</v>
      </c>
      <c r="P70" s="728" t="str">
        <f>데이터입력!$AC$9</f>
        <v>일반사업[일반]</v>
      </c>
      <c r="Q70" s="729" t="str">
        <f>IFERROR(IF(데이터입력!$AE$2="추경",VLOOKUP($N70,데이터입력!$A:$H,4,FALSE),""),"")</f>
        <v/>
      </c>
      <c r="R70" s="729" t="str">
        <f>IFERROR(IF(데이터입력!$AE$2="추경",VLOOKUP($N70,데이터입력!$A:$H,2,FALSE),""),"")</f>
        <v/>
      </c>
      <c r="S70" s="729" t="str">
        <f>IFERROR(IF(데이터입력!$AE$2="추경",VLOOKUP($N70,데이터입력!$A:$H,5,FALSE),""),"")</f>
        <v/>
      </c>
      <c r="T70" s="729" t="str">
        <f>IFERROR(IF(데이터입력!$AE$2="추경",VLOOKUP($N70,데이터입력!$A:$H,6,FALSE),""),"")</f>
        <v/>
      </c>
      <c r="U70" s="730" t="str">
        <f>IFERROR(IF(데이터입력!$AE$2="추경",VLOOKUP($N70,데이터입력!$A:$L,8,FALSE)+VLOOKUP($N70,데이터입력!$A:$L,9,FALSE)+VLOOKUP($N70,데이터입력!$A:$L,10,FALSE),""),"")</f>
        <v/>
      </c>
      <c r="V70" s="731" t="s">
        <v>136</v>
      </c>
      <c r="W70" s="731" t="s">
        <v>136</v>
      </c>
      <c r="X70" s="731" t="s">
        <v>136</v>
      </c>
      <c r="Y70" s="711"/>
      <c r="Z70" s="235" t="str">
        <f>데이터입력!$AB$8</f>
        <v>00</v>
      </c>
      <c r="AA70" s="238" t="str">
        <f>데이터입력!$AC$9</f>
        <v>일반사업[일반]</v>
      </c>
      <c r="AB70" s="236" t="str">
        <f>IFERROR(IF(데이터입력!$AE$2="추경",VLOOKUP($A70,보수일람표!$A:$M,4,FALSE),""),"")</f>
        <v/>
      </c>
      <c r="AC70" s="236" t="str">
        <f>IFERROR(IF(데이터입력!$AE$2="추경",VLOOKUP($A70,보수일람표!$A:$M,5,FALSE),""),"")</f>
        <v/>
      </c>
      <c r="AD70" s="236" t="str">
        <f>IFERROR(IF(데이터입력!$AE$2="추경",VLOOKUP($A70,보수일람표!$A:$M,6,FALSE),""),"")</f>
        <v/>
      </c>
      <c r="AE70" s="236" t="str">
        <f>IFERROR(IF(데이터입력!$AE$2="추경",VLOOKUP($A70,보수일람표!$A:$M,7,FALSE),""),"")</f>
        <v>직접</v>
      </c>
      <c r="AF70" s="236"/>
      <c r="AG70" s="237">
        <f>IFERROR(IF(데이터입력!$AE$2="추경",VLOOKUP($A70,보수일람표!$A:$M,9,FALSE),""),"")</f>
        <v>0</v>
      </c>
      <c r="AH70" s="237">
        <f>IFERROR(IF(데이터입력!$AE$2="추경",VLOOKUP($A70,보수일람표!$A:$M,10,FALSE),""),"")</f>
        <v>0</v>
      </c>
      <c r="AI70" s="237">
        <f>IFERROR(IF(데이터입력!$AE$2="추경",VLOOKUP($A70,보수일람표!$A:$M,11,FALSE),""),"")</f>
        <v>0</v>
      </c>
      <c r="AJ70" s="237">
        <f>IFERROR(IF(데이터입력!$AE$2="추경",VLOOKUP($A70,보수일람표!$A:$M,12,FALSE),""),"")</f>
        <v>0</v>
      </c>
      <c r="AK70" s="237">
        <f>IFERROR(IF(데이터입력!$AE$2="추경",VLOOKUP($A70,보수일람표!$A:$M,13,FALSE),""),"")</f>
        <v>0</v>
      </c>
    </row>
    <row r="71" spans="1:37">
      <c r="A71" s="233">
        <v>69</v>
      </c>
      <c r="B71" s="719" t="str">
        <f>IFERROR(IF(F71="06",데이터입력!$AB$8,IF(F71="07",데이터입력!$AD$8,IF(F71="05",데이터입력!$AF$8,데이터입력!$AB$8))),데이터입력!$AB$8)</f>
        <v>00</v>
      </c>
      <c r="C71" s="720" t="str">
        <f>데이터입력!$AC$9</f>
        <v>일반사업[일반]</v>
      </c>
      <c r="D71" s="721" t="str">
        <f>IFERROR(IF(AND(데이터입력!$AE$2="추경",데이터입력!$AM$2=TRUE),VLOOKUP($A71,데이터입력!$A:$H,4,FALSE),""),"")</f>
        <v/>
      </c>
      <c r="E71" s="721" t="str">
        <f>IFERROR(IF(AND(데이터입력!$AE$2="추경",데이터입력!$AM$2=TRUE),VLOOKUP($A71,데이터입력!$A:$H,2,FALSE),""),"")</f>
        <v/>
      </c>
      <c r="F71" s="721" t="str">
        <f>IFERROR(IF(AND(데이터입력!$AE$2="추경",데이터입력!$AM$2=TRUE),VLOOKUP($A71,데이터입력!$A:$H,5,FALSE),""),"")</f>
        <v/>
      </c>
      <c r="G71" s="721" t="str">
        <f>IFERROR(IF(AND(데이터입력!$AE$2="추경",데이터입력!$AM$2=TRUE),VLOOKUP($A71,데이터입력!$A:$H,6,FALSE),""),"")</f>
        <v/>
      </c>
      <c r="H71" s="722" t="str">
        <f>IFERROR(IF(AND(데이터입력!$AE$2="추경",데이터입력!$AM$2=TRUE),VLOOKUP($A71,데이터입력!$A:$L,7,FALSE),""),"")</f>
        <v/>
      </c>
      <c r="I71" s="722" t="str">
        <f>IFERROR(IF(AND(데이터입력!$AE$2="추경",데이터입력!$AM$2=TRUE),VLOOKUP($A71,데이터입력!$A:$L,8,FALSE)+VLOOKUP($A71,데이터입력!$A:$L,9,FALSE)+VLOOKUP($A71,데이터입력!$A:$L,10,FALSE),""),"")</f>
        <v/>
      </c>
      <c r="J71" s="723" t="s">
        <v>136</v>
      </c>
      <c r="K71" s="723" t="s">
        <v>136</v>
      </c>
      <c r="L71" s="723" t="s">
        <v>136</v>
      </c>
      <c r="M71" s="715"/>
      <c r="N71" s="233">
        <v>269</v>
      </c>
      <c r="O71" s="727" t="str">
        <f>IFERROR(IF(S71="06",데이터입력!$AB$8,IF(S71="07",데이터입력!$AD$8,IF(S71="05",데이터입력!$AF$8,데이터입력!$AB$8))),데이터입력!$AB$8)</f>
        <v>00</v>
      </c>
      <c r="P71" s="728" t="str">
        <f>데이터입력!$AC$9</f>
        <v>일반사업[일반]</v>
      </c>
      <c r="Q71" s="729" t="str">
        <f>IFERROR(IF(데이터입력!$AE$2="추경",VLOOKUP($N71,데이터입력!$A:$H,4,FALSE),""),"")</f>
        <v/>
      </c>
      <c r="R71" s="729" t="str">
        <f>IFERROR(IF(데이터입력!$AE$2="추경",VLOOKUP($N71,데이터입력!$A:$H,2,FALSE),""),"")</f>
        <v/>
      </c>
      <c r="S71" s="729" t="str">
        <f>IFERROR(IF(데이터입력!$AE$2="추경",VLOOKUP($N71,데이터입력!$A:$H,5,FALSE),""),"")</f>
        <v/>
      </c>
      <c r="T71" s="729" t="str">
        <f>IFERROR(IF(데이터입력!$AE$2="추경",VLOOKUP($N71,데이터입력!$A:$H,6,FALSE),""),"")</f>
        <v/>
      </c>
      <c r="U71" s="730" t="str">
        <f>IFERROR(IF(데이터입력!$AE$2="추경",VLOOKUP($N71,데이터입력!$A:$L,8,FALSE)+VLOOKUP($N71,데이터입력!$A:$L,9,FALSE)+VLOOKUP($N71,데이터입력!$A:$L,10,FALSE),""),"")</f>
        <v/>
      </c>
      <c r="V71" s="731" t="s">
        <v>136</v>
      </c>
      <c r="W71" s="731" t="s">
        <v>136</v>
      </c>
      <c r="X71" s="731" t="s">
        <v>136</v>
      </c>
      <c r="Y71" s="712"/>
      <c r="Z71" s="235" t="str">
        <f>데이터입력!$AB$8</f>
        <v>00</v>
      </c>
      <c r="AA71" s="238" t="str">
        <f>데이터입력!$AC$9</f>
        <v>일반사업[일반]</v>
      </c>
      <c r="AB71" s="236" t="str">
        <f>IFERROR(IF(데이터입력!$AE$2="추경",VLOOKUP($A71,보수일람표!$A:$M,4,FALSE),""),"")</f>
        <v/>
      </c>
      <c r="AC71" s="236" t="str">
        <f>IFERROR(IF(데이터입력!$AE$2="추경",VLOOKUP($A71,보수일람표!$A:$M,5,FALSE),""),"")</f>
        <v/>
      </c>
      <c r="AD71" s="236" t="str">
        <f>IFERROR(IF(데이터입력!$AE$2="추경",VLOOKUP($A71,보수일람표!$A:$M,6,FALSE),""),"")</f>
        <v/>
      </c>
      <c r="AE71" s="236" t="str">
        <f>IFERROR(IF(데이터입력!$AE$2="추경",VLOOKUP($A71,보수일람표!$A:$M,7,FALSE),""),"")</f>
        <v>직접</v>
      </c>
      <c r="AF71" s="236"/>
      <c r="AG71" s="237">
        <f>IFERROR(IF(데이터입력!$AE$2="추경",VLOOKUP($A71,보수일람표!$A:$M,9,FALSE),""),"")</f>
        <v>0</v>
      </c>
      <c r="AH71" s="237">
        <f>IFERROR(IF(데이터입력!$AE$2="추경",VLOOKUP($A71,보수일람표!$A:$M,10,FALSE),""),"")</f>
        <v>0</v>
      </c>
      <c r="AI71" s="237">
        <f>IFERROR(IF(데이터입력!$AE$2="추경",VLOOKUP($A71,보수일람표!$A:$M,11,FALSE),""),"")</f>
        <v>0</v>
      </c>
      <c r="AJ71" s="237">
        <f>IFERROR(IF(데이터입력!$AE$2="추경",VLOOKUP($A71,보수일람표!$A:$M,12,FALSE),""),"")</f>
        <v>0</v>
      </c>
      <c r="AK71" s="237">
        <f>IFERROR(IF(데이터입력!$AE$2="추경",VLOOKUP($A71,보수일람표!$A:$M,13,FALSE),""),"")</f>
        <v>0</v>
      </c>
    </row>
    <row r="72" spans="1:37">
      <c r="A72" s="233">
        <v>70</v>
      </c>
      <c r="B72" s="719" t="str">
        <f>IFERROR(IF(F72="06",데이터입력!$AB$8,IF(F72="07",데이터입력!$AD$8,IF(F72="05",데이터입력!$AF$8,데이터입력!$AB$8))),데이터입력!$AB$8)</f>
        <v>00</v>
      </c>
      <c r="C72" s="720" t="str">
        <f>데이터입력!$AC$9</f>
        <v>일반사업[일반]</v>
      </c>
      <c r="D72" s="721" t="str">
        <f>IFERROR(IF(AND(데이터입력!$AE$2="추경",데이터입력!$AM$2=TRUE),VLOOKUP($A72,데이터입력!$A:$H,4,FALSE),""),"")</f>
        <v/>
      </c>
      <c r="E72" s="721" t="str">
        <f>IFERROR(IF(AND(데이터입력!$AE$2="추경",데이터입력!$AM$2=TRUE),VLOOKUP($A72,데이터입력!$A:$H,2,FALSE),""),"")</f>
        <v/>
      </c>
      <c r="F72" s="721" t="str">
        <f>IFERROR(IF(AND(데이터입력!$AE$2="추경",데이터입력!$AM$2=TRUE),VLOOKUP($A72,데이터입력!$A:$H,5,FALSE),""),"")</f>
        <v/>
      </c>
      <c r="G72" s="721" t="str">
        <f>IFERROR(IF(AND(데이터입력!$AE$2="추경",데이터입력!$AM$2=TRUE),VLOOKUP($A72,데이터입력!$A:$H,6,FALSE),""),"")</f>
        <v/>
      </c>
      <c r="H72" s="722" t="str">
        <f>IFERROR(IF(AND(데이터입력!$AE$2="추경",데이터입력!$AM$2=TRUE),VLOOKUP($A72,데이터입력!$A:$L,7,FALSE),""),"")</f>
        <v/>
      </c>
      <c r="I72" s="722" t="str">
        <f>IFERROR(IF(AND(데이터입력!$AE$2="추경",데이터입력!$AM$2=TRUE),VLOOKUP($A72,데이터입력!$A:$L,8,FALSE)+VLOOKUP($A72,데이터입력!$A:$L,9,FALSE)+VLOOKUP($A72,데이터입력!$A:$L,10,FALSE),""),"")</f>
        <v/>
      </c>
      <c r="J72" s="723" t="s">
        <v>136</v>
      </c>
      <c r="K72" s="723" t="s">
        <v>136</v>
      </c>
      <c r="L72" s="723" t="s">
        <v>136</v>
      </c>
      <c r="M72" s="715"/>
      <c r="N72" s="233">
        <v>270</v>
      </c>
      <c r="O72" s="727" t="str">
        <f>IFERROR(IF(S72="06",데이터입력!$AB$8,IF(S72="07",데이터입력!$AD$8,IF(S72="05",데이터입력!$AF$8,데이터입력!$AB$8))),데이터입력!$AB$8)</f>
        <v>00</v>
      </c>
      <c r="P72" s="728" t="str">
        <f>데이터입력!$AC$9</f>
        <v>일반사업[일반]</v>
      </c>
      <c r="Q72" s="729" t="str">
        <f>IFERROR(IF(데이터입력!$AE$2="추경",VLOOKUP($N72,데이터입력!$A:$H,4,FALSE),""),"")</f>
        <v/>
      </c>
      <c r="R72" s="729" t="str">
        <f>IFERROR(IF(데이터입력!$AE$2="추경",VLOOKUP($N72,데이터입력!$A:$H,2,FALSE),""),"")</f>
        <v/>
      </c>
      <c r="S72" s="729" t="str">
        <f>IFERROR(IF(데이터입력!$AE$2="추경",VLOOKUP($N72,데이터입력!$A:$H,5,FALSE),""),"")</f>
        <v/>
      </c>
      <c r="T72" s="729" t="str">
        <f>IFERROR(IF(데이터입력!$AE$2="추경",VLOOKUP($N72,데이터입력!$A:$H,6,FALSE),""),"")</f>
        <v/>
      </c>
      <c r="U72" s="730" t="str">
        <f>IFERROR(IF(데이터입력!$AE$2="추경",VLOOKUP($N72,데이터입력!$A:$L,8,FALSE)+VLOOKUP($N72,데이터입력!$A:$L,9,FALSE)+VLOOKUP($N72,데이터입력!$A:$L,10,FALSE),""),"")</f>
        <v/>
      </c>
      <c r="V72" s="731" t="s">
        <v>136</v>
      </c>
      <c r="W72" s="731" t="s">
        <v>136</v>
      </c>
      <c r="X72" s="731" t="s">
        <v>136</v>
      </c>
      <c r="Y72" s="712"/>
      <c r="Z72" s="235" t="str">
        <f>데이터입력!$AB$8</f>
        <v>00</v>
      </c>
      <c r="AA72" s="238" t="str">
        <f>데이터입력!$AC$9</f>
        <v>일반사업[일반]</v>
      </c>
      <c r="AB72" s="236" t="str">
        <f>IFERROR(IF(데이터입력!$AE$2="추경",VLOOKUP($A72,보수일람표!$A:$M,4,FALSE),""),"")</f>
        <v/>
      </c>
      <c r="AC72" s="236" t="str">
        <f>IFERROR(IF(데이터입력!$AE$2="추경",VLOOKUP($A72,보수일람표!$A:$M,5,FALSE),""),"")</f>
        <v/>
      </c>
      <c r="AD72" s="236" t="str">
        <f>IFERROR(IF(데이터입력!$AE$2="추경",VLOOKUP($A72,보수일람표!$A:$M,6,FALSE),""),"")</f>
        <v/>
      </c>
      <c r="AE72" s="236" t="str">
        <f>IFERROR(IF(데이터입력!$AE$2="추경",VLOOKUP($A72,보수일람표!$A:$M,7,FALSE),""),"")</f>
        <v>직접</v>
      </c>
      <c r="AF72" s="236"/>
      <c r="AG72" s="237">
        <f>IFERROR(IF(데이터입력!$AE$2="추경",VLOOKUP($A72,보수일람표!$A:$M,9,FALSE),""),"")</f>
        <v>0</v>
      </c>
      <c r="AH72" s="237">
        <f>IFERROR(IF(데이터입력!$AE$2="추경",VLOOKUP($A72,보수일람표!$A:$M,10,FALSE),""),"")</f>
        <v>0</v>
      </c>
      <c r="AI72" s="237">
        <f>IFERROR(IF(데이터입력!$AE$2="추경",VLOOKUP($A72,보수일람표!$A:$M,11,FALSE),""),"")</f>
        <v>0</v>
      </c>
      <c r="AJ72" s="237">
        <f>IFERROR(IF(데이터입력!$AE$2="추경",VLOOKUP($A72,보수일람표!$A:$M,12,FALSE),""),"")</f>
        <v>0</v>
      </c>
      <c r="AK72" s="237">
        <f>IFERROR(IF(데이터입력!$AE$2="추경",VLOOKUP($A72,보수일람표!$A:$M,13,FALSE),""),"")</f>
        <v>0</v>
      </c>
    </row>
    <row r="73" spans="1:37">
      <c r="A73" s="233">
        <v>71</v>
      </c>
      <c r="B73" s="719" t="str">
        <f>IFERROR(IF(F73="06",데이터입력!$AB$8,IF(F73="07",데이터입력!$AD$8,IF(F73="05",데이터입력!$AF$8,데이터입력!$AB$8))),데이터입력!$AB$8)</f>
        <v>00</v>
      </c>
      <c r="C73" s="720" t="str">
        <f>데이터입력!$AC$9</f>
        <v>일반사업[일반]</v>
      </c>
      <c r="D73" s="721" t="str">
        <f>IFERROR(IF(AND(데이터입력!$AE$2="추경",데이터입력!$AM$2=TRUE),VLOOKUP($A73,데이터입력!$A:$H,4,FALSE),""),"")</f>
        <v/>
      </c>
      <c r="E73" s="721" t="str">
        <f>IFERROR(IF(AND(데이터입력!$AE$2="추경",데이터입력!$AM$2=TRUE),VLOOKUP($A73,데이터입력!$A:$H,2,FALSE),""),"")</f>
        <v/>
      </c>
      <c r="F73" s="721" t="str">
        <f>IFERROR(IF(AND(데이터입력!$AE$2="추경",데이터입력!$AM$2=TRUE),VLOOKUP($A73,데이터입력!$A:$H,5,FALSE),""),"")</f>
        <v/>
      </c>
      <c r="G73" s="721" t="str">
        <f>IFERROR(IF(AND(데이터입력!$AE$2="추경",데이터입력!$AM$2=TRUE),VLOOKUP($A73,데이터입력!$A:$H,6,FALSE),""),"")</f>
        <v/>
      </c>
      <c r="H73" s="722" t="str">
        <f>IFERROR(IF(AND(데이터입력!$AE$2="추경",데이터입력!$AM$2=TRUE),VLOOKUP($A73,데이터입력!$A:$L,7,FALSE),""),"")</f>
        <v/>
      </c>
      <c r="I73" s="722" t="str">
        <f>IFERROR(IF(AND(데이터입력!$AE$2="추경",데이터입력!$AM$2=TRUE),VLOOKUP($A73,데이터입력!$A:$L,8,FALSE)+VLOOKUP($A73,데이터입력!$A:$L,9,FALSE)+VLOOKUP($A73,데이터입력!$A:$L,10,FALSE),""),"")</f>
        <v/>
      </c>
      <c r="J73" s="723" t="s">
        <v>136</v>
      </c>
      <c r="K73" s="723" t="s">
        <v>136</v>
      </c>
      <c r="L73" s="723" t="s">
        <v>136</v>
      </c>
      <c r="M73" s="715"/>
      <c r="N73" s="233">
        <v>271</v>
      </c>
      <c r="O73" s="727" t="str">
        <f>IFERROR(IF(S73="06",데이터입력!$AB$8,IF(S73="07",데이터입력!$AD$8,IF(S73="05",데이터입력!$AF$8,데이터입력!$AB$8))),데이터입력!$AB$8)</f>
        <v>00</v>
      </c>
      <c r="P73" s="728" t="str">
        <f>데이터입력!$AC$9</f>
        <v>일반사업[일반]</v>
      </c>
      <c r="Q73" s="729" t="str">
        <f>IFERROR(IF(데이터입력!$AE$2="추경",VLOOKUP($N73,데이터입력!$A:$H,4,FALSE),""),"")</f>
        <v/>
      </c>
      <c r="R73" s="729" t="str">
        <f>IFERROR(IF(데이터입력!$AE$2="추경",VLOOKUP($N73,데이터입력!$A:$H,2,FALSE),""),"")</f>
        <v/>
      </c>
      <c r="S73" s="729" t="str">
        <f>IFERROR(IF(데이터입력!$AE$2="추경",VLOOKUP($N73,데이터입력!$A:$H,5,FALSE),""),"")</f>
        <v/>
      </c>
      <c r="T73" s="729" t="str">
        <f>IFERROR(IF(데이터입력!$AE$2="추경",VLOOKUP($N73,데이터입력!$A:$H,6,FALSE),""),"")</f>
        <v/>
      </c>
      <c r="U73" s="730" t="str">
        <f>IFERROR(IF(데이터입력!$AE$2="추경",VLOOKUP($N73,데이터입력!$A:$L,8,FALSE)+VLOOKUP($N73,데이터입력!$A:$L,9,FALSE)+VLOOKUP($N73,데이터입력!$A:$L,10,FALSE),""),"")</f>
        <v/>
      </c>
      <c r="V73" s="731" t="s">
        <v>136</v>
      </c>
      <c r="W73" s="731" t="s">
        <v>136</v>
      </c>
      <c r="X73" s="731" t="s">
        <v>136</v>
      </c>
      <c r="Y73" s="712"/>
      <c r="Z73" s="235" t="str">
        <f>데이터입력!$AB$8</f>
        <v>00</v>
      </c>
      <c r="AA73" s="238" t="str">
        <f>데이터입력!$AC$9</f>
        <v>일반사업[일반]</v>
      </c>
      <c r="AB73" s="236" t="str">
        <f>IFERROR(IF(데이터입력!$AE$2="추경",VLOOKUP($A73,보수일람표!$A:$M,4,FALSE),""),"")</f>
        <v/>
      </c>
      <c r="AC73" s="236" t="str">
        <f>IFERROR(IF(데이터입력!$AE$2="추경",VLOOKUP($A73,보수일람표!$A:$M,5,FALSE),""),"")</f>
        <v/>
      </c>
      <c r="AD73" s="236" t="str">
        <f>IFERROR(IF(데이터입력!$AE$2="추경",VLOOKUP($A73,보수일람표!$A:$M,6,FALSE),""),"")</f>
        <v/>
      </c>
      <c r="AE73" s="236" t="str">
        <f>IFERROR(IF(데이터입력!$AE$2="추경",VLOOKUP($A73,보수일람표!$A:$M,7,FALSE),""),"")</f>
        <v>직접</v>
      </c>
      <c r="AF73" s="236"/>
      <c r="AG73" s="237">
        <f>IFERROR(IF(데이터입력!$AE$2="추경",VLOOKUP($A73,보수일람표!$A:$M,9,FALSE),""),"")</f>
        <v>0</v>
      </c>
      <c r="AH73" s="237">
        <f>IFERROR(IF(데이터입력!$AE$2="추경",VLOOKUP($A73,보수일람표!$A:$M,10,FALSE),""),"")</f>
        <v>0</v>
      </c>
      <c r="AI73" s="237">
        <f>IFERROR(IF(데이터입력!$AE$2="추경",VLOOKUP($A73,보수일람표!$A:$M,11,FALSE),""),"")</f>
        <v>0</v>
      </c>
      <c r="AJ73" s="237">
        <f>IFERROR(IF(데이터입력!$AE$2="추경",VLOOKUP($A73,보수일람표!$A:$M,12,FALSE),""),"")</f>
        <v>0</v>
      </c>
      <c r="AK73" s="237">
        <f>IFERROR(IF(데이터입력!$AE$2="추경",VLOOKUP($A73,보수일람표!$A:$M,13,FALSE),""),"")</f>
        <v>0</v>
      </c>
    </row>
    <row r="74" spans="1:37">
      <c r="A74" s="233">
        <v>72</v>
      </c>
      <c r="B74" s="719" t="str">
        <f>IFERROR(IF(F74="06",데이터입력!$AB$8,IF(F74="07",데이터입력!$AD$8,IF(F74="05",데이터입력!$AF$8,데이터입력!$AB$8))),데이터입력!$AB$8)</f>
        <v>00</v>
      </c>
      <c r="C74" s="720" t="str">
        <f>데이터입력!$AC$9</f>
        <v>일반사업[일반]</v>
      </c>
      <c r="D74" s="721" t="str">
        <f>IFERROR(IF(AND(데이터입력!$AE$2="추경",데이터입력!$AM$2=TRUE),VLOOKUP($A74,데이터입력!$A:$H,4,FALSE),""),"")</f>
        <v/>
      </c>
      <c r="E74" s="721" t="str">
        <f>IFERROR(IF(AND(데이터입력!$AE$2="추경",데이터입력!$AM$2=TRUE),VLOOKUP($A74,데이터입력!$A:$H,2,FALSE),""),"")</f>
        <v/>
      </c>
      <c r="F74" s="721" t="str">
        <f>IFERROR(IF(AND(데이터입력!$AE$2="추경",데이터입력!$AM$2=TRUE),VLOOKUP($A74,데이터입력!$A:$H,5,FALSE),""),"")</f>
        <v/>
      </c>
      <c r="G74" s="721" t="str">
        <f>IFERROR(IF(AND(데이터입력!$AE$2="추경",데이터입력!$AM$2=TRUE),VLOOKUP($A74,데이터입력!$A:$H,6,FALSE),""),"")</f>
        <v/>
      </c>
      <c r="H74" s="722" t="str">
        <f>IFERROR(IF(AND(데이터입력!$AE$2="추경",데이터입력!$AM$2=TRUE),VLOOKUP($A74,데이터입력!$A:$L,7,FALSE),""),"")</f>
        <v/>
      </c>
      <c r="I74" s="722" t="str">
        <f>IFERROR(IF(AND(데이터입력!$AE$2="추경",데이터입력!$AM$2=TRUE),VLOOKUP($A74,데이터입력!$A:$L,8,FALSE)+VLOOKUP($A74,데이터입력!$A:$L,9,FALSE)+VLOOKUP($A74,데이터입력!$A:$L,10,FALSE),""),"")</f>
        <v/>
      </c>
      <c r="J74" s="723" t="s">
        <v>136</v>
      </c>
      <c r="K74" s="723" t="s">
        <v>136</v>
      </c>
      <c r="L74" s="723" t="s">
        <v>136</v>
      </c>
      <c r="M74" s="715"/>
      <c r="N74" s="233">
        <v>272</v>
      </c>
      <c r="O74" s="727" t="str">
        <f>IFERROR(IF(S74="06",데이터입력!$AB$8,IF(S74="07",데이터입력!$AD$8,IF(S74="05",데이터입력!$AF$8,데이터입력!$AB$8))),데이터입력!$AB$8)</f>
        <v>00</v>
      </c>
      <c r="P74" s="728" t="str">
        <f>데이터입력!$AC$9</f>
        <v>일반사업[일반]</v>
      </c>
      <c r="Q74" s="729" t="str">
        <f>IFERROR(IF(데이터입력!$AE$2="추경",VLOOKUP($N74,데이터입력!$A:$H,4,FALSE),""),"")</f>
        <v/>
      </c>
      <c r="R74" s="729" t="str">
        <f>IFERROR(IF(데이터입력!$AE$2="추경",VLOOKUP($N74,데이터입력!$A:$H,2,FALSE),""),"")</f>
        <v/>
      </c>
      <c r="S74" s="729" t="str">
        <f>IFERROR(IF(데이터입력!$AE$2="추경",VLOOKUP($N74,데이터입력!$A:$H,5,FALSE),""),"")</f>
        <v/>
      </c>
      <c r="T74" s="729" t="str">
        <f>IFERROR(IF(데이터입력!$AE$2="추경",VLOOKUP($N74,데이터입력!$A:$H,6,FALSE),""),"")</f>
        <v/>
      </c>
      <c r="U74" s="730" t="str">
        <f>IFERROR(IF(데이터입력!$AE$2="추경",VLOOKUP($N74,데이터입력!$A:$L,8,FALSE)+VLOOKUP($N74,데이터입력!$A:$L,9,FALSE)+VLOOKUP($N74,데이터입력!$A:$L,10,FALSE),""),"")</f>
        <v/>
      </c>
      <c r="V74" s="731" t="s">
        <v>136</v>
      </c>
      <c r="W74" s="731" t="s">
        <v>136</v>
      </c>
      <c r="X74" s="731" t="s">
        <v>136</v>
      </c>
      <c r="Y74" s="712"/>
      <c r="Z74" s="235" t="str">
        <f>데이터입력!$AB$8</f>
        <v>00</v>
      </c>
      <c r="AA74" s="238" t="str">
        <f>데이터입력!$AC$9</f>
        <v>일반사업[일반]</v>
      </c>
      <c r="AB74" s="236" t="str">
        <f>IFERROR(IF(데이터입력!$AE$2="추경",VLOOKUP($A74,보수일람표!$A:$M,4,FALSE),""),"")</f>
        <v/>
      </c>
      <c r="AC74" s="236" t="str">
        <f>IFERROR(IF(데이터입력!$AE$2="추경",VLOOKUP($A74,보수일람표!$A:$M,5,FALSE),""),"")</f>
        <v/>
      </c>
      <c r="AD74" s="236" t="str">
        <f>IFERROR(IF(데이터입력!$AE$2="추경",VLOOKUP($A74,보수일람표!$A:$M,6,FALSE),""),"")</f>
        <v/>
      </c>
      <c r="AE74" s="236" t="str">
        <f>IFERROR(IF(데이터입력!$AE$2="추경",VLOOKUP($A74,보수일람표!$A:$M,7,FALSE),""),"")</f>
        <v>직접</v>
      </c>
      <c r="AF74" s="236"/>
      <c r="AG74" s="237">
        <f>IFERROR(IF(데이터입력!$AE$2="추경",VLOOKUP($A74,보수일람표!$A:$M,9,FALSE),""),"")</f>
        <v>0</v>
      </c>
      <c r="AH74" s="237">
        <f>IFERROR(IF(데이터입력!$AE$2="추경",VLOOKUP($A74,보수일람표!$A:$M,10,FALSE),""),"")</f>
        <v>0</v>
      </c>
      <c r="AI74" s="237">
        <f>IFERROR(IF(데이터입력!$AE$2="추경",VLOOKUP($A74,보수일람표!$A:$M,11,FALSE),""),"")</f>
        <v>0</v>
      </c>
      <c r="AJ74" s="237">
        <f>IFERROR(IF(데이터입력!$AE$2="추경",VLOOKUP($A74,보수일람표!$A:$M,12,FALSE),""),"")</f>
        <v>0</v>
      </c>
      <c r="AK74" s="237">
        <f>IFERROR(IF(데이터입력!$AE$2="추경",VLOOKUP($A74,보수일람표!$A:$M,13,FALSE),""),"")</f>
        <v>0</v>
      </c>
    </row>
    <row r="75" spans="1:37">
      <c r="A75" s="233">
        <v>73</v>
      </c>
      <c r="B75" s="719" t="str">
        <f>IFERROR(IF(F75="06",데이터입력!$AB$8,IF(F75="07",데이터입력!$AD$8,IF(F75="05",데이터입력!$AF$8,데이터입력!$AB$8))),데이터입력!$AB$8)</f>
        <v>00</v>
      </c>
      <c r="C75" s="720" t="str">
        <f>데이터입력!$AC$9</f>
        <v>일반사업[일반]</v>
      </c>
      <c r="D75" s="721" t="str">
        <f>IFERROR(IF(AND(데이터입력!$AE$2="추경",데이터입력!$AM$2=TRUE),VLOOKUP($A75,데이터입력!$A:$H,4,FALSE),""),"")</f>
        <v/>
      </c>
      <c r="E75" s="721" t="str">
        <f>IFERROR(IF(AND(데이터입력!$AE$2="추경",데이터입력!$AM$2=TRUE),VLOOKUP($A75,데이터입력!$A:$H,2,FALSE),""),"")</f>
        <v/>
      </c>
      <c r="F75" s="721" t="str">
        <f>IFERROR(IF(AND(데이터입력!$AE$2="추경",데이터입력!$AM$2=TRUE),VLOOKUP($A75,데이터입력!$A:$H,5,FALSE),""),"")</f>
        <v/>
      </c>
      <c r="G75" s="721" t="str">
        <f>IFERROR(IF(AND(데이터입력!$AE$2="추경",데이터입력!$AM$2=TRUE),VLOOKUP($A75,데이터입력!$A:$H,6,FALSE),""),"")</f>
        <v/>
      </c>
      <c r="H75" s="722" t="str">
        <f>IFERROR(IF(AND(데이터입력!$AE$2="추경",데이터입력!$AM$2=TRUE),VLOOKUP($A75,데이터입력!$A:$L,7,FALSE),""),"")</f>
        <v/>
      </c>
      <c r="I75" s="722" t="str">
        <f>IFERROR(IF(AND(데이터입력!$AE$2="추경",데이터입력!$AM$2=TRUE),VLOOKUP($A75,데이터입력!$A:$L,8,FALSE)+VLOOKUP($A75,데이터입력!$A:$L,9,FALSE)+VLOOKUP($A75,데이터입력!$A:$L,10,FALSE),""),"")</f>
        <v/>
      </c>
      <c r="J75" s="723" t="s">
        <v>136</v>
      </c>
      <c r="K75" s="723" t="s">
        <v>136</v>
      </c>
      <c r="L75" s="723" t="s">
        <v>136</v>
      </c>
      <c r="M75" s="715"/>
      <c r="N75" s="233">
        <v>273</v>
      </c>
      <c r="O75" s="727" t="str">
        <f>IFERROR(IF(S75="06",데이터입력!$AB$8,IF(S75="07",데이터입력!$AD$8,IF(S75="05",데이터입력!$AF$8,데이터입력!$AB$8))),데이터입력!$AB$8)</f>
        <v>00</v>
      </c>
      <c r="P75" s="728" t="str">
        <f>데이터입력!$AC$9</f>
        <v>일반사업[일반]</v>
      </c>
      <c r="Q75" s="729" t="str">
        <f>IFERROR(IF(데이터입력!$AE$2="추경",VLOOKUP($N75,데이터입력!$A:$H,4,FALSE),""),"")</f>
        <v/>
      </c>
      <c r="R75" s="729" t="str">
        <f>IFERROR(IF(데이터입력!$AE$2="추경",VLOOKUP($N75,데이터입력!$A:$H,2,FALSE),""),"")</f>
        <v/>
      </c>
      <c r="S75" s="729" t="str">
        <f>IFERROR(IF(데이터입력!$AE$2="추경",VLOOKUP($N75,데이터입력!$A:$H,5,FALSE),""),"")</f>
        <v/>
      </c>
      <c r="T75" s="729" t="str">
        <f>IFERROR(IF(데이터입력!$AE$2="추경",VLOOKUP($N75,데이터입력!$A:$H,6,FALSE),""),"")</f>
        <v/>
      </c>
      <c r="U75" s="730" t="str">
        <f>IFERROR(IF(데이터입력!$AE$2="추경",VLOOKUP($N75,데이터입력!$A:$L,8,FALSE)+VLOOKUP($N75,데이터입력!$A:$L,9,FALSE)+VLOOKUP($N75,데이터입력!$A:$L,10,FALSE),""),"")</f>
        <v/>
      </c>
      <c r="V75" s="731" t="s">
        <v>136</v>
      </c>
      <c r="W75" s="731" t="s">
        <v>136</v>
      </c>
      <c r="X75" s="731" t="s">
        <v>136</v>
      </c>
      <c r="Y75" s="712"/>
      <c r="Z75" s="235" t="str">
        <f>데이터입력!$AB$8</f>
        <v>00</v>
      </c>
      <c r="AA75" s="238" t="str">
        <f>데이터입력!$AC$9</f>
        <v>일반사업[일반]</v>
      </c>
      <c r="AB75" s="236" t="str">
        <f>IFERROR(IF(데이터입력!$AE$2="추경",VLOOKUP($A75,보수일람표!$A:$M,4,FALSE),""),"")</f>
        <v/>
      </c>
      <c r="AC75" s="236" t="str">
        <f>IFERROR(IF(데이터입력!$AE$2="추경",VLOOKUP($A75,보수일람표!$A:$M,5,FALSE),""),"")</f>
        <v/>
      </c>
      <c r="AD75" s="236" t="str">
        <f>IFERROR(IF(데이터입력!$AE$2="추경",VLOOKUP($A75,보수일람표!$A:$M,6,FALSE),""),"")</f>
        <v/>
      </c>
      <c r="AE75" s="236" t="str">
        <f>IFERROR(IF(데이터입력!$AE$2="추경",VLOOKUP($A75,보수일람표!$A:$M,7,FALSE),""),"")</f>
        <v>직접</v>
      </c>
      <c r="AF75" s="236"/>
      <c r="AG75" s="237">
        <f>IFERROR(IF(데이터입력!$AE$2="추경",VLOOKUP($A75,보수일람표!$A:$M,9,FALSE),""),"")</f>
        <v>0</v>
      </c>
      <c r="AH75" s="237">
        <f>IFERROR(IF(데이터입력!$AE$2="추경",VLOOKUP($A75,보수일람표!$A:$M,10,FALSE),""),"")</f>
        <v>0</v>
      </c>
      <c r="AI75" s="237">
        <f>IFERROR(IF(데이터입력!$AE$2="추경",VLOOKUP($A75,보수일람표!$A:$M,11,FALSE),""),"")</f>
        <v>0</v>
      </c>
      <c r="AJ75" s="237">
        <f>IFERROR(IF(데이터입력!$AE$2="추경",VLOOKUP($A75,보수일람표!$A:$M,12,FALSE),""),"")</f>
        <v>0</v>
      </c>
      <c r="AK75" s="237">
        <f>IFERROR(IF(데이터입력!$AE$2="추경",VLOOKUP($A75,보수일람표!$A:$M,13,FALSE),""),"")</f>
        <v>0</v>
      </c>
    </row>
    <row r="76" spans="1:37">
      <c r="A76" s="233">
        <v>74</v>
      </c>
      <c r="B76" s="719" t="str">
        <f>IFERROR(IF(F76="06",데이터입력!$AB$8,IF(F76="07",데이터입력!$AD$8,IF(F76="05",데이터입력!$AF$8,데이터입력!$AB$8))),데이터입력!$AB$8)</f>
        <v>00</v>
      </c>
      <c r="C76" s="720" t="str">
        <f>데이터입력!$AC$9</f>
        <v>일반사업[일반]</v>
      </c>
      <c r="D76" s="721" t="str">
        <f>IFERROR(IF(AND(데이터입력!$AE$2="추경",데이터입력!$AM$2=TRUE),VLOOKUP($A76,데이터입력!$A:$H,4,FALSE),""),"")</f>
        <v/>
      </c>
      <c r="E76" s="721" t="str">
        <f>IFERROR(IF(AND(데이터입력!$AE$2="추경",데이터입력!$AM$2=TRUE),VLOOKUP($A76,데이터입력!$A:$H,2,FALSE),""),"")</f>
        <v/>
      </c>
      <c r="F76" s="721" t="str">
        <f>IFERROR(IF(AND(데이터입력!$AE$2="추경",데이터입력!$AM$2=TRUE),VLOOKUP($A76,데이터입력!$A:$H,5,FALSE),""),"")</f>
        <v/>
      </c>
      <c r="G76" s="721" t="str">
        <f>IFERROR(IF(AND(데이터입력!$AE$2="추경",데이터입력!$AM$2=TRUE),VLOOKUP($A76,데이터입력!$A:$H,6,FALSE),""),"")</f>
        <v/>
      </c>
      <c r="H76" s="722" t="str">
        <f>IFERROR(IF(AND(데이터입력!$AE$2="추경",데이터입력!$AM$2=TRUE),VLOOKUP($A76,데이터입력!$A:$L,7,FALSE),""),"")</f>
        <v/>
      </c>
      <c r="I76" s="722" t="str">
        <f>IFERROR(IF(AND(데이터입력!$AE$2="추경",데이터입력!$AM$2=TRUE),VLOOKUP($A76,데이터입력!$A:$L,8,FALSE)+VLOOKUP($A76,데이터입력!$A:$L,9,FALSE)+VLOOKUP($A76,데이터입력!$A:$L,10,FALSE),""),"")</f>
        <v/>
      </c>
      <c r="J76" s="723" t="s">
        <v>136</v>
      </c>
      <c r="K76" s="723" t="s">
        <v>136</v>
      </c>
      <c r="L76" s="723" t="s">
        <v>136</v>
      </c>
      <c r="M76" s="715"/>
      <c r="N76" s="233">
        <v>274</v>
      </c>
      <c r="O76" s="727" t="str">
        <f>IFERROR(IF(S76="06",데이터입력!$AB$8,IF(S76="07",데이터입력!$AD$8,IF(S76="05",데이터입력!$AF$8,데이터입력!$AB$8))),데이터입력!$AB$8)</f>
        <v>00</v>
      </c>
      <c r="P76" s="728" t="str">
        <f>데이터입력!$AC$9</f>
        <v>일반사업[일반]</v>
      </c>
      <c r="Q76" s="729" t="str">
        <f>IFERROR(IF(데이터입력!$AE$2="추경",VLOOKUP($N76,데이터입력!$A:$H,4,FALSE),""),"")</f>
        <v/>
      </c>
      <c r="R76" s="729" t="str">
        <f>IFERROR(IF(데이터입력!$AE$2="추경",VLOOKUP($N76,데이터입력!$A:$H,2,FALSE),""),"")</f>
        <v/>
      </c>
      <c r="S76" s="729" t="str">
        <f>IFERROR(IF(데이터입력!$AE$2="추경",VLOOKUP($N76,데이터입력!$A:$H,5,FALSE),""),"")</f>
        <v/>
      </c>
      <c r="T76" s="729" t="str">
        <f>IFERROR(IF(데이터입력!$AE$2="추경",VLOOKUP($N76,데이터입력!$A:$H,6,FALSE),""),"")</f>
        <v/>
      </c>
      <c r="U76" s="730" t="str">
        <f>IFERROR(IF(데이터입력!$AE$2="추경",VLOOKUP($N76,데이터입력!$A:$L,8,FALSE)+VLOOKUP($N76,데이터입력!$A:$L,9,FALSE)+VLOOKUP($N76,데이터입력!$A:$L,10,FALSE),""),"")</f>
        <v/>
      </c>
      <c r="V76" s="731" t="s">
        <v>136</v>
      </c>
      <c r="W76" s="731" t="s">
        <v>136</v>
      </c>
      <c r="X76" s="731" t="s">
        <v>136</v>
      </c>
      <c r="Y76" s="712"/>
      <c r="Z76" s="235" t="str">
        <f>데이터입력!$AB$8</f>
        <v>00</v>
      </c>
      <c r="AA76" s="238" t="str">
        <f>데이터입력!$AC$9</f>
        <v>일반사업[일반]</v>
      </c>
      <c r="AB76" s="236" t="str">
        <f>IFERROR(IF(데이터입력!$AE$2="추경",VLOOKUP($A76,보수일람표!$A:$M,4,FALSE),""),"")</f>
        <v/>
      </c>
      <c r="AC76" s="236" t="str">
        <f>IFERROR(IF(데이터입력!$AE$2="추경",VLOOKUP($A76,보수일람표!$A:$M,5,FALSE),""),"")</f>
        <v/>
      </c>
      <c r="AD76" s="236" t="str">
        <f>IFERROR(IF(데이터입력!$AE$2="추경",VLOOKUP($A76,보수일람표!$A:$M,6,FALSE),""),"")</f>
        <v/>
      </c>
      <c r="AE76" s="236" t="str">
        <f>IFERROR(IF(데이터입력!$AE$2="추경",VLOOKUP($A76,보수일람표!$A:$M,7,FALSE),""),"")</f>
        <v>직접</v>
      </c>
      <c r="AF76" s="236"/>
      <c r="AG76" s="237">
        <f>IFERROR(IF(데이터입력!$AE$2="추경",VLOOKUP($A76,보수일람표!$A:$M,9,FALSE),""),"")</f>
        <v>0</v>
      </c>
      <c r="AH76" s="237">
        <f>IFERROR(IF(데이터입력!$AE$2="추경",VLOOKUP($A76,보수일람표!$A:$M,10,FALSE),""),"")</f>
        <v>0</v>
      </c>
      <c r="AI76" s="237">
        <f>IFERROR(IF(데이터입력!$AE$2="추경",VLOOKUP($A76,보수일람표!$A:$M,11,FALSE),""),"")</f>
        <v>0</v>
      </c>
      <c r="AJ76" s="237">
        <f>IFERROR(IF(데이터입력!$AE$2="추경",VLOOKUP($A76,보수일람표!$A:$M,12,FALSE),""),"")</f>
        <v>0</v>
      </c>
      <c r="AK76" s="237">
        <f>IFERROR(IF(데이터입력!$AE$2="추경",VLOOKUP($A76,보수일람표!$A:$M,13,FALSE),""),"")</f>
        <v>0</v>
      </c>
    </row>
    <row r="77" spans="1:37">
      <c r="A77" s="233">
        <v>75</v>
      </c>
      <c r="B77" s="719" t="str">
        <f>IFERROR(IF(F77="06",데이터입력!$AB$8,IF(F77="07",데이터입력!$AD$8,IF(F77="05",데이터입력!$AF$8,데이터입력!$AB$8))),데이터입력!$AB$8)</f>
        <v>00</v>
      </c>
      <c r="C77" s="720" t="str">
        <f>데이터입력!$AC$9</f>
        <v>일반사업[일반]</v>
      </c>
      <c r="D77" s="721" t="str">
        <f>IFERROR(IF(AND(데이터입력!$AE$2="추경",데이터입력!$AM$2=TRUE),VLOOKUP($A77,데이터입력!$A:$H,4,FALSE),""),"")</f>
        <v/>
      </c>
      <c r="E77" s="721" t="str">
        <f>IFERROR(IF(AND(데이터입력!$AE$2="추경",데이터입력!$AM$2=TRUE),VLOOKUP($A77,데이터입력!$A:$H,2,FALSE),""),"")</f>
        <v/>
      </c>
      <c r="F77" s="721" t="str">
        <f>IFERROR(IF(AND(데이터입력!$AE$2="추경",데이터입력!$AM$2=TRUE),VLOOKUP($A77,데이터입력!$A:$H,5,FALSE),""),"")</f>
        <v/>
      </c>
      <c r="G77" s="721" t="str">
        <f>IFERROR(IF(AND(데이터입력!$AE$2="추경",데이터입력!$AM$2=TRUE),VLOOKUP($A77,데이터입력!$A:$H,6,FALSE),""),"")</f>
        <v/>
      </c>
      <c r="H77" s="722" t="str">
        <f>IFERROR(IF(AND(데이터입력!$AE$2="추경",데이터입력!$AM$2=TRUE),VLOOKUP($A77,데이터입력!$A:$L,7,FALSE),""),"")</f>
        <v/>
      </c>
      <c r="I77" s="722" t="str">
        <f>IFERROR(IF(AND(데이터입력!$AE$2="추경",데이터입력!$AM$2=TRUE),VLOOKUP($A77,데이터입력!$A:$L,8,FALSE)+VLOOKUP($A77,데이터입력!$A:$L,9,FALSE)+VLOOKUP($A77,데이터입력!$A:$L,10,FALSE),""),"")</f>
        <v/>
      </c>
      <c r="J77" s="723" t="s">
        <v>136</v>
      </c>
      <c r="K77" s="723" t="s">
        <v>136</v>
      </c>
      <c r="L77" s="723" t="s">
        <v>136</v>
      </c>
      <c r="M77" s="715"/>
      <c r="N77" s="233">
        <v>275</v>
      </c>
      <c r="O77" s="727" t="str">
        <f>IFERROR(IF(S77="06",데이터입력!$AB$8,IF(S77="07",데이터입력!$AD$8,IF(S77="05",데이터입력!$AF$8,데이터입력!$AB$8))),데이터입력!$AB$8)</f>
        <v>00</v>
      </c>
      <c r="P77" s="728" t="str">
        <f>데이터입력!$AC$9</f>
        <v>일반사업[일반]</v>
      </c>
      <c r="Q77" s="729" t="str">
        <f>IFERROR(IF(데이터입력!$AE$2="추경",VLOOKUP($N77,데이터입력!$A:$H,4,FALSE),""),"")</f>
        <v/>
      </c>
      <c r="R77" s="729" t="str">
        <f>IFERROR(IF(데이터입력!$AE$2="추경",VLOOKUP($N77,데이터입력!$A:$H,2,FALSE),""),"")</f>
        <v/>
      </c>
      <c r="S77" s="729" t="str">
        <f>IFERROR(IF(데이터입력!$AE$2="추경",VLOOKUP($N77,데이터입력!$A:$H,5,FALSE),""),"")</f>
        <v/>
      </c>
      <c r="T77" s="729" t="str">
        <f>IFERROR(IF(데이터입력!$AE$2="추경",VLOOKUP($N77,데이터입력!$A:$H,6,FALSE),""),"")</f>
        <v/>
      </c>
      <c r="U77" s="730" t="str">
        <f>IFERROR(IF(데이터입력!$AE$2="추경",VLOOKUP($N77,데이터입력!$A:$L,8,FALSE)+VLOOKUP($N77,데이터입력!$A:$L,9,FALSE)+VLOOKUP($N77,데이터입력!$A:$L,10,FALSE),""),"")</f>
        <v/>
      </c>
      <c r="V77" s="731" t="s">
        <v>136</v>
      </c>
      <c r="W77" s="731" t="s">
        <v>136</v>
      </c>
      <c r="X77" s="731" t="s">
        <v>136</v>
      </c>
      <c r="Y77" s="712"/>
      <c r="Z77" s="235" t="str">
        <f>데이터입력!$AB$8</f>
        <v>00</v>
      </c>
      <c r="AA77" s="238" t="str">
        <f>데이터입력!$AC$9</f>
        <v>일반사업[일반]</v>
      </c>
      <c r="AB77" s="236" t="str">
        <f>IFERROR(IF(데이터입력!$AE$2="추경",VLOOKUP($A77,보수일람표!$A:$M,4,FALSE),""),"")</f>
        <v/>
      </c>
      <c r="AC77" s="236" t="str">
        <f>IFERROR(IF(데이터입력!$AE$2="추경",VLOOKUP($A77,보수일람표!$A:$M,5,FALSE),""),"")</f>
        <v/>
      </c>
      <c r="AD77" s="236" t="str">
        <f>IFERROR(IF(데이터입력!$AE$2="추경",VLOOKUP($A77,보수일람표!$A:$M,6,FALSE),""),"")</f>
        <v/>
      </c>
      <c r="AE77" s="236" t="str">
        <f>IFERROR(IF(데이터입력!$AE$2="추경",VLOOKUP($A77,보수일람표!$A:$M,7,FALSE),""),"")</f>
        <v>직접</v>
      </c>
      <c r="AF77" s="236"/>
      <c r="AG77" s="237">
        <f>IFERROR(IF(데이터입력!$AE$2="추경",VLOOKUP($A77,보수일람표!$A:$M,9,FALSE),""),"")</f>
        <v>0</v>
      </c>
      <c r="AH77" s="237">
        <f>IFERROR(IF(데이터입력!$AE$2="추경",VLOOKUP($A77,보수일람표!$A:$M,10,FALSE),""),"")</f>
        <v>0</v>
      </c>
      <c r="AI77" s="237">
        <f>IFERROR(IF(데이터입력!$AE$2="추경",VLOOKUP($A77,보수일람표!$A:$M,11,FALSE),""),"")</f>
        <v>0</v>
      </c>
      <c r="AJ77" s="237">
        <f>IFERROR(IF(데이터입력!$AE$2="추경",VLOOKUP($A77,보수일람표!$A:$M,12,FALSE),""),"")</f>
        <v>0</v>
      </c>
      <c r="AK77" s="237">
        <f>IFERROR(IF(데이터입력!$AE$2="추경",VLOOKUP($A77,보수일람표!$A:$M,13,FALSE),""),"")</f>
        <v>0</v>
      </c>
    </row>
    <row r="78" spans="1:37">
      <c r="A78" s="233">
        <v>76</v>
      </c>
      <c r="B78" s="719" t="str">
        <f>IFERROR(IF(F78="06",데이터입력!$AB$8,IF(F78="07",데이터입력!$AD$8,IF(F78="05",데이터입력!$AF$8,데이터입력!$AB$8))),데이터입력!$AB$8)</f>
        <v>00</v>
      </c>
      <c r="C78" s="720" t="str">
        <f>데이터입력!$AC$9</f>
        <v>일반사업[일반]</v>
      </c>
      <c r="D78" s="721" t="str">
        <f>IFERROR(IF(AND(데이터입력!$AE$2="추경",데이터입력!$AM$2=TRUE),VLOOKUP($A78,데이터입력!$A:$H,4,FALSE),""),"")</f>
        <v/>
      </c>
      <c r="E78" s="721" t="str">
        <f>IFERROR(IF(AND(데이터입력!$AE$2="추경",데이터입력!$AM$2=TRUE),VLOOKUP($A78,데이터입력!$A:$H,2,FALSE),""),"")</f>
        <v/>
      </c>
      <c r="F78" s="721" t="str">
        <f>IFERROR(IF(AND(데이터입력!$AE$2="추경",데이터입력!$AM$2=TRUE),VLOOKUP($A78,데이터입력!$A:$H,5,FALSE),""),"")</f>
        <v/>
      </c>
      <c r="G78" s="721" t="str">
        <f>IFERROR(IF(AND(데이터입력!$AE$2="추경",데이터입력!$AM$2=TRUE),VLOOKUP($A78,데이터입력!$A:$H,6,FALSE),""),"")</f>
        <v/>
      </c>
      <c r="H78" s="722" t="str">
        <f>IFERROR(IF(AND(데이터입력!$AE$2="추경",데이터입력!$AM$2=TRUE),VLOOKUP($A78,데이터입력!$A:$L,7,FALSE),""),"")</f>
        <v/>
      </c>
      <c r="I78" s="722" t="str">
        <f>IFERROR(IF(AND(데이터입력!$AE$2="추경",데이터입력!$AM$2=TRUE),VLOOKUP($A78,데이터입력!$A:$L,8,FALSE)+VLOOKUP($A78,데이터입력!$A:$L,9,FALSE)+VLOOKUP($A78,데이터입력!$A:$L,10,FALSE),""),"")</f>
        <v/>
      </c>
      <c r="J78" s="723" t="s">
        <v>136</v>
      </c>
      <c r="K78" s="723" t="s">
        <v>136</v>
      </c>
      <c r="L78" s="723" t="s">
        <v>136</v>
      </c>
      <c r="M78" s="715"/>
      <c r="N78" s="233">
        <v>276</v>
      </c>
      <c r="O78" s="727" t="str">
        <f>IFERROR(IF(S78="06",데이터입력!$AB$8,IF(S78="07",데이터입력!$AD$8,IF(S78="05",데이터입력!$AF$8,데이터입력!$AB$8))),데이터입력!$AB$8)</f>
        <v>00</v>
      </c>
      <c r="P78" s="728" t="str">
        <f>데이터입력!$AC$9</f>
        <v>일반사업[일반]</v>
      </c>
      <c r="Q78" s="729" t="str">
        <f>IFERROR(IF(데이터입력!$AE$2="추경",VLOOKUP($N78,데이터입력!$A:$H,4,FALSE),""),"")</f>
        <v/>
      </c>
      <c r="R78" s="729" t="str">
        <f>IFERROR(IF(데이터입력!$AE$2="추경",VLOOKUP($N78,데이터입력!$A:$H,2,FALSE),""),"")</f>
        <v/>
      </c>
      <c r="S78" s="729" t="str">
        <f>IFERROR(IF(데이터입력!$AE$2="추경",VLOOKUP($N78,데이터입력!$A:$H,5,FALSE),""),"")</f>
        <v/>
      </c>
      <c r="T78" s="729" t="str">
        <f>IFERROR(IF(데이터입력!$AE$2="추경",VLOOKUP($N78,데이터입력!$A:$H,6,FALSE),""),"")</f>
        <v/>
      </c>
      <c r="U78" s="730" t="str">
        <f>IFERROR(IF(데이터입력!$AE$2="추경",VLOOKUP($N78,데이터입력!$A:$L,8,FALSE)+VLOOKUP($N78,데이터입력!$A:$L,9,FALSE)+VLOOKUP($N78,데이터입력!$A:$L,10,FALSE),""),"")</f>
        <v/>
      </c>
      <c r="V78" s="731" t="s">
        <v>136</v>
      </c>
      <c r="W78" s="731" t="s">
        <v>136</v>
      </c>
      <c r="X78" s="731" t="s">
        <v>136</v>
      </c>
      <c r="Y78" s="712"/>
      <c r="Z78" s="235" t="str">
        <f>데이터입력!$AB$8</f>
        <v>00</v>
      </c>
      <c r="AA78" s="238" t="str">
        <f>데이터입력!$AC$9</f>
        <v>일반사업[일반]</v>
      </c>
      <c r="AB78" s="236" t="str">
        <f>IFERROR(IF(데이터입력!$AE$2="추경",VLOOKUP($A78,보수일람표!$A:$M,4,FALSE),""),"")</f>
        <v/>
      </c>
      <c r="AC78" s="236" t="str">
        <f>IFERROR(IF(데이터입력!$AE$2="추경",VLOOKUP($A78,보수일람표!$A:$M,5,FALSE),""),"")</f>
        <v/>
      </c>
      <c r="AD78" s="236" t="str">
        <f>IFERROR(IF(데이터입력!$AE$2="추경",VLOOKUP($A78,보수일람표!$A:$M,6,FALSE),""),"")</f>
        <v/>
      </c>
      <c r="AE78" s="236" t="str">
        <f>IFERROR(IF(데이터입력!$AE$2="추경",VLOOKUP($A78,보수일람표!$A:$M,7,FALSE),""),"")</f>
        <v>직접</v>
      </c>
      <c r="AF78" s="236"/>
      <c r="AG78" s="237">
        <f>IFERROR(IF(데이터입력!$AE$2="추경",VLOOKUP($A78,보수일람표!$A:$M,9,FALSE),""),"")</f>
        <v>0</v>
      </c>
      <c r="AH78" s="237">
        <f>IFERROR(IF(데이터입력!$AE$2="추경",VLOOKUP($A78,보수일람표!$A:$M,10,FALSE),""),"")</f>
        <v>0</v>
      </c>
      <c r="AI78" s="237">
        <f>IFERROR(IF(데이터입력!$AE$2="추경",VLOOKUP($A78,보수일람표!$A:$M,11,FALSE),""),"")</f>
        <v>0</v>
      </c>
      <c r="AJ78" s="237">
        <f>IFERROR(IF(데이터입력!$AE$2="추경",VLOOKUP($A78,보수일람표!$A:$M,12,FALSE),""),"")</f>
        <v>0</v>
      </c>
      <c r="AK78" s="237">
        <f>IFERROR(IF(데이터입력!$AE$2="추경",VLOOKUP($A78,보수일람표!$A:$M,13,FALSE),""),"")</f>
        <v>0</v>
      </c>
    </row>
    <row r="79" spans="1:37">
      <c r="A79" s="233">
        <v>77</v>
      </c>
      <c r="B79" s="719" t="str">
        <f>IFERROR(IF(F79="06",데이터입력!$AB$8,IF(F79="07",데이터입력!$AD$8,IF(F79="05",데이터입력!$AF$8,데이터입력!$AB$8))),데이터입력!$AB$8)</f>
        <v>00</v>
      </c>
      <c r="C79" s="720" t="str">
        <f>데이터입력!$AC$9</f>
        <v>일반사업[일반]</v>
      </c>
      <c r="D79" s="721" t="str">
        <f>IFERROR(IF(AND(데이터입력!$AE$2="추경",데이터입력!$AM$2=TRUE),VLOOKUP($A79,데이터입력!$A:$H,4,FALSE),""),"")</f>
        <v/>
      </c>
      <c r="E79" s="721" t="str">
        <f>IFERROR(IF(AND(데이터입력!$AE$2="추경",데이터입력!$AM$2=TRUE),VLOOKUP($A79,데이터입력!$A:$H,2,FALSE),""),"")</f>
        <v/>
      </c>
      <c r="F79" s="721" t="str">
        <f>IFERROR(IF(AND(데이터입력!$AE$2="추경",데이터입력!$AM$2=TRUE),VLOOKUP($A79,데이터입력!$A:$H,5,FALSE),""),"")</f>
        <v/>
      </c>
      <c r="G79" s="721" t="str">
        <f>IFERROR(IF(AND(데이터입력!$AE$2="추경",데이터입력!$AM$2=TRUE),VLOOKUP($A79,데이터입력!$A:$H,6,FALSE),""),"")</f>
        <v/>
      </c>
      <c r="H79" s="722" t="str">
        <f>IFERROR(IF(AND(데이터입력!$AE$2="추경",데이터입력!$AM$2=TRUE),VLOOKUP($A79,데이터입력!$A:$L,7,FALSE),""),"")</f>
        <v/>
      </c>
      <c r="I79" s="722" t="str">
        <f>IFERROR(IF(AND(데이터입력!$AE$2="추경",데이터입력!$AM$2=TRUE),VLOOKUP($A79,데이터입력!$A:$L,8,FALSE)+VLOOKUP($A79,데이터입력!$A:$L,9,FALSE)+VLOOKUP($A79,데이터입력!$A:$L,10,FALSE),""),"")</f>
        <v/>
      </c>
      <c r="J79" s="723" t="s">
        <v>136</v>
      </c>
      <c r="K79" s="723" t="s">
        <v>136</v>
      </c>
      <c r="L79" s="723" t="s">
        <v>136</v>
      </c>
      <c r="M79" s="715"/>
      <c r="N79" s="233">
        <v>277</v>
      </c>
      <c r="O79" s="727" t="str">
        <f>IFERROR(IF(S79="06",데이터입력!$AB$8,IF(S79="07",데이터입력!$AD$8,IF(S79="05",데이터입력!$AF$8,데이터입력!$AB$8))),데이터입력!$AB$8)</f>
        <v>00</v>
      </c>
      <c r="P79" s="728" t="str">
        <f>데이터입력!$AC$9</f>
        <v>일반사업[일반]</v>
      </c>
      <c r="Q79" s="729" t="str">
        <f>IFERROR(IF(데이터입력!$AE$2="추경",VLOOKUP($N79,데이터입력!$A:$H,4,FALSE),""),"")</f>
        <v/>
      </c>
      <c r="R79" s="729" t="str">
        <f>IFERROR(IF(데이터입력!$AE$2="추경",VLOOKUP($N79,데이터입력!$A:$H,2,FALSE),""),"")</f>
        <v/>
      </c>
      <c r="S79" s="729" t="str">
        <f>IFERROR(IF(데이터입력!$AE$2="추경",VLOOKUP($N79,데이터입력!$A:$H,5,FALSE),""),"")</f>
        <v/>
      </c>
      <c r="T79" s="729" t="str">
        <f>IFERROR(IF(데이터입력!$AE$2="추경",VLOOKUP($N79,데이터입력!$A:$H,6,FALSE),""),"")</f>
        <v/>
      </c>
      <c r="U79" s="730" t="str">
        <f>IFERROR(IF(데이터입력!$AE$2="추경",VLOOKUP($N79,데이터입력!$A:$L,8,FALSE)+VLOOKUP($N79,데이터입력!$A:$L,9,FALSE)+VLOOKUP($N79,데이터입력!$A:$L,10,FALSE),""),"")</f>
        <v/>
      </c>
      <c r="V79" s="731" t="s">
        <v>136</v>
      </c>
      <c r="W79" s="731" t="s">
        <v>136</v>
      </c>
      <c r="X79" s="731" t="s">
        <v>136</v>
      </c>
      <c r="Y79" s="712"/>
      <c r="Z79" s="235" t="str">
        <f>데이터입력!$AB$8</f>
        <v>00</v>
      </c>
      <c r="AA79" s="238" t="str">
        <f>데이터입력!$AC$9</f>
        <v>일반사업[일반]</v>
      </c>
      <c r="AB79" s="236" t="str">
        <f>IFERROR(IF(데이터입력!$AE$2="추경",VLOOKUP($A79,보수일람표!$A:$M,4,FALSE),""),"")</f>
        <v/>
      </c>
      <c r="AC79" s="236" t="str">
        <f>IFERROR(IF(데이터입력!$AE$2="추경",VLOOKUP($A79,보수일람표!$A:$M,5,FALSE),""),"")</f>
        <v/>
      </c>
      <c r="AD79" s="236" t="str">
        <f>IFERROR(IF(데이터입력!$AE$2="추경",VLOOKUP($A79,보수일람표!$A:$M,6,FALSE),""),"")</f>
        <v/>
      </c>
      <c r="AE79" s="236" t="str">
        <f>IFERROR(IF(데이터입력!$AE$2="추경",VLOOKUP($A79,보수일람표!$A:$M,7,FALSE),""),"")</f>
        <v>직접</v>
      </c>
      <c r="AF79" s="236"/>
      <c r="AG79" s="237">
        <f>IFERROR(IF(데이터입력!$AE$2="추경",VLOOKUP($A79,보수일람표!$A:$M,9,FALSE),""),"")</f>
        <v>0</v>
      </c>
      <c r="AH79" s="237">
        <f>IFERROR(IF(데이터입력!$AE$2="추경",VLOOKUP($A79,보수일람표!$A:$M,10,FALSE),""),"")</f>
        <v>0</v>
      </c>
      <c r="AI79" s="237">
        <f>IFERROR(IF(데이터입력!$AE$2="추경",VLOOKUP($A79,보수일람표!$A:$M,11,FALSE),""),"")</f>
        <v>0</v>
      </c>
      <c r="AJ79" s="237">
        <f>IFERROR(IF(데이터입력!$AE$2="추경",VLOOKUP($A79,보수일람표!$A:$M,12,FALSE),""),"")</f>
        <v>0</v>
      </c>
      <c r="AK79" s="237">
        <f>IFERROR(IF(데이터입력!$AE$2="추경",VLOOKUP($A79,보수일람표!$A:$M,13,FALSE),""),"")</f>
        <v>0</v>
      </c>
    </row>
    <row r="80" spans="1:37">
      <c r="A80" s="233">
        <v>78</v>
      </c>
      <c r="B80" s="719" t="str">
        <f>IFERROR(IF(F80="06",데이터입력!$AB$8,IF(F80="07",데이터입력!$AD$8,IF(F80="05",데이터입력!$AF$8,데이터입력!$AB$8))),데이터입력!$AB$8)</f>
        <v>00</v>
      </c>
      <c r="C80" s="720" t="str">
        <f>데이터입력!$AC$9</f>
        <v>일반사업[일반]</v>
      </c>
      <c r="D80" s="721" t="str">
        <f>IFERROR(IF(AND(데이터입력!$AE$2="추경",데이터입력!$AM$2=TRUE),VLOOKUP($A80,데이터입력!$A:$H,4,FALSE),""),"")</f>
        <v/>
      </c>
      <c r="E80" s="721" t="str">
        <f>IFERROR(IF(AND(데이터입력!$AE$2="추경",데이터입력!$AM$2=TRUE),VLOOKUP($A80,데이터입력!$A:$H,2,FALSE),""),"")</f>
        <v/>
      </c>
      <c r="F80" s="721" t="str">
        <f>IFERROR(IF(AND(데이터입력!$AE$2="추경",데이터입력!$AM$2=TRUE),VLOOKUP($A80,데이터입력!$A:$H,5,FALSE),""),"")</f>
        <v/>
      </c>
      <c r="G80" s="721" t="str">
        <f>IFERROR(IF(AND(데이터입력!$AE$2="추경",데이터입력!$AM$2=TRUE),VLOOKUP($A80,데이터입력!$A:$H,6,FALSE),""),"")</f>
        <v/>
      </c>
      <c r="H80" s="722" t="str">
        <f>IFERROR(IF(AND(데이터입력!$AE$2="추경",데이터입력!$AM$2=TRUE),VLOOKUP($A80,데이터입력!$A:$L,7,FALSE),""),"")</f>
        <v/>
      </c>
      <c r="I80" s="722" t="str">
        <f>IFERROR(IF(AND(데이터입력!$AE$2="추경",데이터입력!$AM$2=TRUE),VLOOKUP($A80,데이터입력!$A:$L,8,FALSE)+VLOOKUP($A80,데이터입력!$A:$L,9,FALSE)+VLOOKUP($A80,데이터입력!$A:$L,10,FALSE),""),"")</f>
        <v/>
      </c>
      <c r="J80" s="723" t="s">
        <v>136</v>
      </c>
      <c r="K80" s="723" t="s">
        <v>136</v>
      </c>
      <c r="L80" s="723" t="s">
        <v>136</v>
      </c>
      <c r="M80" s="715"/>
      <c r="N80" s="233">
        <v>278</v>
      </c>
      <c r="O80" s="727" t="str">
        <f>IFERROR(IF(S80="06",데이터입력!$AB$8,IF(S80="07",데이터입력!$AD$8,IF(S80="05",데이터입력!$AF$8,데이터입력!$AB$8))),데이터입력!$AB$8)</f>
        <v>00</v>
      </c>
      <c r="P80" s="728" t="str">
        <f>데이터입력!$AC$9</f>
        <v>일반사업[일반]</v>
      </c>
      <c r="Q80" s="729" t="str">
        <f>IFERROR(IF(데이터입력!$AE$2="추경",VLOOKUP($N80,데이터입력!$A:$H,4,FALSE),""),"")</f>
        <v/>
      </c>
      <c r="R80" s="729" t="str">
        <f>IFERROR(IF(데이터입력!$AE$2="추경",VLOOKUP($N80,데이터입력!$A:$H,2,FALSE),""),"")</f>
        <v/>
      </c>
      <c r="S80" s="729" t="str">
        <f>IFERROR(IF(데이터입력!$AE$2="추경",VLOOKUP($N80,데이터입력!$A:$H,5,FALSE),""),"")</f>
        <v/>
      </c>
      <c r="T80" s="729" t="str">
        <f>IFERROR(IF(데이터입력!$AE$2="추경",VLOOKUP($N80,데이터입력!$A:$H,6,FALSE),""),"")</f>
        <v/>
      </c>
      <c r="U80" s="730" t="str">
        <f>IFERROR(IF(데이터입력!$AE$2="추경",VLOOKUP($N80,데이터입력!$A:$L,8,FALSE)+VLOOKUP($N80,데이터입력!$A:$L,9,FALSE)+VLOOKUP($N80,데이터입력!$A:$L,10,FALSE),""),"")</f>
        <v/>
      </c>
      <c r="V80" s="731" t="s">
        <v>136</v>
      </c>
      <c r="W80" s="731" t="s">
        <v>136</v>
      </c>
      <c r="X80" s="731" t="s">
        <v>136</v>
      </c>
      <c r="Y80" s="712"/>
      <c r="Z80" s="235" t="str">
        <f>데이터입력!$AB$8</f>
        <v>00</v>
      </c>
      <c r="AA80" s="238" t="str">
        <f>데이터입력!$AC$9</f>
        <v>일반사업[일반]</v>
      </c>
      <c r="AB80" s="236" t="str">
        <f>IFERROR(IF(데이터입력!$AE$2="추경",VLOOKUP($A80,보수일람표!$A:$M,4,FALSE),""),"")</f>
        <v/>
      </c>
      <c r="AC80" s="236" t="str">
        <f>IFERROR(IF(데이터입력!$AE$2="추경",VLOOKUP($A80,보수일람표!$A:$M,5,FALSE),""),"")</f>
        <v/>
      </c>
      <c r="AD80" s="236" t="str">
        <f>IFERROR(IF(데이터입력!$AE$2="추경",VLOOKUP($A80,보수일람표!$A:$M,6,FALSE),""),"")</f>
        <v/>
      </c>
      <c r="AE80" s="236" t="str">
        <f>IFERROR(IF(데이터입력!$AE$2="추경",VLOOKUP($A80,보수일람표!$A:$M,7,FALSE),""),"")</f>
        <v>직접</v>
      </c>
      <c r="AF80" s="236"/>
      <c r="AG80" s="237">
        <f>IFERROR(IF(데이터입력!$AE$2="추경",VLOOKUP($A80,보수일람표!$A:$M,9,FALSE),""),"")</f>
        <v>0</v>
      </c>
      <c r="AH80" s="237">
        <f>IFERROR(IF(데이터입력!$AE$2="추경",VLOOKUP($A80,보수일람표!$A:$M,10,FALSE),""),"")</f>
        <v>0</v>
      </c>
      <c r="AI80" s="237">
        <f>IFERROR(IF(데이터입력!$AE$2="추경",VLOOKUP($A80,보수일람표!$A:$M,11,FALSE),""),"")</f>
        <v>0</v>
      </c>
      <c r="AJ80" s="237">
        <f>IFERROR(IF(데이터입력!$AE$2="추경",VLOOKUP($A80,보수일람표!$A:$M,12,FALSE),""),"")</f>
        <v>0</v>
      </c>
      <c r="AK80" s="237">
        <f>IFERROR(IF(데이터입력!$AE$2="추경",VLOOKUP($A80,보수일람표!$A:$M,13,FALSE),""),"")</f>
        <v>0</v>
      </c>
    </row>
    <row r="81" spans="1:37">
      <c r="A81" s="233">
        <v>79</v>
      </c>
      <c r="B81" s="719" t="str">
        <f>IFERROR(IF(F81="06",데이터입력!$AB$8,IF(F81="07",데이터입력!$AD$8,IF(F81="05",데이터입력!$AF$8,데이터입력!$AB$8))),데이터입력!$AB$8)</f>
        <v>00</v>
      </c>
      <c r="C81" s="720" t="str">
        <f>데이터입력!$AC$9</f>
        <v>일반사업[일반]</v>
      </c>
      <c r="D81" s="721" t="str">
        <f>IFERROR(IF(AND(데이터입력!$AE$2="추경",데이터입력!$AM$2=TRUE),VLOOKUP($A81,데이터입력!$A:$H,4,FALSE),""),"")</f>
        <v/>
      </c>
      <c r="E81" s="721" t="str">
        <f>IFERROR(IF(AND(데이터입력!$AE$2="추경",데이터입력!$AM$2=TRUE),VLOOKUP($A81,데이터입력!$A:$H,2,FALSE),""),"")</f>
        <v/>
      </c>
      <c r="F81" s="721" t="str">
        <f>IFERROR(IF(AND(데이터입력!$AE$2="추경",데이터입력!$AM$2=TRUE),VLOOKUP($A81,데이터입력!$A:$H,5,FALSE),""),"")</f>
        <v/>
      </c>
      <c r="G81" s="721" t="str">
        <f>IFERROR(IF(AND(데이터입력!$AE$2="추경",데이터입력!$AM$2=TRUE),VLOOKUP($A81,데이터입력!$A:$H,6,FALSE),""),"")</f>
        <v/>
      </c>
      <c r="H81" s="722" t="str">
        <f>IFERROR(IF(AND(데이터입력!$AE$2="추경",데이터입력!$AM$2=TRUE),VLOOKUP($A81,데이터입력!$A:$L,7,FALSE),""),"")</f>
        <v/>
      </c>
      <c r="I81" s="722" t="str">
        <f>IFERROR(IF(AND(데이터입력!$AE$2="추경",데이터입력!$AM$2=TRUE),VLOOKUP($A81,데이터입력!$A:$L,8,FALSE)+VLOOKUP($A81,데이터입력!$A:$L,9,FALSE)+VLOOKUP($A81,데이터입력!$A:$L,10,FALSE),""),"")</f>
        <v/>
      </c>
      <c r="J81" s="723" t="s">
        <v>136</v>
      </c>
      <c r="K81" s="723" t="s">
        <v>136</v>
      </c>
      <c r="L81" s="723" t="s">
        <v>136</v>
      </c>
      <c r="M81" s="715"/>
      <c r="N81" s="233">
        <v>279</v>
      </c>
      <c r="O81" s="727" t="str">
        <f>IFERROR(IF(S81="06",데이터입력!$AB$8,IF(S81="07",데이터입력!$AD$8,IF(S81="05",데이터입력!$AF$8,데이터입력!$AB$8))),데이터입력!$AB$8)</f>
        <v>00</v>
      </c>
      <c r="P81" s="728" t="str">
        <f>데이터입력!$AC$9</f>
        <v>일반사업[일반]</v>
      </c>
      <c r="Q81" s="729" t="str">
        <f>IFERROR(IF(데이터입력!$AE$2="추경",VLOOKUP($N81,데이터입력!$A:$H,4,FALSE),""),"")</f>
        <v/>
      </c>
      <c r="R81" s="729" t="str">
        <f>IFERROR(IF(데이터입력!$AE$2="추경",VLOOKUP($N81,데이터입력!$A:$H,2,FALSE),""),"")</f>
        <v/>
      </c>
      <c r="S81" s="729" t="str">
        <f>IFERROR(IF(데이터입력!$AE$2="추경",VLOOKUP($N81,데이터입력!$A:$H,5,FALSE),""),"")</f>
        <v/>
      </c>
      <c r="T81" s="729" t="str">
        <f>IFERROR(IF(데이터입력!$AE$2="추경",VLOOKUP($N81,데이터입력!$A:$H,6,FALSE),""),"")</f>
        <v/>
      </c>
      <c r="U81" s="730" t="str">
        <f>IFERROR(IF(데이터입력!$AE$2="추경",VLOOKUP($N81,데이터입력!$A:$L,8,FALSE)+VLOOKUP($N81,데이터입력!$A:$L,9,FALSE)+VLOOKUP($N81,데이터입력!$A:$L,10,FALSE),""),"")</f>
        <v/>
      </c>
      <c r="V81" s="731" t="s">
        <v>136</v>
      </c>
      <c r="W81" s="731" t="s">
        <v>136</v>
      </c>
      <c r="X81" s="731" t="s">
        <v>136</v>
      </c>
      <c r="Y81" s="712"/>
      <c r="Z81" s="235" t="str">
        <f>데이터입력!$AB$8</f>
        <v>00</v>
      </c>
      <c r="AA81" s="238" t="str">
        <f>데이터입력!$AC$9</f>
        <v>일반사업[일반]</v>
      </c>
      <c r="AB81" s="236" t="str">
        <f>IFERROR(IF(데이터입력!$AE$2="추경",VLOOKUP($A81,보수일람표!$A:$M,4,FALSE),""),"")</f>
        <v/>
      </c>
      <c r="AC81" s="236" t="str">
        <f>IFERROR(IF(데이터입력!$AE$2="추경",VLOOKUP($A81,보수일람표!$A:$M,5,FALSE),""),"")</f>
        <v/>
      </c>
      <c r="AD81" s="236" t="str">
        <f>IFERROR(IF(데이터입력!$AE$2="추경",VLOOKUP($A81,보수일람표!$A:$M,6,FALSE),""),"")</f>
        <v/>
      </c>
      <c r="AE81" s="236" t="str">
        <f>IFERROR(IF(데이터입력!$AE$2="추경",VLOOKUP($A81,보수일람표!$A:$M,7,FALSE),""),"")</f>
        <v>직접</v>
      </c>
      <c r="AF81" s="236"/>
      <c r="AG81" s="237">
        <f>IFERROR(IF(데이터입력!$AE$2="추경",VLOOKUP($A81,보수일람표!$A:$M,9,FALSE),""),"")</f>
        <v>0</v>
      </c>
      <c r="AH81" s="237">
        <f>IFERROR(IF(데이터입력!$AE$2="추경",VLOOKUP($A81,보수일람표!$A:$M,10,FALSE),""),"")</f>
        <v>0</v>
      </c>
      <c r="AI81" s="237">
        <f>IFERROR(IF(데이터입력!$AE$2="추경",VLOOKUP($A81,보수일람표!$A:$M,11,FALSE),""),"")</f>
        <v>0</v>
      </c>
      <c r="AJ81" s="237">
        <f>IFERROR(IF(데이터입력!$AE$2="추경",VLOOKUP($A81,보수일람표!$A:$M,12,FALSE),""),"")</f>
        <v>0</v>
      </c>
      <c r="AK81" s="237">
        <f>IFERROR(IF(데이터입력!$AE$2="추경",VLOOKUP($A81,보수일람표!$A:$M,13,FALSE),""),"")</f>
        <v>0</v>
      </c>
    </row>
    <row r="82" spans="1:37">
      <c r="A82" s="233">
        <v>80</v>
      </c>
      <c r="B82" s="719" t="str">
        <f>IFERROR(IF(F82="06",데이터입력!$AB$8,IF(F82="07",데이터입력!$AD$8,IF(F82="05",데이터입력!$AF$8,데이터입력!$AB$8))),데이터입력!$AB$8)</f>
        <v>00</v>
      </c>
      <c r="C82" s="720" t="str">
        <f>데이터입력!$AC$9</f>
        <v>일반사업[일반]</v>
      </c>
      <c r="D82" s="721" t="str">
        <f>IFERROR(IF(AND(데이터입력!$AE$2="추경",데이터입력!$AM$2=TRUE),VLOOKUP($A82,데이터입력!$A:$H,4,FALSE),""),"")</f>
        <v/>
      </c>
      <c r="E82" s="721" t="str">
        <f>IFERROR(IF(AND(데이터입력!$AE$2="추경",데이터입력!$AM$2=TRUE),VLOOKUP($A82,데이터입력!$A:$H,2,FALSE),""),"")</f>
        <v/>
      </c>
      <c r="F82" s="721" t="str">
        <f>IFERROR(IF(AND(데이터입력!$AE$2="추경",데이터입력!$AM$2=TRUE),VLOOKUP($A82,데이터입력!$A:$H,5,FALSE),""),"")</f>
        <v/>
      </c>
      <c r="G82" s="721" t="str">
        <f>IFERROR(IF(AND(데이터입력!$AE$2="추경",데이터입력!$AM$2=TRUE),VLOOKUP($A82,데이터입력!$A:$H,6,FALSE),""),"")</f>
        <v/>
      </c>
      <c r="H82" s="722" t="str">
        <f>IFERROR(IF(AND(데이터입력!$AE$2="추경",데이터입력!$AM$2=TRUE),VLOOKUP($A82,데이터입력!$A:$L,7,FALSE),""),"")</f>
        <v/>
      </c>
      <c r="I82" s="722" t="str">
        <f>IFERROR(IF(AND(데이터입력!$AE$2="추경",데이터입력!$AM$2=TRUE),VLOOKUP($A82,데이터입력!$A:$L,8,FALSE)+VLOOKUP($A82,데이터입력!$A:$L,9,FALSE)+VLOOKUP($A82,데이터입력!$A:$L,10,FALSE),""),"")</f>
        <v/>
      </c>
      <c r="J82" s="723" t="s">
        <v>136</v>
      </c>
      <c r="K82" s="723" t="s">
        <v>136</v>
      </c>
      <c r="L82" s="723" t="s">
        <v>136</v>
      </c>
      <c r="M82" s="715"/>
      <c r="N82" s="233">
        <v>280</v>
      </c>
      <c r="O82" s="727" t="str">
        <f>IFERROR(IF(S82="06",데이터입력!$AB$8,IF(S82="07",데이터입력!$AD$8,IF(S82="05",데이터입력!$AF$8,데이터입력!$AB$8))),데이터입력!$AB$8)</f>
        <v>00</v>
      </c>
      <c r="P82" s="728" t="str">
        <f>데이터입력!$AC$9</f>
        <v>일반사업[일반]</v>
      </c>
      <c r="Q82" s="729" t="str">
        <f>IFERROR(IF(데이터입력!$AE$2="추경",VLOOKUP($N82,데이터입력!$A:$H,4,FALSE),""),"")</f>
        <v/>
      </c>
      <c r="R82" s="729" t="str">
        <f>IFERROR(IF(데이터입력!$AE$2="추경",VLOOKUP($N82,데이터입력!$A:$H,2,FALSE),""),"")</f>
        <v/>
      </c>
      <c r="S82" s="729" t="str">
        <f>IFERROR(IF(데이터입력!$AE$2="추경",VLOOKUP($N82,데이터입력!$A:$H,5,FALSE),""),"")</f>
        <v/>
      </c>
      <c r="T82" s="729" t="str">
        <f>IFERROR(IF(데이터입력!$AE$2="추경",VLOOKUP($N82,데이터입력!$A:$H,6,FALSE),""),"")</f>
        <v/>
      </c>
      <c r="U82" s="730" t="str">
        <f>IFERROR(IF(데이터입력!$AE$2="추경",VLOOKUP($N82,데이터입력!$A:$L,8,FALSE)+VLOOKUP($N82,데이터입력!$A:$L,9,FALSE)+VLOOKUP($N82,데이터입력!$A:$L,10,FALSE),""),"")</f>
        <v/>
      </c>
      <c r="V82" s="731" t="s">
        <v>136</v>
      </c>
      <c r="W82" s="731" t="s">
        <v>136</v>
      </c>
      <c r="X82" s="731" t="s">
        <v>136</v>
      </c>
      <c r="Y82" s="712"/>
      <c r="Z82" s="235" t="str">
        <f>데이터입력!$AB$8</f>
        <v>00</v>
      </c>
      <c r="AA82" s="238" t="str">
        <f>데이터입력!$AC$9</f>
        <v>일반사업[일반]</v>
      </c>
      <c r="AB82" s="236" t="str">
        <f>IFERROR(IF(데이터입력!$AE$2="추경",VLOOKUP($A82,보수일람표!$A:$M,4,FALSE),""),"")</f>
        <v/>
      </c>
      <c r="AC82" s="236" t="str">
        <f>IFERROR(IF(데이터입력!$AE$2="추경",VLOOKUP($A82,보수일람표!$A:$M,5,FALSE),""),"")</f>
        <v/>
      </c>
      <c r="AD82" s="236" t="str">
        <f>IFERROR(IF(데이터입력!$AE$2="추경",VLOOKUP($A82,보수일람표!$A:$M,6,FALSE),""),"")</f>
        <v/>
      </c>
      <c r="AE82" s="236" t="str">
        <f>IFERROR(IF(데이터입력!$AE$2="추경",VLOOKUP($A82,보수일람표!$A:$M,7,FALSE),""),"")</f>
        <v>직접</v>
      </c>
      <c r="AF82" s="236"/>
      <c r="AG82" s="237">
        <f>IFERROR(IF(데이터입력!$AE$2="추경",VLOOKUP($A82,보수일람표!$A:$M,9,FALSE),""),"")</f>
        <v>0</v>
      </c>
      <c r="AH82" s="237">
        <f>IFERROR(IF(데이터입력!$AE$2="추경",VLOOKUP($A82,보수일람표!$A:$M,10,FALSE),""),"")</f>
        <v>0</v>
      </c>
      <c r="AI82" s="237">
        <f>IFERROR(IF(데이터입력!$AE$2="추경",VLOOKUP($A82,보수일람표!$A:$M,11,FALSE),""),"")</f>
        <v>0</v>
      </c>
      <c r="AJ82" s="237">
        <f>IFERROR(IF(데이터입력!$AE$2="추경",VLOOKUP($A82,보수일람표!$A:$M,12,FALSE),""),"")</f>
        <v>0</v>
      </c>
      <c r="AK82" s="237">
        <f>IFERROR(IF(데이터입력!$AE$2="추경",VLOOKUP($A82,보수일람표!$A:$M,13,FALSE),""),"")</f>
        <v>0</v>
      </c>
    </row>
    <row r="83" spans="1:37">
      <c r="A83" s="233">
        <v>81</v>
      </c>
      <c r="B83" s="719" t="str">
        <f>IFERROR(IF(F83="06",데이터입력!$AB$8,IF(F83="07",데이터입력!$AD$8,IF(F83="05",데이터입력!$AF$8,데이터입력!$AB$8))),데이터입력!$AB$8)</f>
        <v>00</v>
      </c>
      <c r="C83" s="720" t="str">
        <f>데이터입력!$AC$9</f>
        <v>일반사업[일반]</v>
      </c>
      <c r="D83" s="721" t="str">
        <f>IFERROR(IF(AND(데이터입력!$AE$2="추경",데이터입력!$AM$2=TRUE),VLOOKUP($A83,데이터입력!$A:$H,4,FALSE),""),"")</f>
        <v/>
      </c>
      <c r="E83" s="721" t="str">
        <f>IFERROR(IF(AND(데이터입력!$AE$2="추경",데이터입력!$AM$2=TRUE),VLOOKUP($A83,데이터입력!$A:$H,2,FALSE),""),"")</f>
        <v/>
      </c>
      <c r="F83" s="721" t="str">
        <f>IFERROR(IF(AND(데이터입력!$AE$2="추경",데이터입력!$AM$2=TRUE),VLOOKUP($A83,데이터입력!$A:$H,5,FALSE),""),"")</f>
        <v/>
      </c>
      <c r="G83" s="721" t="str">
        <f>IFERROR(IF(AND(데이터입력!$AE$2="추경",데이터입력!$AM$2=TRUE),VLOOKUP($A83,데이터입력!$A:$H,6,FALSE),""),"")</f>
        <v/>
      </c>
      <c r="H83" s="722" t="str">
        <f>IFERROR(IF(AND(데이터입력!$AE$2="추경",데이터입력!$AM$2=TRUE),VLOOKUP($A83,데이터입력!$A:$L,7,FALSE),""),"")</f>
        <v/>
      </c>
      <c r="I83" s="722" t="str">
        <f>IFERROR(IF(AND(데이터입력!$AE$2="추경",데이터입력!$AM$2=TRUE),VLOOKUP($A83,데이터입력!$A:$L,8,FALSE)+VLOOKUP($A83,데이터입력!$A:$L,9,FALSE)+VLOOKUP($A83,데이터입력!$A:$L,10,FALSE),""),"")</f>
        <v/>
      </c>
      <c r="J83" s="723" t="s">
        <v>136</v>
      </c>
      <c r="K83" s="723" t="s">
        <v>136</v>
      </c>
      <c r="L83" s="723" t="s">
        <v>136</v>
      </c>
      <c r="M83" s="715"/>
      <c r="N83" s="233">
        <v>281</v>
      </c>
      <c r="O83" s="727" t="str">
        <f>IFERROR(IF(S83="06",데이터입력!$AB$8,IF(S83="07",데이터입력!$AD$8,IF(S83="05",데이터입력!$AF$8,데이터입력!$AB$8))),데이터입력!$AB$8)</f>
        <v>00</v>
      </c>
      <c r="P83" s="728" t="str">
        <f>데이터입력!$AC$9</f>
        <v>일반사업[일반]</v>
      </c>
      <c r="Q83" s="729" t="str">
        <f>IFERROR(IF(데이터입력!$AE$2="추경",VLOOKUP($N83,데이터입력!$A:$H,4,FALSE),""),"")</f>
        <v/>
      </c>
      <c r="R83" s="729" t="str">
        <f>IFERROR(IF(데이터입력!$AE$2="추경",VLOOKUP($N83,데이터입력!$A:$H,2,FALSE),""),"")</f>
        <v/>
      </c>
      <c r="S83" s="729" t="str">
        <f>IFERROR(IF(데이터입력!$AE$2="추경",VLOOKUP($N83,데이터입력!$A:$H,5,FALSE),""),"")</f>
        <v/>
      </c>
      <c r="T83" s="729" t="str">
        <f>IFERROR(IF(데이터입력!$AE$2="추경",VLOOKUP($N83,데이터입력!$A:$H,6,FALSE),""),"")</f>
        <v/>
      </c>
      <c r="U83" s="730" t="str">
        <f>IFERROR(IF(데이터입력!$AE$2="추경",VLOOKUP($N83,데이터입력!$A:$L,8,FALSE)+VLOOKUP($N83,데이터입력!$A:$L,9,FALSE)+VLOOKUP($N83,데이터입력!$A:$L,10,FALSE),""),"")</f>
        <v/>
      </c>
      <c r="V83" s="731" t="s">
        <v>136</v>
      </c>
      <c r="W83" s="731" t="s">
        <v>136</v>
      </c>
      <c r="X83" s="731" t="s">
        <v>136</v>
      </c>
      <c r="Y83" s="712"/>
      <c r="Z83" s="235" t="str">
        <f>데이터입력!$AB$8</f>
        <v>00</v>
      </c>
      <c r="AA83" s="238" t="str">
        <f>데이터입력!$AC$9</f>
        <v>일반사업[일반]</v>
      </c>
      <c r="AB83" s="236" t="str">
        <f>IFERROR(IF(데이터입력!$AE$2="추경",VLOOKUP($A83,보수일람표!$A:$M,4,FALSE),""),"")</f>
        <v/>
      </c>
      <c r="AC83" s="236" t="str">
        <f>IFERROR(IF(데이터입력!$AE$2="추경",VLOOKUP($A83,보수일람표!$A:$M,5,FALSE),""),"")</f>
        <v/>
      </c>
      <c r="AD83" s="236" t="str">
        <f>IFERROR(IF(데이터입력!$AE$2="추경",VLOOKUP($A83,보수일람표!$A:$M,6,FALSE),""),"")</f>
        <v/>
      </c>
      <c r="AE83" s="236" t="str">
        <f>IFERROR(IF(데이터입력!$AE$2="추경",VLOOKUP($A83,보수일람표!$A:$M,7,FALSE),""),"")</f>
        <v>직접</v>
      </c>
      <c r="AF83" s="236"/>
      <c r="AG83" s="237">
        <f>IFERROR(IF(데이터입력!$AE$2="추경",VLOOKUP($A83,보수일람표!$A:$M,9,FALSE),""),"")</f>
        <v>0</v>
      </c>
      <c r="AH83" s="237">
        <f>IFERROR(IF(데이터입력!$AE$2="추경",VLOOKUP($A83,보수일람표!$A:$M,10,FALSE),""),"")</f>
        <v>0</v>
      </c>
      <c r="AI83" s="237">
        <f>IFERROR(IF(데이터입력!$AE$2="추경",VLOOKUP($A83,보수일람표!$A:$M,11,FALSE),""),"")</f>
        <v>0</v>
      </c>
      <c r="AJ83" s="237">
        <f>IFERROR(IF(데이터입력!$AE$2="추경",VLOOKUP($A83,보수일람표!$A:$M,12,FALSE),""),"")</f>
        <v>0</v>
      </c>
      <c r="AK83" s="237">
        <f>IFERROR(IF(데이터입력!$AE$2="추경",VLOOKUP($A83,보수일람표!$A:$M,13,FALSE),""),"")</f>
        <v>0</v>
      </c>
    </row>
    <row r="84" spans="1:37">
      <c r="A84" s="233">
        <v>82</v>
      </c>
      <c r="B84" s="719" t="str">
        <f>IFERROR(IF(F84="06",데이터입력!$AB$8,IF(F84="07",데이터입력!$AD$8,IF(F84="05",데이터입력!$AF$8,데이터입력!$AB$8))),데이터입력!$AB$8)</f>
        <v>00</v>
      </c>
      <c r="C84" s="720" t="str">
        <f>데이터입력!$AC$9</f>
        <v>일반사업[일반]</v>
      </c>
      <c r="D84" s="721" t="str">
        <f>IFERROR(IF(AND(데이터입력!$AE$2="추경",데이터입력!$AM$2=TRUE),VLOOKUP($A84,데이터입력!$A:$H,4,FALSE),""),"")</f>
        <v/>
      </c>
      <c r="E84" s="721" t="str">
        <f>IFERROR(IF(AND(데이터입력!$AE$2="추경",데이터입력!$AM$2=TRUE),VLOOKUP($A84,데이터입력!$A:$H,2,FALSE),""),"")</f>
        <v/>
      </c>
      <c r="F84" s="721" t="str">
        <f>IFERROR(IF(AND(데이터입력!$AE$2="추경",데이터입력!$AM$2=TRUE),VLOOKUP($A84,데이터입력!$A:$H,5,FALSE),""),"")</f>
        <v/>
      </c>
      <c r="G84" s="721" t="str">
        <f>IFERROR(IF(AND(데이터입력!$AE$2="추경",데이터입력!$AM$2=TRUE),VLOOKUP($A84,데이터입력!$A:$H,6,FALSE),""),"")</f>
        <v/>
      </c>
      <c r="H84" s="722" t="str">
        <f>IFERROR(IF(AND(데이터입력!$AE$2="추경",데이터입력!$AM$2=TRUE),VLOOKUP($A84,데이터입력!$A:$L,7,FALSE),""),"")</f>
        <v/>
      </c>
      <c r="I84" s="722" t="str">
        <f>IFERROR(IF(AND(데이터입력!$AE$2="추경",데이터입력!$AM$2=TRUE),VLOOKUP($A84,데이터입력!$A:$L,8,FALSE)+VLOOKUP($A84,데이터입력!$A:$L,9,FALSE)+VLOOKUP($A84,데이터입력!$A:$L,10,FALSE),""),"")</f>
        <v/>
      </c>
      <c r="J84" s="723" t="s">
        <v>136</v>
      </c>
      <c r="K84" s="723" t="s">
        <v>136</v>
      </c>
      <c r="L84" s="723" t="s">
        <v>136</v>
      </c>
      <c r="M84" s="715"/>
      <c r="N84" s="233">
        <v>282</v>
      </c>
      <c r="O84" s="727" t="str">
        <f>IFERROR(IF(S84="06",데이터입력!$AB$8,IF(S84="07",데이터입력!$AD$8,IF(S84="05",데이터입력!$AF$8,데이터입력!$AB$8))),데이터입력!$AB$8)</f>
        <v>00</v>
      </c>
      <c r="P84" s="728" t="str">
        <f>데이터입력!$AC$9</f>
        <v>일반사업[일반]</v>
      </c>
      <c r="Q84" s="729" t="str">
        <f>IFERROR(IF(데이터입력!$AE$2="추경",VLOOKUP($N84,데이터입력!$A:$H,4,FALSE),""),"")</f>
        <v/>
      </c>
      <c r="R84" s="729" t="str">
        <f>IFERROR(IF(데이터입력!$AE$2="추경",VLOOKUP($N84,데이터입력!$A:$H,2,FALSE),""),"")</f>
        <v/>
      </c>
      <c r="S84" s="729" t="str">
        <f>IFERROR(IF(데이터입력!$AE$2="추경",VLOOKUP($N84,데이터입력!$A:$H,5,FALSE),""),"")</f>
        <v/>
      </c>
      <c r="T84" s="729" t="str">
        <f>IFERROR(IF(데이터입력!$AE$2="추경",VLOOKUP($N84,데이터입력!$A:$H,6,FALSE),""),"")</f>
        <v/>
      </c>
      <c r="U84" s="730" t="str">
        <f>IFERROR(IF(데이터입력!$AE$2="추경",VLOOKUP($N84,데이터입력!$A:$L,8,FALSE)+VLOOKUP($N84,데이터입력!$A:$L,9,FALSE)+VLOOKUP($N84,데이터입력!$A:$L,10,FALSE),""),"")</f>
        <v/>
      </c>
      <c r="V84" s="731" t="s">
        <v>136</v>
      </c>
      <c r="W84" s="731" t="s">
        <v>136</v>
      </c>
      <c r="X84" s="731" t="s">
        <v>136</v>
      </c>
      <c r="Y84" s="712"/>
      <c r="Z84" s="235" t="str">
        <f>데이터입력!$AB$8</f>
        <v>00</v>
      </c>
      <c r="AA84" s="238" t="str">
        <f>데이터입력!$AC$9</f>
        <v>일반사업[일반]</v>
      </c>
      <c r="AB84" s="236" t="str">
        <f>IFERROR(IF(데이터입력!$AE$2="추경",VLOOKUP($A84,보수일람표!$A:$M,4,FALSE),""),"")</f>
        <v/>
      </c>
      <c r="AC84" s="236" t="str">
        <f>IFERROR(IF(데이터입력!$AE$2="추경",VLOOKUP($A84,보수일람표!$A:$M,5,FALSE),""),"")</f>
        <v/>
      </c>
      <c r="AD84" s="236" t="str">
        <f>IFERROR(IF(데이터입력!$AE$2="추경",VLOOKUP($A84,보수일람표!$A:$M,6,FALSE),""),"")</f>
        <v/>
      </c>
      <c r="AE84" s="236" t="str">
        <f>IFERROR(IF(데이터입력!$AE$2="추경",VLOOKUP($A84,보수일람표!$A:$M,7,FALSE),""),"")</f>
        <v>직접</v>
      </c>
      <c r="AF84" s="236"/>
      <c r="AG84" s="237">
        <f>IFERROR(IF(데이터입력!$AE$2="추경",VLOOKUP($A84,보수일람표!$A:$M,9,FALSE),""),"")</f>
        <v>0</v>
      </c>
      <c r="AH84" s="237">
        <f>IFERROR(IF(데이터입력!$AE$2="추경",VLOOKUP($A84,보수일람표!$A:$M,10,FALSE),""),"")</f>
        <v>0</v>
      </c>
      <c r="AI84" s="237">
        <f>IFERROR(IF(데이터입력!$AE$2="추경",VLOOKUP($A84,보수일람표!$A:$M,11,FALSE),""),"")</f>
        <v>0</v>
      </c>
      <c r="AJ84" s="237">
        <f>IFERROR(IF(데이터입력!$AE$2="추경",VLOOKUP($A84,보수일람표!$A:$M,12,FALSE),""),"")</f>
        <v>0</v>
      </c>
      <c r="AK84" s="237">
        <f>IFERROR(IF(데이터입력!$AE$2="추경",VLOOKUP($A84,보수일람표!$A:$M,13,FALSE),""),"")</f>
        <v>0</v>
      </c>
    </row>
    <row r="85" spans="1:37">
      <c r="A85" s="233">
        <v>83</v>
      </c>
      <c r="B85" s="719" t="str">
        <f>IFERROR(IF(F85="06",데이터입력!$AB$8,IF(F85="07",데이터입력!$AD$8,IF(F85="05",데이터입력!$AF$8,데이터입력!$AB$8))),데이터입력!$AB$8)</f>
        <v>00</v>
      </c>
      <c r="C85" s="720" t="str">
        <f>데이터입력!$AC$9</f>
        <v>일반사업[일반]</v>
      </c>
      <c r="D85" s="721" t="str">
        <f>IFERROR(IF(AND(데이터입력!$AE$2="추경",데이터입력!$AM$2=TRUE),VLOOKUP($A85,데이터입력!$A:$H,4,FALSE),""),"")</f>
        <v/>
      </c>
      <c r="E85" s="721" t="str">
        <f>IFERROR(IF(AND(데이터입력!$AE$2="추경",데이터입력!$AM$2=TRUE),VLOOKUP($A85,데이터입력!$A:$H,2,FALSE),""),"")</f>
        <v/>
      </c>
      <c r="F85" s="721" t="str">
        <f>IFERROR(IF(AND(데이터입력!$AE$2="추경",데이터입력!$AM$2=TRUE),VLOOKUP($A85,데이터입력!$A:$H,5,FALSE),""),"")</f>
        <v/>
      </c>
      <c r="G85" s="721" t="str">
        <f>IFERROR(IF(AND(데이터입력!$AE$2="추경",데이터입력!$AM$2=TRUE),VLOOKUP($A85,데이터입력!$A:$H,6,FALSE),""),"")</f>
        <v/>
      </c>
      <c r="H85" s="722" t="str">
        <f>IFERROR(IF(AND(데이터입력!$AE$2="추경",데이터입력!$AM$2=TRUE),VLOOKUP($A85,데이터입력!$A:$L,7,FALSE),""),"")</f>
        <v/>
      </c>
      <c r="I85" s="722" t="str">
        <f>IFERROR(IF(AND(데이터입력!$AE$2="추경",데이터입력!$AM$2=TRUE),VLOOKUP($A85,데이터입력!$A:$L,8,FALSE)+VLOOKUP($A85,데이터입력!$A:$L,9,FALSE)+VLOOKUP($A85,데이터입력!$A:$L,10,FALSE),""),"")</f>
        <v/>
      </c>
      <c r="J85" s="723" t="s">
        <v>136</v>
      </c>
      <c r="K85" s="723" t="s">
        <v>136</v>
      </c>
      <c r="L85" s="723" t="s">
        <v>136</v>
      </c>
      <c r="M85" s="715"/>
      <c r="N85" s="233">
        <v>283</v>
      </c>
      <c r="O85" s="727" t="str">
        <f>IFERROR(IF(S85="06",데이터입력!$AB$8,IF(S85="07",데이터입력!$AD$8,IF(S85="05",데이터입력!$AF$8,데이터입력!$AB$8))),데이터입력!$AB$8)</f>
        <v>00</v>
      </c>
      <c r="P85" s="728" t="str">
        <f>데이터입력!$AC$9</f>
        <v>일반사업[일반]</v>
      </c>
      <c r="Q85" s="729" t="str">
        <f>IFERROR(IF(데이터입력!$AE$2="추경",VLOOKUP($N85,데이터입력!$A:$H,4,FALSE),""),"")</f>
        <v/>
      </c>
      <c r="R85" s="729" t="str">
        <f>IFERROR(IF(데이터입력!$AE$2="추경",VLOOKUP($N85,데이터입력!$A:$H,2,FALSE),""),"")</f>
        <v/>
      </c>
      <c r="S85" s="729" t="str">
        <f>IFERROR(IF(데이터입력!$AE$2="추경",VLOOKUP($N85,데이터입력!$A:$H,5,FALSE),""),"")</f>
        <v/>
      </c>
      <c r="T85" s="729" t="str">
        <f>IFERROR(IF(데이터입력!$AE$2="추경",VLOOKUP($N85,데이터입력!$A:$H,6,FALSE),""),"")</f>
        <v/>
      </c>
      <c r="U85" s="730" t="str">
        <f>IFERROR(IF(데이터입력!$AE$2="추경",VLOOKUP($N85,데이터입력!$A:$L,8,FALSE)+VLOOKUP($N85,데이터입력!$A:$L,9,FALSE)+VLOOKUP($N85,데이터입력!$A:$L,10,FALSE),""),"")</f>
        <v/>
      </c>
      <c r="V85" s="731" t="s">
        <v>136</v>
      </c>
      <c r="W85" s="731" t="s">
        <v>136</v>
      </c>
      <c r="X85" s="731" t="s">
        <v>136</v>
      </c>
      <c r="Y85" s="712"/>
      <c r="Z85" s="235" t="str">
        <f>데이터입력!$AB$8</f>
        <v>00</v>
      </c>
      <c r="AA85" s="238" t="str">
        <f>데이터입력!$AC$9</f>
        <v>일반사업[일반]</v>
      </c>
      <c r="AB85" s="236" t="str">
        <f>IFERROR(IF(데이터입력!$AE$2="추경",VLOOKUP($A85,보수일람표!$A:$M,4,FALSE),""),"")</f>
        <v/>
      </c>
      <c r="AC85" s="236" t="str">
        <f>IFERROR(IF(데이터입력!$AE$2="추경",VLOOKUP($A85,보수일람표!$A:$M,5,FALSE),""),"")</f>
        <v/>
      </c>
      <c r="AD85" s="236" t="str">
        <f>IFERROR(IF(데이터입력!$AE$2="추경",VLOOKUP($A85,보수일람표!$A:$M,6,FALSE),""),"")</f>
        <v/>
      </c>
      <c r="AE85" s="236" t="str">
        <f>IFERROR(IF(데이터입력!$AE$2="추경",VLOOKUP($A85,보수일람표!$A:$M,7,FALSE),""),"")</f>
        <v>직접</v>
      </c>
      <c r="AF85" s="236"/>
      <c r="AG85" s="237">
        <f>IFERROR(IF(데이터입력!$AE$2="추경",VLOOKUP($A85,보수일람표!$A:$M,9,FALSE),""),"")</f>
        <v>0</v>
      </c>
      <c r="AH85" s="237">
        <f>IFERROR(IF(데이터입력!$AE$2="추경",VLOOKUP($A85,보수일람표!$A:$M,10,FALSE),""),"")</f>
        <v>0</v>
      </c>
      <c r="AI85" s="237">
        <f>IFERROR(IF(데이터입력!$AE$2="추경",VLOOKUP($A85,보수일람표!$A:$M,11,FALSE),""),"")</f>
        <v>0</v>
      </c>
      <c r="AJ85" s="237">
        <f>IFERROR(IF(데이터입력!$AE$2="추경",VLOOKUP($A85,보수일람표!$A:$M,12,FALSE),""),"")</f>
        <v>0</v>
      </c>
      <c r="AK85" s="237">
        <f>IFERROR(IF(데이터입력!$AE$2="추경",VLOOKUP($A85,보수일람표!$A:$M,13,FALSE),""),"")</f>
        <v>0</v>
      </c>
    </row>
    <row r="86" spans="1:37">
      <c r="A86" s="233">
        <v>84</v>
      </c>
      <c r="B86" s="719" t="str">
        <f>IFERROR(IF(F86="06",데이터입력!$AB$8,IF(F86="07",데이터입력!$AD$8,IF(F86="05",데이터입력!$AF$8,데이터입력!$AB$8))),데이터입력!$AB$8)</f>
        <v>00</v>
      </c>
      <c r="C86" s="720" t="str">
        <f>데이터입력!$AC$9</f>
        <v>일반사업[일반]</v>
      </c>
      <c r="D86" s="721" t="str">
        <f>IFERROR(IF(AND(데이터입력!$AE$2="추경",데이터입력!$AM$2=TRUE),VLOOKUP($A86,데이터입력!$A:$H,4,FALSE),""),"")</f>
        <v/>
      </c>
      <c r="E86" s="721" t="str">
        <f>IFERROR(IF(AND(데이터입력!$AE$2="추경",데이터입력!$AM$2=TRUE),VLOOKUP($A86,데이터입력!$A:$H,2,FALSE),""),"")</f>
        <v/>
      </c>
      <c r="F86" s="721" t="str">
        <f>IFERROR(IF(AND(데이터입력!$AE$2="추경",데이터입력!$AM$2=TRUE),VLOOKUP($A86,데이터입력!$A:$H,5,FALSE),""),"")</f>
        <v/>
      </c>
      <c r="G86" s="721" t="str">
        <f>IFERROR(IF(AND(데이터입력!$AE$2="추경",데이터입력!$AM$2=TRUE),VLOOKUP($A86,데이터입력!$A:$H,6,FALSE),""),"")</f>
        <v/>
      </c>
      <c r="H86" s="722" t="str">
        <f>IFERROR(IF(AND(데이터입력!$AE$2="추경",데이터입력!$AM$2=TRUE),VLOOKUP($A86,데이터입력!$A:$L,7,FALSE),""),"")</f>
        <v/>
      </c>
      <c r="I86" s="722" t="str">
        <f>IFERROR(IF(AND(데이터입력!$AE$2="추경",데이터입력!$AM$2=TRUE),VLOOKUP($A86,데이터입력!$A:$L,8,FALSE)+VLOOKUP($A86,데이터입력!$A:$L,9,FALSE)+VLOOKUP($A86,데이터입력!$A:$L,10,FALSE),""),"")</f>
        <v/>
      </c>
      <c r="J86" s="723" t="s">
        <v>136</v>
      </c>
      <c r="K86" s="723" t="s">
        <v>136</v>
      </c>
      <c r="L86" s="723" t="s">
        <v>136</v>
      </c>
      <c r="M86" s="715"/>
      <c r="N86" s="233">
        <v>284</v>
      </c>
      <c r="O86" s="727" t="str">
        <f>IFERROR(IF(S86="06",데이터입력!$AB$8,IF(S86="07",데이터입력!$AD$8,IF(S86="05",데이터입력!$AF$8,데이터입력!$AB$8))),데이터입력!$AB$8)</f>
        <v>00</v>
      </c>
      <c r="P86" s="728" t="str">
        <f>데이터입력!$AC$9</f>
        <v>일반사업[일반]</v>
      </c>
      <c r="Q86" s="729" t="str">
        <f>IFERROR(IF(데이터입력!$AE$2="추경",VLOOKUP($N86,데이터입력!$A:$H,4,FALSE),""),"")</f>
        <v/>
      </c>
      <c r="R86" s="729" t="str">
        <f>IFERROR(IF(데이터입력!$AE$2="추경",VLOOKUP($N86,데이터입력!$A:$H,2,FALSE),""),"")</f>
        <v/>
      </c>
      <c r="S86" s="729" t="str">
        <f>IFERROR(IF(데이터입력!$AE$2="추경",VLOOKUP($N86,데이터입력!$A:$H,5,FALSE),""),"")</f>
        <v/>
      </c>
      <c r="T86" s="729" t="str">
        <f>IFERROR(IF(데이터입력!$AE$2="추경",VLOOKUP($N86,데이터입력!$A:$H,6,FALSE),""),"")</f>
        <v/>
      </c>
      <c r="U86" s="730" t="str">
        <f>IFERROR(IF(데이터입력!$AE$2="추경",VLOOKUP($N86,데이터입력!$A:$L,8,FALSE)+VLOOKUP($N86,데이터입력!$A:$L,9,FALSE)+VLOOKUP($N86,데이터입력!$A:$L,10,FALSE),""),"")</f>
        <v/>
      </c>
      <c r="V86" s="731" t="s">
        <v>136</v>
      </c>
      <c r="W86" s="731" t="s">
        <v>136</v>
      </c>
      <c r="X86" s="731" t="s">
        <v>136</v>
      </c>
      <c r="Y86" s="712"/>
      <c r="Z86" s="235" t="str">
        <f>데이터입력!$AB$8</f>
        <v>00</v>
      </c>
      <c r="AA86" s="238" t="str">
        <f>데이터입력!$AC$9</f>
        <v>일반사업[일반]</v>
      </c>
      <c r="AB86" s="236" t="str">
        <f>IFERROR(IF(데이터입력!$AE$2="추경",VLOOKUP($A86,보수일람표!$A:$M,4,FALSE),""),"")</f>
        <v/>
      </c>
      <c r="AC86" s="236" t="str">
        <f>IFERROR(IF(데이터입력!$AE$2="추경",VLOOKUP($A86,보수일람표!$A:$M,5,FALSE),""),"")</f>
        <v/>
      </c>
      <c r="AD86" s="236" t="str">
        <f>IFERROR(IF(데이터입력!$AE$2="추경",VLOOKUP($A86,보수일람표!$A:$M,6,FALSE),""),"")</f>
        <v/>
      </c>
      <c r="AE86" s="236" t="str">
        <f>IFERROR(IF(데이터입력!$AE$2="추경",VLOOKUP($A86,보수일람표!$A:$M,7,FALSE),""),"")</f>
        <v>직접</v>
      </c>
      <c r="AF86" s="236"/>
      <c r="AG86" s="237">
        <f>IFERROR(IF(데이터입력!$AE$2="추경",VLOOKUP($A86,보수일람표!$A:$M,9,FALSE),""),"")</f>
        <v>0</v>
      </c>
      <c r="AH86" s="237">
        <f>IFERROR(IF(데이터입력!$AE$2="추경",VLOOKUP($A86,보수일람표!$A:$M,10,FALSE),""),"")</f>
        <v>0</v>
      </c>
      <c r="AI86" s="237">
        <f>IFERROR(IF(데이터입력!$AE$2="추경",VLOOKUP($A86,보수일람표!$A:$M,11,FALSE),""),"")</f>
        <v>0</v>
      </c>
      <c r="AJ86" s="237">
        <f>IFERROR(IF(데이터입력!$AE$2="추경",VLOOKUP($A86,보수일람표!$A:$M,12,FALSE),""),"")</f>
        <v>0</v>
      </c>
      <c r="AK86" s="237">
        <f>IFERROR(IF(데이터입력!$AE$2="추경",VLOOKUP($A86,보수일람표!$A:$M,13,FALSE),""),"")</f>
        <v>0</v>
      </c>
    </row>
    <row r="87" spans="1:37">
      <c r="A87" s="233">
        <v>85</v>
      </c>
      <c r="B87" s="719" t="str">
        <f>IFERROR(IF(F87="06",데이터입력!$AB$8,IF(F87="07",데이터입력!$AD$8,IF(F87="05",데이터입력!$AF$8,데이터입력!$AB$8))),데이터입력!$AB$8)</f>
        <v>00</v>
      </c>
      <c r="C87" s="720" t="str">
        <f>데이터입력!$AC$9</f>
        <v>일반사업[일반]</v>
      </c>
      <c r="D87" s="721" t="str">
        <f>IFERROR(IF(AND(데이터입력!$AE$2="추경",데이터입력!$AM$2=TRUE),VLOOKUP($A87,데이터입력!$A:$H,4,FALSE),""),"")</f>
        <v/>
      </c>
      <c r="E87" s="721" t="str">
        <f>IFERROR(IF(AND(데이터입력!$AE$2="추경",데이터입력!$AM$2=TRUE),VLOOKUP($A87,데이터입력!$A:$H,2,FALSE),""),"")</f>
        <v/>
      </c>
      <c r="F87" s="721" t="str">
        <f>IFERROR(IF(AND(데이터입력!$AE$2="추경",데이터입력!$AM$2=TRUE),VLOOKUP($A87,데이터입력!$A:$H,5,FALSE),""),"")</f>
        <v/>
      </c>
      <c r="G87" s="721" t="str">
        <f>IFERROR(IF(AND(데이터입력!$AE$2="추경",데이터입력!$AM$2=TRUE),VLOOKUP($A87,데이터입력!$A:$H,6,FALSE),""),"")</f>
        <v/>
      </c>
      <c r="H87" s="722" t="str">
        <f>IFERROR(IF(AND(데이터입력!$AE$2="추경",데이터입력!$AM$2=TRUE),VLOOKUP($A87,데이터입력!$A:$L,7,FALSE),""),"")</f>
        <v/>
      </c>
      <c r="I87" s="722" t="str">
        <f>IFERROR(IF(AND(데이터입력!$AE$2="추경",데이터입력!$AM$2=TRUE),VLOOKUP($A87,데이터입력!$A:$L,8,FALSE)+VLOOKUP($A87,데이터입력!$A:$L,9,FALSE)+VLOOKUP($A87,데이터입력!$A:$L,10,FALSE),""),"")</f>
        <v/>
      </c>
      <c r="J87" s="723" t="s">
        <v>136</v>
      </c>
      <c r="K87" s="723" t="s">
        <v>136</v>
      </c>
      <c r="L87" s="723" t="s">
        <v>136</v>
      </c>
      <c r="M87" s="715"/>
      <c r="N87" s="233">
        <v>285</v>
      </c>
      <c r="O87" s="727" t="str">
        <f>IFERROR(IF(S87="06",데이터입력!$AB$8,IF(S87="07",데이터입력!$AD$8,IF(S87="05",데이터입력!$AF$8,데이터입력!$AB$8))),데이터입력!$AB$8)</f>
        <v>00</v>
      </c>
      <c r="P87" s="728" t="str">
        <f>데이터입력!$AC$9</f>
        <v>일반사업[일반]</v>
      </c>
      <c r="Q87" s="729" t="str">
        <f>IFERROR(IF(데이터입력!$AE$2="추경",VLOOKUP($N87,데이터입력!$A:$H,4,FALSE),""),"")</f>
        <v/>
      </c>
      <c r="R87" s="729" t="str">
        <f>IFERROR(IF(데이터입력!$AE$2="추경",VLOOKUP($N87,데이터입력!$A:$H,2,FALSE),""),"")</f>
        <v/>
      </c>
      <c r="S87" s="729" t="str">
        <f>IFERROR(IF(데이터입력!$AE$2="추경",VLOOKUP($N87,데이터입력!$A:$H,5,FALSE),""),"")</f>
        <v/>
      </c>
      <c r="T87" s="729" t="str">
        <f>IFERROR(IF(데이터입력!$AE$2="추경",VLOOKUP($N87,데이터입력!$A:$H,6,FALSE),""),"")</f>
        <v/>
      </c>
      <c r="U87" s="730" t="str">
        <f>IFERROR(IF(데이터입력!$AE$2="추경",VLOOKUP($N87,데이터입력!$A:$L,8,FALSE)+VLOOKUP($N87,데이터입력!$A:$L,9,FALSE)+VLOOKUP($N87,데이터입력!$A:$L,10,FALSE),""),"")</f>
        <v/>
      </c>
      <c r="V87" s="731" t="s">
        <v>136</v>
      </c>
      <c r="W87" s="731" t="s">
        <v>136</v>
      </c>
      <c r="X87" s="731" t="s">
        <v>136</v>
      </c>
      <c r="Y87" s="712"/>
      <c r="Z87" s="235" t="str">
        <f>데이터입력!$AB$8</f>
        <v>00</v>
      </c>
      <c r="AA87" s="238" t="str">
        <f>데이터입력!$AC$9</f>
        <v>일반사업[일반]</v>
      </c>
      <c r="AB87" s="236" t="str">
        <f>IFERROR(IF(데이터입력!$AE$2="추경",VLOOKUP($A87,보수일람표!$A:$M,4,FALSE),""),"")</f>
        <v/>
      </c>
      <c r="AC87" s="236" t="str">
        <f>IFERROR(IF(데이터입력!$AE$2="추경",VLOOKUP($A87,보수일람표!$A:$M,5,FALSE),""),"")</f>
        <v/>
      </c>
      <c r="AD87" s="236" t="str">
        <f>IFERROR(IF(데이터입력!$AE$2="추경",VLOOKUP($A87,보수일람표!$A:$M,6,FALSE),""),"")</f>
        <v/>
      </c>
      <c r="AE87" s="236" t="str">
        <f>IFERROR(IF(데이터입력!$AE$2="추경",VLOOKUP($A87,보수일람표!$A:$M,7,FALSE),""),"")</f>
        <v>직접</v>
      </c>
      <c r="AF87" s="236"/>
      <c r="AG87" s="237">
        <f>IFERROR(IF(데이터입력!$AE$2="추경",VLOOKUP($A87,보수일람표!$A:$M,9,FALSE),""),"")</f>
        <v>0</v>
      </c>
      <c r="AH87" s="237">
        <f>IFERROR(IF(데이터입력!$AE$2="추경",VLOOKUP($A87,보수일람표!$A:$M,10,FALSE),""),"")</f>
        <v>0</v>
      </c>
      <c r="AI87" s="237">
        <f>IFERROR(IF(데이터입력!$AE$2="추경",VLOOKUP($A87,보수일람표!$A:$M,11,FALSE),""),"")</f>
        <v>0</v>
      </c>
      <c r="AJ87" s="237">
        <f>IFERROR(IF(데이터입력!$AE$2="추경",VLOOKUP($A87,보수일람표!$A:$M,12,FALSE),""),"")</f>
        <v>0</v>
      </c>
      <c r="AK87" s="237">
        <f>IFERROR(IF(데이터입력!$AE$2="추경",VLOOKUP($A87,보수일람표!$A:$M,13,FALSE),""),"")</f>
        <v>0</v>
      </c>
    </row>
    <row r="88" spans="1:37">
      <c r="A88" s="233">
        <v>86</v>
      </c>
      <c r="B88" s="719" t="str">
        <f>IFERROR(IF(F88="06",데이터입력!$AB$8,IF(F88="07",데이터입력!$AD$8,IF(F88="05",데이터입력!$AF$8,데이터입력!$AB$8))),데이터입력!$AB$8)</f>
        <v>00</v>
      </c>
      <c r="C88" s="720" t="str">
        <f>데이터입력!$AC$9</f>
        <v>일반사업[일반]</v>
      </c>
      <c r="D88" s="721" t="str">
        <f>IFERROR(IF(AND(데이터입력!$AE$2="추경",데이터입력!$AM$2=TRUE),VLOOKUP($A88,데이터입력!$A:$H,4,FALSE),""),"")</f>
        <v/>
      </c>
      <c r="E88" s="721" t="str">
        <f>IFERROR(IF(AND(데이터입력!$AE$2="추경",데이터입력!$AM$2=TRUE),VLOOKUP($A88,데이터입력!$A:$H,2,FALSE),""),"")</f>
        <v/>
      </c>
      <c r="F88" s="721" t="str">
        <f>IFERROR(IF(AND(데이터입력!$AE$2="추경",데이터입력!$AM$2=TRUE),VLOOKUP($A88,데이터입력!$A:$H,5,FALSE),""),"")</f>
        <v/>
      </c>
      <c r="G88" s="721" t="str">
        <f>IFERROR(IF(AND(데이터입력!$AE$2="추경",데이터입력!$AM$2=TRUE),VLOOKUP($A88,데이터입력!$A:$H,6,FALSE),""),"")</f>
        <v/>
      </c>
      <c r="H88" s="722" t="str">
        <f>IFERROR(IF(AND(데이터입력!$AE$2="추경",데이터입력!$AM$2=TRUE),VLOOKUP($A88,데이터입력!$A:$L,7,FALSE),""),"")</f>
        <v/>
      </c>
      <c r="I88" s="722" t="str">
        <f>IFERROR(IF(AND(데이터입력!$AE$2="추경",데이터입력!$AM$2=TRUE),VLOOKUP($A88,데이터입력!$A:$L,8,FALSE)+VLOOKUP($A88,데이터입력!$A:$L,9,FALSE)+VLOOKUP($A88,데이터입력!$A:$L,10,FALSE),""),"")</f>
        <v/>
      </c>
      <c r="J88" s="723" t="s">
        <v>136</v>
      </c>
      <c r="K88" s="723" t="s">
        <v>136</v>
      </c>
      <c r="L88" s="723" t="s">
        <v>136</v>
      </c>
      <c r="M88" s="715"/>
      <c r="N88" s="233">
        <v>286</v>
      </c>
      <c r="O88" s="727" t="str">
        <f>IFERROR(IF(S88="06",데이터입력!$AB$8,IF(S88="07",데이터입력!$AD$8,IF(S88="05",데이터입력!$AF$8,데이터입력!$AB$8))),데이터입력!$AB$8)</f>
        <v>00</v>
      </c>
      <c r="P88" s="728" t="str">
        <f>데이터입력!$AC$9</f>
        <v>일반사업[일반]</v>
      </c>
      <c r="Q88" s="729" t="str">
        <f>IFERROR(IF(데이터입력!$AE$2="추경",VLOOKUP($N88,데이터입력!$A:$H,4,FALSE),""),"")</f>
        <v/>
      </c>
      <c r="R88" s="729" t="str">
        <f>IFERROR(IF(데이터입력!$AE$2="추경",VLOOKUP($N88,데이터입력!$A:$H,2,FALSE),""),"")</f>
        <v/>
      </c>
      <c r="S88" s="729" t="str">
        <f>IFERROR(IF(데이터입력!$AE$2="추경",VLOOKUP($N88,데이터입력!$A:$H,5,FALSE),""),"")</f>
        <v/>
      </c>
      <c r="T88" s="729" t="str">
        <f>IFERROR(IF(데이터입력!$AE$2="추경",VLOOKUP($N88,데이터입력!$A:$H,6,FALSE),""),"")</f>
        <v/>
      </c>
      <c r="U88" s="730" t="str">
        <f>IFERROR(IF(데이터입력!$AE$2="추경",VLOOKUP($N88,데이터입력!$A:$L,8,FALSE)+VLOOKUP($N88,데이터입력!$A:$L,9,FALSE)+VLOOKUP($N88,데이터입력!$A:$L,10,FALSE),""),"")</f>
        <v/>
      </c>
      <c r="V88" s="731" t="s">
        <v>136</v>
      </c>
      <c r="W88" s="731" t="s">
        <v>136</v>
      </c>
      <c r="X88" s="731" t="s">
        <v>136</v>
      </c>
      <c r="Y88" s="712"/>
      <c r="Z88" s="235" t="str">
        <f>데이터입력!$AB$8</f>
        <v>00</v>
      </c>
      <c r="AA88" s="238" t="str">
        <f>데이터입력!$AC$9</f>
        <v>일반사업[일반]</v>
      </c>
      <c r="AB88" s="236" t="str">
        <f>IFERROR(IF(데이터입력!$AE$2="추경",VLOOKUP($A88,보수일람표!$A:$M,4,FALSE),""),"")</f>
        <v/>
      </c>
      <c r="AC88" s="236" t="str">
        <f>IFERROR(IF(데이터입력!$AE$2="추경",VLOOKUP($A88,보수일람표!$A:$M,5,FALSE),""),"")</f>
        <v/>
      </c>
      <c r="AD88" s="236" t="str">
        <f>IFERROR(IF(데이터입력!$AE$2="추경",VLOOKUP($A88,보수일람표!$A:$M,6,FALSE),""),"")</f>
        <v/>
      </c>
      <c r="AE88" s="236" t="str">
        <f>IFERROR(IF(데이터입력!$AE$2="추경",VLOOKUP($A88,보수일람표!$A:$M,7,FALSE),""),"")</f>
        <v>직접</v>
      </c>
      <c r="AF88" s="236"/>
      <c r="AG88" s="237">
        <f>IFERROR(IF(데이터입력!$AE$2="추경",VLOOKUP($A88,보수일람표!$A:$M,9,FALSE),""),"")</f>
        <v>0</v>
      </c>
      <c r="AH88" s="237">
        <f>IFERROR(IF(데이터입력!$AE$2="추경",VLOOKUP($A88,보수일람표!$A:$M,10,FALSE),""),"")</f>
        <v>0</v>
      </c>
      <c r="AI88" s="237">
        <f>IFERROR(IF(데이터입력!$AE$2="추경",VLOOKUP($A88,보수일람표!$A:$M,11,FALSE),""),"")</f>
        <v>0</v>
      </c>
      <c r="AJ88" s="237">
        <f>IFERROR(IF(데이터입력!$AE$2="추경",VLOOKUP($A88,보수일람표!$A:$M,12,FALSE),""),"")</f>
        <v>0</v>
      </c>
      <c r="AK88" s="237">
        <f>IFERROR(IF(데이터입력!$AE$2="추경",VLOOKUP($A88,보수일람표!$A:$M,13,FALSE),""),"")</f>
        <v>0</v>
      </c>
    </row>
    <row r="89" spans="1:37">
      <c r="A89" s="233">
        <v>87</v>
      </c>
      <c r="B89" s="719" t="str">
        <f>IFERROR(IF(F89="06",데이터입력!$AB$8,IF(F89="07",데이터입력!$AD$8,IF(F89="05",데이터입력!$AF$8,데이터입력!$AB$8))),데이터입력!$AB$8)</f>
        <v>00</v>
      </c>
      <c r="C89" s="720" t="str">
        <f>데이터입력!$AC$9</f>
        <v>일반사업[일반]</v>
      </c>
      <c r="D89" s="721" t="str">
        <f>IFERROR(IF(AND(데이터입력!$AE$2="추경",데이터입력!$AM$2=TRUE),VLOOKUP($A89,데이터입력!$A:$H,4,FALSE),""),"")</f>
        <v/>
      </c>
      <c r="E89" s="721" t="str">
        <f>IFERROR(IF(AND(데이터입력!$AE$2="추경",데이터입력!$AM$2=TRUE),VLOOKUP($A89,데이터입력!$A:$H,2,FALSE),""),"")</f>
        <v/>
      </c>
      <c r="F89" s="721" t="str">
        <f>IFERROR(IF(AND(데이터입력!$AE$2="추경",데이터입력!$AM$2=TRUE),VLOOKUP($A89,데이터입력!$A:$H,5,FALSE),""),"")</f>
        <v/>
      </c>
      <c r="G89" s="721" t="str">
        <f>IFERROR(IF(AND(데이터입력!$AE$2="추경",데이터입력!$AM$2=TRUE),VLOOKUP($A89,데이터입력!$A:$H,6,FALSE),""),"")</f>
        <v/>
      </c>
      <c r="H89" s="722" t="str">
        <f>IFERROR(IF(AND(데이터입력!$AE$2="추경",데이터입력!$AM$2=TRUE),VLOOKUP($A89,데이터입력!$A:$L,7,FALSE),""),"")</f>
        <v/>
      </c>
      <c r="I89" s="722" t="str">
        <f>IFERROR(IF(AND(데이터입력!$AE$2="추경",데이터입력!$AM$2=TRUE),VLOOKUP($A89,데이터입력!$A:$L,8,FALSE)+VLOOKUP($A89,데이터입력!$A:$L,9,FALSE)+VLOOKUP($A89,데이터입력!$A:$L,10,FALSE),""),"")</f>
        <v/>
      </c>
      <c r="J89" s="723" t="s">
        <v>136</v>
      </c>
      <c r="K89" s="723" t="s">
        <v>136</v>
      </c>
      <c r="L89" s="723" t="s">
        <v>136</v>
      </c>
      <c r="M89" s="715"/>
      <c r="N89" s="233">
        <v>287</v>
      </c>
      <c r="O89" s="727" t="str">
        <f>IFERROR(IF(S89="06",데이터입력!$AB$8,IF(S89="07",데이터입력!$AD$8,IF(S89="05",데이터입력!$AF$8,데이터입력!$AB$8))),데이터입력!$AB$8)</f>
        <v>00</v>
      </c>
      <c r="P89" s="728" t="str">
        <f>데이터입력!$AC$9</f>
        <v>일반사업[일반]</v>
      </c>
      <c r="Q89" s="729" t="str">
        <f>IFERROR(IF(데이터입력!$AE$2="추경",VLOOKUP($N89,데이터입력!$A:$H,4,FALSE),""),"")</f>
        <v/>
      </c>
      <c r="R89" s="729" t="str">
        <f>IFERROR(IF(데이터입력!$AE$2="추경",VLOOKUP($N89,데이터입력!$A:$H,2,FALSE),""),"")</f>
        <v/>
      </c>
      <c r="S89" s="729" t="str">
        <f>IFERROR(IF(데이터입력!$AE$2="추경",VLOOKUP($N89,데이터입력!$A:$H,5,FALSE),""),"")</f>
        <v/>
      </c>
      <c r="T89" s="729" t="str">
        <f>IFERROR(IF(데이터입력!$AE$2="추경",VLOOKUP($N89,데이터입력!$A:$H,6,FALSE),""),"")</f>
        <v/>
      </c>
      <c r="U89" s="730" t="str">
        <f>IFERROR(IF(데이터입력!$AE$2="추경",VLOOKUP($N89,데이터입력!$A:$L,8,FALSE)+VLOOKUP($N89,데이터입력!$A:$L,9,FALSE)+VLOOKUP($N89,데이터입력!$A:$L,10,FALSE),""),"")</f>
        <v/>
      </c>
      <c r="V89" s="731" t="s">
        <v>136</v>
      </c>
      <c r="W89" s="731" t="s">
        <v>136</v>
      </c>
      <c r="X89" s="731" t="s">
        <v>136</v>
      </c>
      <c r="Y89" s="712"/>
      <c r="Z89" s="235" t="str">
        <f>데이터입력!$AB$8</f>
        <v>00</v>
      </c>
      <c r="AA89" s="238" t="str">
        <f>데이터입력!$AC$9</f>
        <v>일반사업[일반]</v>
      </c>
      <c r="AB89" s="236" t="str">
        <f>IFERROR(IF(데이터입력!$AE$2="추경",VLOOKUP($A89,보수일람표!$A:$M,4,FALSE),""),"")</f>
        <v/>
      </c>
      <c r="AC89" s="236" t="str">
        <f>IFERROR(IF(데이터입력!$AE$2="추경",VLOOKUP($A89,보수일람표!$A:$M,5,FALSE),""),"")</f>
        <v/>
      </c>
      <c r="AD89" s="236" t="str">
        <f>IFERROR(IF(데이터입력!$AE$2="추경",VLOOKUP($A89,보수일람표!$A:$M,6,FALSE),""),"")</f>
        <v/>
      </c>
      <c r="AE89" s="236" t="str">
        <f>IFERROR(IF(데이터입력!$AE$2="추경",VLOOKUP($A89,보수일람표!$A:$M,7,FALSE),""),"")</f>
        <v>직접</v>
      </c>
      <c r="AF89" s="236"/>
      <c r="AG89" s="237">
        <f>IFERROR(IF(데이터입력!$AE$2="추경",VLOOKUP($A89,보수일람표!$A:$M,9,FALSE),""),"")</f>
        <v>0</v>
      </c>
      <c r="AH89" s="237">
        <f>IFERROR(IF(데이터입력!$AE$2="추경",VLOOKUP($A89,보수일람표!$A:$M,10,FALSE),""),"")</f>
        <v>0</v>
      </c>
      <c r="AI89" s="237">
        <f>IFERROR(IF(데이터입력!$AE$2="추경",VLOOKUP($A89,보수일람표!$A:$M,11,FALSE),""),"")</f>
        <v>0</v>
      </c>
      <c r="AJ89" s="237">
        <f>IFERROR(IF(데이터입력!$AE$2="추경",VLOOKUP($A89,보수일람표!$A:$M,12,FALSE),""),"")</f>
        <v>0</v>
      </c>
      <c r="AK89" s="237">
        <f>IFERROR(IF(데이터입력!$AE$2="추경",VLOOKUP($A89,보수일람표!$A:$M,13,FALSE),""),"")</f>
        <v>0</v>
      </c>
    </row>
    <row r="90" spans="1:37">
      <c r="A90" s="233">
        <v>88</v>
      </c>
      <c r="B90" s="719" t="str">
        <f>IFERROR(IF(F90="06",데이터입력!$AB$8,IF(F90="07",데이터입력!$AD$8,IF(F90="05",데이터입력!$AF$8,데이터입력!$AB$8))),데이터입력!$AB$8)</f>
        <v>00</v>
      </c>
      <c r="C90" s="720" t="str">
        <f>데이터입력!$AC$9</f>
        <v>일반사업[일반]</v>
      </c>
      <c r="D90" s="721" t="str">
        <f>IFERROR(IF(AND(데이터입력!$AE$2="추경",데이터입력!$AM$2=TRUE),VLOOKUP($A90,데이터입력!$A:$H,4,FALSE),""),"")</f>
        <v/>
      </c>
      <c r="E90" s="721" t="str">
        <f>IFERROR(IF(AND(데이터입력!$AE$2="추경",데이터입력!$AM$2=TRUE),VLOOKUP($A90,데이터입력!$A:$H,2,FALSE),""),"")</f>
        <v/>
      </c>
      <c r="F90" s="721" t="str">
        <f>IFERROR(IF(AND(데이터입력!$AE$2="추경",데이터입력!$AM$2=TRUE),VLOOKUP($A90,데이터입력!$A:$H,5,FALSE),""),"")</f>
        <v/>
      </c>
      <c r="G90" s="721" t="str">
        <f>IFERROR(IF(AND(데이터입력!$AE$2="추경",데이터입력!$AM$2=TRUE),VLOOKUP($A90,데이터입력!$A:$H,6,FALSE),""),"")</f>
        <v/>
      </c>
      <c r="H90" s="722" t="str">
        <f>IFERROR(IF(AND(데이터입력!$AE$2="추경",데이터입력!$AM$2=TRUE),VLOOKUP($A90,데이터입력!$A:$L,7,FALSE),""),"")</f>
        <v/>
      </c>
      <c r="I90" s="722" t="str">
        <f>IFERROR(IF(AND(데이터입력!$AE$2="추경",데이터입력!$AM$2=TRUE),VLOOKUP($A90,데이터입력!$A:$L,8,FALSE)+VLOOKUP($A90,데이터입력!$A:$L,9,FALSE)+VLOOKUP($A90,데이터입력!$A:$L,10,FALSE),""),"")</f>
        <v/>
      </c>
      <c r="J90" s="723" t="s">
        <v>136</v>
      </c>
      <c r="K90" s="723" t="s">
        <v>136</v>
      </c>
      <c r="L90" s="723" t="s">
        <v>136</v>
      </c>
      <c r="M90" s="715"/>
      <c r="N90" s="233">
        <v>288</v>
      </c>
      <c r="O90" s="727" t="str">
        <f>IFERROR(IF(S90="06",데이터입력!$AB$8,IF(S90="07",데이터입력!$AD$8,IF(S90="05",데이터입력!$AF$8,데이터입력!$AB$8))),데이터입력!$AB$8)</f>
        <v>00</v>
      </c>
      <c r="P90" s="728" t="str">
        <f>데이터입력!$AC$9</f>
        <v>일반사업[일반]</v>
      </c>
      <c r="Q90" s="729" t="str">
        <f>IFERROR(IF(데이터입력!$AE$2="추경",VLOOKUP($N90,데이터입력!$A:$H,4,FALSE),""),"")</f>
        <v/>
      </c>
      <c r="R90" s="729" t="str">
        <f>IFERROR(IF(데이터입력!$AE$2="추경",VLOOKUP($N90,데이터입력!$A:$H,2,FALSE),""),"")</f>
        <v/>
      </c>
      <c r="S90" s="729" t="str">
        <f>IFERROR(IF(데이터입력!$AE$2="추경",VLOOKUP($N90,데이터입력!$A:$H,5,FALSE),""),"")</f>
        <v/>
      </c>
      <c r="T90" s="729" t="str">
        <f>IFERROR(IF(데이터입력!$AE$2="추경",VLOOKUP($N90,데이터입력!$A:$H,6,FALSE),""),"")</f>
        <v/>
      </c>
      <c r="U90" s="730" t="str">
        <f>IFERROR(IF(데이터입력!$AE$2="추경",VLOOKUP($N90,데이터입력!$A:$L,8,FALSE)+VLOOKUP($N90,데이터입력!$A:$L,9,FALSE)+VLOOKUP($N90,데이터입력!$A:$L,10,FALSE),""),"")</f>
        <v/>
      </c>
      <c r="V90" s="731" t="s">
        <v>136</v>
      </c>
      <c r="W90" s="731" t="s">
        <v>136</v>
      </c>
      <c r="X90" s="731" t="s">
        <v>136</v>
      </c>
      <c r="Y90" s="712"/>
      <c r="Z90" s="235" t="str">
        <f>데이터입력!$AB$8</f>
        <v>00</v>
      </c>
      <c r="AA90" s="238" t="str">
        <f>데이터입력!$AC$9</f>
        <v>일반사업[일반]</v>
      </c>
      <c r="AB90" s="236" t="str">
        <f>IFERROR(IF(데이터입력!$AE$2="추경",VLOOKUP($A90,보수일람표!$A:$M,4,FALSE),""),"")</f>
        <v/>
      </c>
      <c r="AC90" s="236" t="str">
        <f>IFERROR(IF(데이터입력!$AE$2="추경",VLOOKUP($A90,보수일람표!$A:$M,5,FALSE),""),"")</f>
        <v/>
      </c>
      <c r="AD90" s="236" t="str">
        <f>IFERROR(IF(데이터입력!$AE$2="추경",VLOOKUP($A90,보수일람표!$A:$M,6,FALSE),""),"")</f>
        <v/>
      </c>
      <c r="AE90" s="236" t="str">
        <f>IFERROR(IF(데이터입력!$AE$2="추경",VLOOKUP($A90,보수일람표!$A:$M,7,FALSE),""),"")</f>
        <v>직접</v>
      </c>
      <c r="AF90" s="236"/>
      <c r="AG90" s="237">
        <f>IFERROR(IF(데이터입력!$AE$2="추경",VLOOKUP($A90,보수일람표!$A:$M,9,FALSE),""),"")</f>
        <v>0</v>
      </c>
      <c r="AH90" s="237">
        <f>IFERROR(IF(데이터입력!$AE$2="추경",VLOOKUP($A90,보수일람표!$A:$M,10,FALSE),""),"")</f>
        <v>0</v>
      </c>
      <c r="AI90" s="237">
        <f>IFERROR(IF(데이터입력!$AE$2="추경",VLOOKUP($A90,보수일람표!$A:$M,11,FALSE),""),"")</f>
        <v>0</v>
      </c>
      <c r="AJ90" s="237">
        <f>IFERROR(IF(데이터입력!$AE$2="추경",VLOOKUP($A90,보수일람표!$A:$M,12,FALSE),""),"")</f>
        <v>0</v>
      </c>
      <c r="AK90" s="237">
        <f>IFERROR(IF(데이터입력!$AE$2="추경",VLOOKUP($A90,보수일람표!$A:$M,13,FALSE),""),"")</f>
        <v>0</v>
      </c>
    </row>
    <row r="91" spans="1:37">
      <c r="A91" s="233">
        <v>89</v>
      </c>
      <c r="B91" s="719" t="str">
        <f>IFERROR(IF(F91="06",데이터입력!$AB$8,IF(F91="07",데이터입력!$AD$8,IF(F91="05",데이터입력!$AF$8,데이터입력!$AB$8))),데이터입력!$AB$8)</f>
        <v>00</v>
      </c>
      <c r="C91" s="720" t="str">
        <f>데이터입력!$AC$9</f>
        <v>일반사업[일반]</v>
      </c>
      <c r="D91" s="721" t="str">
        <f>IFERROR(IF(AND(데이터입력!$AE$2="추경",데이터입력!$AM$2=TRUE),VLOOKUP($A91,데이터입력!$A:$H,4,FALSE),""),"")</f>
        <v/>
      </c>
      <c r="E91" s="721" t="str">
        <f>IFERROR(IF(AND(데이터입력!$AE$2="추경",데이터입력!$AM$2=TRUE),VLOOKUP($A91,데이터입력!$A:$H,2,FALSE),""),"")</f>
        <v/>
      </c>
      <c r="F91" s="721" t="str">
        <f>IFERROR(IF(AND(데이터입력!$AE$2="추경",데이터입력!$AM$2=TRUE),VLOOKUP($A91,데이터입력!$A:$H,5,FALSE),""),"")</f>
        <v/>
      </c>
      <c r="G91" s="721" t="str">
        <f>IFERROR(IF(AND(데이터입력!$AE$2="추경",데이터입력!$AM$2=TRUE),VLOOKUP($A91,데이터입력!$A:$H,6,FALSE),""),"")</f>
        <v/>
      </c>
      <c r="H91" s="722" t="str">
        <f>IFERROR(IF(AND(데이터입력!$AE$2="추경",데이터입력!$AM$2=TRUE),VLOOKUP($A91,데이터입력!$A:$L,7,FALSE),""),"")</f>
        <v/>
      </c>
      <c r="I91" s="722" t="str">
        <f>IFERROR(IF(AND(데이터입력!$AE$2="추경",데이터입력!$AM$2=TRUE),VLOOKUP($A91,데이터입력!$A:$L,8,FALSE)+VLOOKUP($A91,데이터입력!$A:$L,9,FALSE)+VLOOKUP($A91,데이터입력!$A:$L,10,FALSE),""),"")</f>
        <v/>
      </c>
      <c r="J91" s="723" t="s">
        <v>136</v>
      </c>
      <c r="K91" s="723" t="s">
        <v>136</v>
      </c>
      <c r="L91" s="723" t="s">
        <v>136</v>
      </c>
      <c r="M91" s="715"/>
      <c r="N91" s="233">
        <v>289</v>
      </c>
      <c r="O91" s="727" t="str">
        <f>IFERROR(IF(S91="06",데이터입력!$AB$8,IF(S91="07",데이터입력!$AD$8,IF(S91="05",데이터입력!$AF$8,데이터입력!$AB$8))),데이터입력!$AB$8)</f>
        <v>00</v>
      </c>
      <c r="P91" s="728" t="str">
        <f>데이터입력!$AC$9</f>
        <v>일반사업[일반]</v>
      </c>
      <c r="Q91" s="729" t="str">
        <f>IFERROR(IF(데이터입력!$AE$2="추경",VLOOKUP($N91,데이터입력!$A:$H,4,FALSE),""),"")</f>
        <v/>
      </c>
      <c r="R91" s="729" t="str">
        <f>IFERROR(IF(데이터입력!$AE$2="추경",VLOOKUP($N91,데이터입력!$A:$H,2,FALSE),""),"")</f>
        <v/>
      </c>
      <c r="S91" s="729" t="str">
        <f>IFERROR(IF(데이터입력!$AE$2="추경",VLOOKUP($N91,데이터입력!$A:$H,5,FALSE),""),"")</f>
        <v/>
      </c>
      <c r="T91" s="729" t="str">
        <f>IFERROR(IF(데이터입력!$AE$2="추경",VLOOKUP($N91,데이터입력!$A:$H,6,FALSE),""),"")</f>
        <v/>
      </c>
      <c r="U91" s="730" t="str">
        <f>IFERROR(IF(데이터입력!$AE$2="추경",VLOOKUP($N91,데이터입력!$A:$L,8,FALSE)+VLOOKUP($N91,데이터입력!$A:$L,9,FALSE)+VLOOKUP($N91,데이터입력!$A:$L,10,FALSE),""),"")</f>
        <v/>
      </c>
      <c r="V91" s="731" t="s">
        <v>136</v>
      </c>
      <c r="W91" s="731" t="s">
        <v>136</v>
      </c>
      <c r="X91" s="731" t="s">
        <v>136</v>
      </c>
      <c r="Y91" s="712"/>
      <c r="Z91" s="235" t="str">
        <f>데이터입력!$AB$8</f>
        <v>00</v>
      </c>
      <c r="AA91" s="238" t="str">
        <f>데이터입력!$AC$9</f>
        <v>일반사업[일반]</v>
      </c>
      <c r="AB91" s="236" t="str">
        <f>IFERROR(IF(데이터입력!$AE$2="추경",VLOOKUP($A91,보수일람표!$A:$M,4,FALSE),""),"")</f>
        <v/>
      </c>
      <c r="AC91" s="236" t="str">
        <f>IFERROR(IF(데이터입력!$AE$2="추경",VLOOKUP($A91,보수일람표!$A:$M,5,FALSE),""),"")</f>
        <v/>
      </c>
      <c r="AD91" s="236" t="str">
        <f>IFERROR(IF(데이터입력!$AE$2="추경",VLOOKUP($A91,보수일람표!$A:$M,6,FALSE),""),"")</f>
        <v/>
      </c>
      <c r="AE91" s="236" t="str">
        <f>IFERROR(IF(데이터입력!$AE$2="추경",VLOOKUP($A91,보수일람표!$A:$M,7,FALSE),""),"")</f>
        <v>직접</v>
      </c>
      <c r="AF91" s="236"/>
      <c r="AG91" s="237">
        <f>IFERROR(IF(데이터입력!$AE$2="추경",VLOOKUP($A91,보수일람표!$A:$M,9,FALSE),""),"")</f>
        <v>0</v>
      </c>
      <c r="AH91" s="237">
        <f>IFERROR(IF(데이터입력!$AE$2="추경",VLOOKUP($A91,보수일람표!$A:$M,10,FALSE),""),"")</f>
        <v>0</v>
      </c>
      <c r="AI91" s="237">
        <f>IFERROR(IF(데이터입력!$AE$2="추경",VLOOKUP($A91,보수일람표!$A:$M,11,FALSE),""),"")</f>
        <v>0</v>
      </c>
      <c r="AJ91" s="237">
        <f>IFERROR(IF(데이터입력!$AE$2="추경",VLOOKUP($A91,보수일람표!$A:$M,12,FALSE),""),"")</f>
        <v>0</v>
      </c>
      <c r="AK91" s="237">
        <f>IFERROR(IF(데이터입력!$AE$2="추경",VLOOKUP($A91,보수일람표!$A:$M,13,FALSE),""),"")</f>
        <v>0</v>
      </c>
    </row>
    <row r="92" spans="1:37">
      <c r="A92" s="233">
        <v>90</v>
      </c>
      <c r="B92" s="719" t="str">
        <f>IFERROR(IF(F92="06",데이터입력!$AB$8,IF(F92="07",데이터입력!$AD$8,IF(F92="05",데이터입력!$AF$8,데이터입력!$AB$8))),데이터입력!$AB$8)</f>
        <v>00</v>
      </c>
      <c r="C92" s="720" t="str">
        <f>데이터입력!$AC$9</f>
        <v>일반사업[일반]</v>
      </c>
      <c r="D92" s="721" t="str">
        <f>IFERROR(IF(AND(데이터입력!$AE$2="추경",데이터입력!$AM$2=TRUE),VLOOKUP($A92,데이터입력!$A:$H,4,FALSE),""),"")</f>
        <v/>
      </c>
      <c r="E92" s="721" t="str">
        <f>IFERROR(IF(AND(데이터입력!$AE$2="추경",데이터입력!$AM$2=TRUE),VLOOKUP($A92,데이터입력!$A:$H,2,FALSE),""),"")</f>
        <v/>
      </c>
      <c r="F92" s="721" t="str">
        <f>IFERROR(IF(AND(데이터입력!$AE$2="추경",데이터입력!$AM$2=TRUE),VLOOKUP($A92,데이터입력!$A:$H,5,FALSE),""),"")</f>
        <v/>
      </c>
      <c r="G92" s="721" t="str">
        <f>IFERROR(IF(AND(데이터입력!$AE$2="추경",데이터입력!$AM$2=TRUE),VLOOKUP($A92,데이터입력!$A:$H,6,FALSE),""),"")</f>
        <v/>
      </c>
      <c r="H92" s="722" t="str">
        <f>IFERROR(IF(AND(데이터입력!$AE$2="추경",데이터입력!$AM$2=TRUE),VLOOKUP($A92,데이터입력!$A:$L,7,FALSE),""),"")</f>
        <v/>
      </c>
      <c r="I92" s="722" t="str">
        <f>IFERROR(IF(AND(데이터입력!$AE$2="추경",데이터입력!$AM$2=TRUE),VLOOKUP($A92,데이터입력!$A:$L,8,FALSE)+VLOOKUP($A92,데이터입력!$A:$L,9,FALSE)+VLOOKUP($A92,데이터입력!$A:$L,10,FALSE),""),"")</f>
        <v/>
      </c>
      <c r="J92" s="723" t="s">
        <v>136</v>
      </c>
      <c r="K92" s="723" t="s">
        <v>136</v>
      </c>
      <c r="L92" s="723" t="s">
        <v>136</v>
      </c>
      <c r="M92" s="715"/>
      <c r="N92" s="233">
        <v>290</v>
      </c>
      <c r="O92" s="727" t="str">
        <f>IFERROR(IF(S92="06",데이터입력!$AB$8,IF(S92="07",데이터입력!$AD$8,IF(S92="05",데이터입력!$AF$8,데이터입력!$AB$8))),데이터입력!$AB$8)</f>
        <v>00</v>
      </c>
      <c r="P92" s="728" t="str">
        <f>데이터입력!$AC$9</f>
        <v>일반사업[일반]</v>
      </c>
      <c r="Q92" s="729" t="str">
        <f>IFERROR(IF(데이터입력!$AE$2="추경",VLOOKUP($N92,데이터입력!$A:$H,4,FALSE),""),"")</f>
        <v/>
      </c>
      <c r="R92" s="729" t="str">
        <f>IFERROR(IF(데이터입력!$AE$2="추경",VLOOKUP($N92,데이터입력!$A:$H,2,FALSE),""),"")</f>
        <v/>
      </c>
      <c r="S92" s="729" t="str">
        <f>IFERROR(IF(데이터입력!$AE$2="추경",VLOOKUP($N92,데이터입력!$A:$H,5,FALSE),""),"")</f>
        <v/>
      </c>
      <c r="T92" s="729" t="str">
        <f>IFERROR(IF(데이터입력!$AE$2="추경",VLOOKUP($N92,데이터입력!$A:$H,6,FALSE),""),"")</f>
        <v/>
      </c>
      <c r="U92" s="730" t="str">
        <f>IFERROR(IF(데이터입력!$AE$2="추경",VLOOKUP($N92,데이터입력!$A:$L,8,FALSE)+VLOOKUP($N92,데이터입력!$A:$L,9,FALSE)+VLOOKUP($N92,데이터입력!$A:$L,10,FALSE),""),"")</f>
        <v/>
      </c>
      <c r="V92" s="731" t="s">
        <v>136</v>
      </c>
      <c r="W92" s="731" t="s">
        <v>136</v>
      </c>
      <c r="X92" s="731" t="s">
        <v>136</v>
      </c>
      <c r="Y92" s="712"/>
      <c r="Z92" s="235" t="str">
        <f>데이터입력!$AB$8</f>
        <v>00</v>
      </c>
      <c r="AA92" s="238" t="str">
        <f>데이터입력!$AC$9</f>
        <v>일반사업[일반]</v>
      </c>
      <c r="AB92" s="236" t="str">
        <f>IFERROR(IF(데이터입력!$AE$2="추경",VLOOKUP($A92,보수일람표!$A:$M,4,FALSE),""),"")</f>
        <v/>
      </c>
      <c r="AC92" s="236" t="str">
        <f>IFERROR(IF(데이터입력!$AE$2="추경",VLOOKUP($A92,보수일람표!$A:$M,5,FALSE),""),"")</f>
        <v/>
      </c>
      <c r="AD92" s="236" t="str">
        <f>IFERROR(IF(데이터입력!$AE$2="추경",VLOOKUP($A92,보수일람표!$A:$M,6,FALSE),""),"")</f>
        <v/>
      </c>
      <c r="AE92" s="236" t="str">
        <f>IFERROR(IF(데이터입력!$AE$2="추경",VLOOKUP($A92,보수일람표!$A:$M,7,FALSE),""),"")</f>
        <v>직접</v>
      </c>
      <c r="AF92" s="236"/>
      <c r="AG92" s="237">
        <f>IFERROR(IF(데이터입력!$AE$2="추경",VLOOKUP($A92,보수일람표!$A:$M,9,FALSE),""),"")</f>
        <v>0</v>
      </c>
      <c r="AH92" s="237">
        <f>IFERROR(IF(데이터입력!$AE$2="추경",VLOOKUP($A92,보수일람표!$A:$M,10,FALSE),""),"")</f>
        <v>0</v>
      </c>
      <c r="AI92" s="237">
        <f>IFERROR(IF(데이터입력!$AE$2="추경",VLOOKUP($A92,보수일람표!$A:$M,11,FALSE),""),"")</f>
        <v>0</v>
      </c>
      <c r="AJ92" s="237">
        <f>IFERROR(IF(데이터입력!$AE$2="추경",VLOOKUP($A92,보수일람표!$A:$M,12,FALSE),""),"")</f>
        <v>0</v>
      </c>
      <c r="AK92" s="237">
        <f>IFERROR(IF(데이터입력!$AE$2="추경",VLOOKUP($A92,보수일람표!$A:$M,13,FALSE),""),"")</f>
        <v>0</v>
      </c>
    </row>
    <row r="93" spans="1:37">
      <c r="A93" s="233">
        <v>91</v>
      </c>
      <c r="B93" s="719" t="str">
        <f>IFERROR(IF(F93="06",데이터입력!$AB$8,IF(F93="07",데이터입력!$AD$8,IF(F93="05",데이터입력!$AF$8,데이터입력!$AB$8))),데이터입력!$AB$8)</f>
        <v>00</v>
      </c>
      <c r="C93" s="720" t="str">
        <f>데이터입력!$AC$9</f>
        <v>일반사업[일반]</v>
      </c>
      <c r="D93" s="721" t="str">
        <f>IFERROR(IF(AND(데이터입력!$AE$2="추경",데이터입력!$AM$2=TRUE),VLOOKUP($A93,데이터입력!$A:$H,4,FALSE),""),"")</f>
        <v/>
      </c>
      <c r="E93" s="721" t="str">
        <f>IFERROR(IF(AND(데이터입력!$AE$2="추경",데이터입력!$AM$2=TRUE),VLOOKUP($A93,데이터입력!$A:$H,2,FALSE),""),"")</f>
        <v/>
      </c>
      <c r="F93" s="721" t="str">
        <f>IFERROR(IF(AND(데이터입력!$AE$2="추경",데이터입력!$AM$2=TRUE),VLOOKUP($A93,데이터입력!$A:$H,5,FALSE),""),"")</f>
        <v/>
      </c>
      <c r="G93" s="721" t="str">
        <f>IFERROR(IF(AND(데이터입력!$AE$2="추경",데이터입력!$AM$2=TRUE),VLOOKUP($A93,데이터입력!$A:$H,6,FALSE),""),"")</f>
        <v/>
      </c>
      <c r="H93" s="722" t="str">
        <f>IFERROR(IF(AND(데이터입력!$AE$2="추경",데이터입력!$AM$2=TRUE),VLOOKUP($A93,데이터입력!$A:$L,7,FALSE),""),"")</f>
        <v/>
      </c>
      <c r="I93" s="722" t="str">
        <f>IFERROR(IF(AND(데이터입력!$AE$2="추경",데이터입력!$AM$2=TRUE),VLOOKUP($A93,데이터입력!$A:$L,8,FALSE)+VLOOKUP($A93,데이터입력!$A:$L,9,FALSE)+VLOOKUP($A93,데이터입력!$A:$L,10,FALSE),""),"")</f>
        <v/>
      </c>
      <c r="J93" s="723" t="s">
        <v>136</v>
      </c>
      <c r="K93" s="723" t="s">
        <v>136</v>
      </c>
      <c r="L93" s="723" t="s">
        <v>136</v>
      </c>
      <c r="M93" s="715"/>
      <c r="N93" s="233">
        <v>291</v>
      </c>
      <c r="O93" s="727" t="str">
        <f>IFERROR(IF(S93="06",데이터입력!$AB$8,IF(S93="07",데이터입력!$AD$8,IF(S93="05",데이터입력!$AF$8,데이터입력!$AB$8))),데이터입력!$AB$8)</f>
        <v>00</v>
      </c>
      <c r="P93" s="728" t="str">
        <f>데이터입력!$AC$9</f>
        <v>일반사업[일반]</v>
      </c>
      <c r="Q93" s="729" t="str">
        <f>IFERROR(IF(데이터입력!$AE$2="추경",VLOOKUP($N93,데이터입력!$A:$H,4,FALSE),""),"")</f>
        <v/>
      </c>
      <c r="R93" s="729" t="str">
        <f>IFERROR(IF(데이터입력!$AE$2="추경",VLOOKUP($N93,데이터입력!$A:$H,2,FALSE),""),"")</f>
        <v/>
      </c>
      <c r="S93" s="729" t="str">
        <f>IFERROR(IF(데이터입력!$AE$2="추경",VLOOKUP($N93,데이터입력!$A:$H,5,FALSE),""),"")</f>
        <v/>
      </c>
      <c r="T93" s="729" t="str">
        <f>IFERROR(IF(데이터입력!$AE$2="추경",VLOOKUP($N93,데이터입력!$A:$H,6,FALSE),""),"")</f>
        <v/>
      </c>
      <c r="U93" s="730" t="str">
        <f>IFERROR(IF(데이터입력!$AE$2="추경",VLOOKUP($N93,데이터입력!$A:$L,8,FALSE)+VLOOKUP($N93,데이터입력!$A:$L,9,FALSE)+VLOOKUP($N93,데이터입력!$A:$L,10,FALSE),""),"")</f>
        <v/>
      </c>
      <c r="V93" s="731" t="s">
        <v>136</v>
      </c>
      <c r="W93" s="731" t="s">
        <v>136</v>
      </c>
      <c r="X93" s="731" t="s">
        <v>136</v>
      </c>
      <c r="Y93" s="712"/>
      <c r="Z93" s="235" t="str">
        <f>데이터입력!$AB$8</f>
        <v>00</v>
      </c>
      <c r="AA93" s="238" t="str">
        <f>데이터입력!$AC$9</f>
        <v>일반사업[일반]</v>
      </c>
      <c r="AB93" s="236" t="str">
        <f>IFERROR(IF(데이터입력!$AE$2="추경",VLOOKUP($A93,보수일람표!$A:$M,4,FALSE),""),"")</f>
        <v/>
      </c>
      <c r="AC93" s="236" t="str">
        <f>IFERROR(IF(데이터입력!$AE$2="추경",VLOOKUP($A93,보수일람표!$A:$M,5,FALSE),""),"")</f>
        <v/>
      </c>
      <c r="AD93" s="236" t="str">
        <f>IFERROR(IF(데이터입력!$AE$2="추경",VLOOKUP($A93,보수일람표!$A:$M,6,FALSE),""),"")</f>
        <v/>
      </c>
      <c r="AE93" s="236" t="str">
        <f>IFERROR(IF(데이터입력!$AE$2="추경",VLOOKUP($A93,보수일람표!$A:$M,7,FALSE),""),"")</f>
        <v>직접</v>
      </c>
      <c r="AF93" s="236"/>
      <c r="AG93" s="237">
        <f>IFERROR(IF(데이터입력!$AE$2="추경",VLOOKUP($A93,보수일람표!$A:$M,9,FALSE),""),"")</f>
        <v>0</v>
      </c>
      <c r="AH93" s="237">
        <f>IFERROR(IF(데이터입력!$AE$2="추경",VLOOKUP($A93,보수일람표!$A:$M,10,FALSE),""),"")</f>
        <v>0</v>
      </c>
      <c r="AI93" s="237">
        <f>IFERROR(IF(데이터입력!$AE$2="추경",VLOOKUP($A93,보수일람표!$A:$M,11,FALSE),""),"")</f>
        <v>0</v>
      </c>
      <c r="AJ93" s="237">
        <f>IFERROR(IF(데이터입력!$AE$2="추경",VLOOKUP($A93,보수일람표!$A:$M,12,FALSE),""),"")</f>
        <v>0</v>
      </c>
      <c r="AK93" s="237">
        <f>IFERROR(IF(데이터입력!$AE$2="추경",VLOOKUP($A93,보수일람표!$A:$M,13,FALSE),""),"")</f>
        <v>0</v>
      </c>
    </row>
    <row r="94" spans="1:37">
      <c r="A94" s="233">
        <v>92</v>
      </c>
      <c r="B94" s="719" t="str">
        <f>IFERROR(IF(F94="06",데이터입력!$AB$8,IF(F94="07",데이터입력!$AD$8,IF(F94="05",데이터입력!$AF$8,데이터입력!$AB$8))),데이터입력!$AB$8)</f>
        <v>00</v>
      </c>
      <c r="C94" s="720" t="str">
        <f>데이터입력!$AC$9</f>
        <v>일반사업[일반]</v>
      </c>
      <c r="D94" s="721" t="str">
        <f>IFERROR(IF(AND(데이터입력!$AE$2="추경",데이터입력!$AM$2=TRUE),VLOOKUP($A94,데이터입력!$A:$H,4,FALSE),""),"")</f>
        <v/>
      </c>
      <c r="E94" s="721" t="str">
        <f>IFERROR(IF(AND(데이터입력!$AE$2="추경",데이터입력!$AM$2=TRUE),VLOOKUP($A94,데이터입력!$A:$H,2,FALSE),""),"")</f>
        <v/>
      </c>
      <c r="F94" s="721" t="str">
        <f>IFERROR(IF(AND(데이터입력!$AE$2="추경",데이터입력!$AM$2=TRUE),VLOOKUP($A94,데이터입력!$A:$H,5,FALSE),""),"")</f>
        <v/>
      </c>
      <c r="G94" s="721" t="str">
        <f>IFERROR(IF(AND(데이터입력!$AE$2="추경",데이터입력!$AM$2=TRUE),VLOOKUP($A94,데이터입력!$A:$H,6,FALSE),""),"")</f>
        <v/>
      </c>
      <c r="H94" s="722" t="str">
        <f>IFERROR(IF(AND(데이터입력!$AE$2="추경",데이터입력!$AM$2=TRUE),VLOOKUP($A94,데이터입력!$A:$L,7,FALSE),""),"")</f>
        <v/>
      </c>
      <c r="I94" s="722" t="str">
        <f>IFERROR(IF(AND(데이터입력!$AE$2="추경",데이터입력!$AM$2=TRUE),VLOOKUP($A94,데이터입력!$A:$L,8,FALSE)+VLOOKUP($A94,데이터입력!$A:$L,9,FALSE)+VLOOKUP($A94,데이터입력!$A:$L,10,FALSE),""),"")</f>
        <v/>
      </c>
      <c r="J94" s="723" t="s">
        <v>136</v>
      </c>
      <c r="K94" s="723" t="s">
        <v>136</v>
      </c>
      <c r="L94" s="723" t="s">
        <v>136</v>
      </c>
      <c r="M94" s="715"/>
      <c r="N94" s="233">
        <v>292</v>
      </c>
      <c r="O94" s="727" t="str">
        <f>IFERROR(IF(S94="06",데이터입력!$AB$8,IF(S94="07",데이터입력!$AD$8,IF(S94="05",데이터입력!$AF$8,데이터입력!$AB$8))),데이터입력!$AB$8)</f>
        <v>00</v>
      </c>
      <c r="P94" s="728" t="str">
        <f>데이터입력!$AC$9</f>
        <v>일반사업[일반]</v>
      </c>
      <c r="Q94" s="729" t="str">
        <f>IFERROR(IF(데이터입력!$AE$2="추경",VLOOKUP($N94,데이터입력!$A:$H,4,FALSE),""),"")</f>
        <v/>
      </c>
      <c r="R94" s="729" t="str">
        <f>IFERROR(IF(데이터입력!$AE$2="추경",VLOOKUP($N94,데이터입력!$A:$H,2,FALSE),""),"")</f>
        <v/>
      </c>
      <c r="S94" s="729" t="str">
        <f>IFERROR(IF(데이터입력!$AE$2="추경",VLOOKUP($N94,데이터입력!$A:$H,5,FALSE),""),"")</f>
        <v/>
      </c>
      <c r="T94" s="729" t="str">
        <f>IFERROR(IF(데이터입력!$AE$2="추경",VLOOKUP($N94,데이터입력!$A:$H,6,FALSE),""),"")</f>
        <v/>
      </c>
      <c r="U94" s="730" t="str">
        <f>IFERROR(IF(데이터입력!$AE$2="추경",VLOOKUP($N94,데이터입력!$A:$L,8,FALSE)+VLOOKUP($N94,데이터입력!$A:$L,9,FALSE)+VLOOKUP($N94,데이터입력!$A:$L,10,FALSE),""),"")</f>
        <v/>
      </c>
      <c r="V94" s="731" t="s">
        <v>136</v>
      </c>
      <c r="W94" s="731" t="s">
        <v>136</v>
      </c>
      <c r="X94" s="731" t="s">
        <v>136</v>
      </c>
      <c r="Y94" s="712"/>
      <c r="Z94" s="235" t="str">
        <f>데이터입력!$AB$8</f>
        <v>00</v>
      </c>
      <c r="AA94" s="238" t="str">
        <f>데이터입력!$AC$9</f>
        <v>일반사업[일반]</v>
      </c>
      <c r="AB94" s="236" t="str">
        <f>IFERROR(IF(데이터입력!$AE$2="추경",VLOOKUP($A94,보수일람표!$A:$M,4,FALSE),""),"")</f>
        <v/>
      </c>
      <c r="AC94" s="236" t="str">
        <f>IFERROR(IF(데이터입력!$AE$2="추경",VLOOKUP($A94,보수일람표!$A:$M,5,FALSE),""),"")</f>
        <v/>
      </c>
      <c r="AD94" s="236" t="str">
        <f>IFERROR(IF(데이터입력!$AE$2="추경",VLOOKUP($A94,보수일람표!$A:$M,6,FALSE),""),"")</f>
        <v/>
      </c>
      <c r="AE94" s="236" t="str">
        <f>IFERROR(IF(데이터입력!$AE$2="추경",VLOOKUP($A94,보수일람표!$A:$M,7,FALSE),""),"")</f>
        <v>직접</v>
      </c>
      <c r="AF94" s="236"/>
      <c r="AG94" s="237">
        <f>IFERROR(IF(데이터입력!$AE$2="추경",VLOOKUP($A94,보수일람표!$A:$M,9,FALSE),""),"")</f>
        <v>0</v>
      </c>
      <c r="AH94" s="237">
        <f>IFERROR(IF(데이터입력!$AE$2="추경",VLOOKUP($A94,보수일람표!$A:$M,10,FALSE),""),"")</f>
        <v>0</v>
      </c>
      <c r="AI94" s="237">
        <f>IFERROR(IF(데이터입력!$AE$2="추경",VLOOKUP($A94,보수일람표!$A:$M,11,FALSE),""),"")</f>
        <v>0</v>
      </c>
      <c r="AJ94" s="237">
        <f>IFERROR(IF(데이터입력!$AE$2="추경",VLOOKUP($A94,보수일람표!$A:$M,12,FALSE),""),"")</f>
        <v>0</v>
      </c>
      <c r="AK94" s="237">
        <f>IFERROR(IF(데이터입력!$AE$2="추경",VLOOKUP($A94,보수일람표!$A:$M,13,FALSE),""),"")</f>
        <v>0</v>
      </c>
    </row>
    <row r="95" spans="1:37">
      <c r="A95" s="233">
        <v>93</v>
      </c>
      <c r="B95" s="719" t="str">
        <f>IFERROR(IF(F95="06",데이터입력!$AB$8,IF(F95="07",데이터입력!$AD$8,IF(F95="05",데이터입력!$AF$8,데이터입력!$AB$8))),데이터입력!$AB$8)</f>
        <v>00</v>
      </c>
      <c r="C95" s="720" t="str">
        <f>데이터입력!$AC$9</f>
        <v>일반사업[일반]</v>
      </c>
      <c r="D95" s="721" t="str">
        <f>IFERROR(IF(AND(데이터입력!$AE$2="추경",데이터입력!$AM$2=TRUE),VLOOKUP($A95,데이터입력!$A:$H,4,FALSE),""),"")</f>
        <v/>
      </c>
      <c r="E95" s="721" t="str">
        <f>IFERROR(IF(AND(데이터입력!$AE$2="추경",데이터입력!$AM$2=TRUE),VLOOKUP($A95,데이터입력!$A:$H,2,FALSE),""),"")</f>
        <v/>
      </c>
      <c r="F95" s="721" t="str">
        <f>IFERROR(IF(AND(데이터입력!$AE$2="추경",데이터입력!$AM$2=TRUE),VLOOKUP($A95,데이터입력!$A:$H,5,FALSE),""),"")</f>
        <v/>
      </c>
      <c r="G95" s="721" t="str">
        <f>IFERROR(IF(AND(데이터입력!$AE$2="추경",데이터입력!$AM$2=TRUE),VLOOKUP($A95,데이터입력!$A:$H,6,FALSE),""),"")</f>
        <v/>
      </c>
      <c r="H95" s="722" t="str">
        <f>IFERROR(IF(AND(데이터입력!$AE$2="추경",데이터입력!$AM$2=TRUE),VLOOKUP($A95,데이터입력!$A:$L,7,FALSE),""),"")</f>
        <v/>
      </c>
      <c r="I95" s="722" t="str">
        <f>IFERROR(IF(AND(데이터입력!$AE$2="추경",데이터입력!$AM$2=TRUE),VLOOKUP($A95,데이터입력!$A:$L,8,FALSE)+VLOOKUP($A95,데이터입력!$A:$L,9,FALSE)+VLOOKUP($A95,데이터입력!$A:$L,10,FALSE),""),"")</f>
        <v/>
      </c>
      <c r="J95" s="723" t="s">
        <v>136</v>
      </c>
      <c r="K95" s="723" t="s">
        <v>136</v>
      </c>
      <c r="L95" s="723" t="s">
        <v>136</v>
      </c>
      <c r="M95" s="715"/>
      <c r="N95" s="233">
        <v>293</v>
      </c>
      <c r="O95" s="727" t="str">
        <f>IFERROR(IF(S95="06",데이터입력!$AB$8,IF(S95="07",데이터입력!$AD$8,IF(S95="05",데이터입력!$AF$8,데이터입력!$AB$8))),데이터입력!$AB$8)</f>
        <v>00</v>
      </c>
      <c r="P95" s="728" t="str">
        <f>데이터입력!$AC$9</f>
        <v>일반사업[일반]</v>
      </c>
      <c r="Q95" s="729" t="str">
        <f>IFERROR(IF(데이터입력!$AE$2="추경",VLOOKUP($N95,데이터입력!$A:$H,4,FALSE),""),"")</f>
        <v/>
      </c>
      <c r="R95" s="729" t="str">
        <f>IFERROR(IF(데이터입력!$AE$2="추경",VLOOKUP($N95,데이터입력!$A:$H,2,FALSE),""),"")</f>
        <v/>
      </c>
      <c r="S95" s="729" t="str">
        <f>IFERROR(IF(데이터입력!$AE$2="추경",VLOOKUP($N95,데이터입력!$A:$H,5,FALSE),""),"")</f>
        <v/>
      </c>
      <c r="T95" s="729" t="str">
        <f>IFERROR(IF(데이터입력!$AE$2="추경",VLOOKUP($N95,데이터입력!$A:$H,6,FALSE),""),"")</f>
        <v/>
      </c>
      <c r="U95" s="730" t="str">
        <f>IFERROR(IF(데이터입력!$AE$2="추경",VLOOKUP($N95,데이터입력!$A:$L,8,FALSE)+VLOOKUP($N95,데이터입력!$A:$L,9,FALSE)+VLOOKUP($N95,데이터입력!$A:$L,10,FALSE),""),"")</f>
        <v/>
      </c>
      <c r="V95" s="731" t="s">
        <v>136</v>
      </c>
      <c r="W95" s="731" t="s">
        <v>136</v>
      </c>
      <c r="X95" s="731" t="s">
        <v>136</v>
      </c>
      <c r="Y95" s="712"/>
      <c r="Z95" s="235" t="str">
        <f>데이터입력!$AB$8</f>
        <v>00</v>
      </c>
      <c r="AA95" s="238" t="str">
        <f>데이터입력!$AC$9</f>
        <v>일반사업[일반]</v>
      </c>
      <c r="AB95" s="236" t="str">
        <f>IFERROR(IF(데이터입력!$AE$2="추경",VLOOKUP($A95,보수일람표!$A:$M,4,FALSE),""),"")</f>
        <v/>
      </c>
      <c r="AC95" s="236" t="str">
        <f>IFERROR(IF(데이터입력!$AE$2="추경",VLOOKUP($A95,보수일람표!$A:$M,5,FALSE),""),"")</f>
        <v/>
      </c>
      <c r="AD95" s="236" t="str">
        <f>IFERROR(IF(데이터입력!$AE$2="추경",VLOOKUP($A95,보수일람표!$A:$M,6,FALSE),""),"")</f>
        <v/>
      </c>
      <c r="AE95" s="236" t="str">
        <f>IFERROR(IF(데이터입력!$AE$2="추경",VLOOKUP($A95,보수일람표!$A:$M,7,FALSE),""),"")</f>
        <v>직접</v>
      </c>
      <c r="AF95" s="236"/>
      <c r="AG95" s="237">
        <f>IFERROR(IF(데이터입력!$AE$2="추경",VLOOKUP($A95,보수일람표!$A:$M,9,FALSE),""),"")</f>
        <v>0</v>
      </c>
      <c r="AH95" s="237">
        <f>IFERROR(IF(데이터입력!$AE$2="추경",VLOOKUP($A95,보수일람표!$A:$M,10,FALSE),""),"")</f>
        <v>0</v>
      </c>
      <c r="AI95" s="237">
        <f>IFERROR(IF(데이터입력!$AE$2="추경",VLOOKUP($A95,보수일람표!$A:$M,11,FALSE),""),"")</f>
        <v>0</v>
      </c>
      <c r="AJ95" s="237">
        <f>IFERROR(IF(데이터입력!$AE$2="추경",VLOOKUP($A95,보수일람표!$A:$M,12,FALSE),""),"")</f>
        <v>0</v>
      </c>
      <c r="AK95" s="237">
        <f>IFERROR(IF(데이터입력!$AE$2="추경",VLOOKUP($A95,보수일람표!$A:$M,13,FALSE),""),"")</f>
        <v>0</v>
      </c>
    </row>
    <row r="96" spans="1:37">
      <c r="A96" s="233">
        <v>94</v>
      </c>
      <c r="B96" s="719" t="str">
        <f>IFERROR(IF(F96="06",데이터입력!$AB$8,IF(F96="07",데이터입력!$AD$8,IF(F96="05",데이터입력!$AF$8,데이터입력!$AB$8))),데이터입력!$AB$8)</f>
        <v>00</v>
      </c>
      <c r="C96" s="720" t="str">
        <f>데이터입력!$AC$9</f>
        <v>일반사업[일반]</v>
      </c>
      <c r="D96" s="721" t="str">
        <f>IFERROR(IF(AND(데이터입력!$AE$2="추경",데이터입력!$AM$2=TRUE),VLOOKUP($A96,데이터입력!$A:$H,4,FALSE),""),"")</f>
        <v/>
      </c>
      <c r="E96" s="721" t="str">
        <f>IFERROR(IF(AND(데이터입력!$AE$2="추경",데이터입력!$AM$2=TRUE),VLOOKUP($A96,데이터입력!$A:$H,2,FALSE),""),"")</f>
        <v/>
      </c>
      <c r="F96" s="721" t="str">
        <f>IFERROR(IF(AND(데이터입력!$AE$2="추경",데이터입력!$AM$2=TRUE),VLOOKUP($A96,데이터입력!$A:$H,5,FALSE),""),"")</f>
        <v/>
      </c>
      <c r="G96" s="721" t="str">
        <f>IFERROR(IF(AND(데이터입력!$AE$2="추경",데이터입력!$AM$2=TRUE),VLOOKUP($A96,데이터입력!$A:$H,6,FALSE),""),"")</f>
        <v/>
      </c>
      <c r="H96" s="722" t="str">
        <f>IFERROR(IF(AND(데이터입력!$AE$2="추경",데이터입력!$AM$2=TRUE),VLOOKUP($A96,데이터입력!$A:$L,7,FALSE),""),"")</f>
        <v/>
      </c>
      <c r="I96" s="722" t="str">
        <f>IFERROR(IF(AND(데이터입력!$AE$2="추경",데이터입력!$AM$2=TRUE),VLOOKUP($A96,데이터입력!$A:$L,8,FALSE)+VLOOKUP($A96,데이터입력!$A:$L,9,FALSE)+VLOOKUP($A96,데이터입력!$A:$L,10,FALSE),""),"")</f>
        <v/>
      </c>
      <c r="J96" s="723" t="s">
        <v>136</v>
      </c>
      <c r="K96" s="723" t="s">
        <v>136</v>
      </c>
      <c r="L96" s="723" t="s">
        <v>136</v>
      </c>
      <c r="M96" s="715"/>
      <c r="N96" s="233">
        <v>294</v>
      </c>
      <c r="O96" s="727" t="str">
        <f>IFERROR(IF(S96="06",데이터입력!$AB$8,IF(S96="07",데이터입력!$AD$8,IF(S96="05",데이터입력!$AF$8,데이터입력!$AB$8))),데이터입력!$AB$8)</f>
        <v>00</v>
      </c>
      <c r="P96" s="728" t="str">
        <f>데이터입력!$AC$9</f>
        <v>일반사업[일반]</v>
      </c>
      <c r="Q96" s="729" t="str">
        <f>IFERROR(IF(데이터입력!$AE$2="추경",VLOOKUP($N96,데이터입력!$A:$H,4,FALSE),""),"")</f>
        <v/>
      </c>
      <c r="R96" s="729" t="str">
        <f>IFERROR(IF(데이터입력!$AE$2="추경",VLOOKUP($N96,데이터입력!$A:$H,2,FALSE),""),"")</f>
        <v/>
      </c>
      <c r="S96" s="729" t="str">
        <f>IFERROR(IF(데이터입력!$AE$2="추경",VLOOKUP($N96,데이터입력!$A:$H,5,FALSE),""),"")</f>
        <v/>
      </c>
      <c r="T96" s="729" t="str">
        <f>IFERROR(IF(데이터입력!$AE$2="추경",VLOOKUP($N96,데이터입력!$A:$H,6,FALSE),""),"")</f>
        <v/>
      </c>
      <c r="U96" s="730" t="str">
        <f>IFERROR(IF(데이터입력!$AE$2="추경",VLOOKUP($N96,데이터입력!$A:$L,8,FALSE)+VLOOKUP($N96,데이터입력!$A:$L,9,FALSE)+VLOOKUP($N96,데이터입력!$A:$L,10,FALSE),""),"")</f>
        <v/>
      </c>
      <c r="V96" s="731" t="s">
        <v>136</v>
      </c>
      <c r="W96" s="731" t="s">
        <v>136</v>
      </c>
      <c r="X96" s="731" t="s">
        <v>136</v>
      </c>
      <c r="Y96" s="712"/>
      <c r="Z96" s="235" t="str">
        <f>데이터입력!$AB$8</f>
        <v>00</v>
      </c>
      <c r="AA96" s="238" t="str">
        <f>데이터입력!$AC$9</f>
        <v>일반사업[일반]</v>
      </c>
      <c r="AB96" s="236" t="str">
        <f>IFERROR(IF(데이터입력!$AE$2="추경",VLOOKUP($A96,보수일람표!$A:$M,4,FALSE),""),"")</f>
        <v/>
      </c>
      <c r="AC96" s="236" t="str">
        <f>IFERROR(IF(데이터입력!$AE$2="추경",VLOOKUP($A96,보수일람표!$A:$M,5,FALSE),""),"")</f>
        <v/>
      </c>
      <c r="AD96" s="236" t="str">
        <f>IFERROR(IF(데이터입력!$AE$2="추경",VLOOKUP($A96,보수일람표!$A:$M,6,FALSE),""),"")</f>
        <v/>
      </c>
      <c r="AE96" s="236" t="str">
        <f>IFERROR(IF(데이터입력!$AE$2="추경",VLOOKUP($A96,보수일람표!$A:$M,7,FALSE),""),"")</f>
        <v>직접</v>
      </c>
      <c r="AF96" s="236"/>
      <c r="AG96" s="237">
        <f>IFERROR(IF(데이터입력!$AE$2="추경",VLOOKUP($A96,보수일람표!$A:$M,9,FALSE),""),"")</f>
        <v>0</v>
      </c>
      <c r="AH96" s="237">
        <f>IFERROR(IF(데이터입력!$AE$2="추경",VLOOKUP($A96,보수일람표!$A:$M,10,FALSE),""),"")</f>
        <v>0</v>
      </c>
      <c r="AI96" s="237">
        <f>IFERROR(IF(데이터입력!$AE$2="추경",VLOOKUP($A96,보수일람표!$A:$M,11,FALSE),""),"")</f>
        <v>0</v>
      </c>
      <c r="AJ96" s="237">
        <f>IFERROR(IF(데이터입력!$AE$2="추경",VLOOKUP($A96,보수일람표!$A:$M,12,FALSE),""),"")</f>
        <v>0</v>
      </c>
      <c r="AK96" s="237">
        <f>IFERROR(IF(데이터입력!$AE$2="추경",VLOOKUP($A96,보수일람표!$A:$M,13,FALSE),""),"")</f>
        <v>0</v>
      </c>
    </row>
    <row r="97" spans="1:37">
      <c r="A97" s="233">
        <v>95</v>
      </c>
      <c r="B97" s="719" t="str">
        <f>IFERROR(IF(F97="06",데이터입력!$AB$8,IF(F97="07",데이터입력!$AD$8,IF(F97="05",데이터입력!$AF$8,데이터입력!$AB$8))),데이터입력!$AB$8)</f>
        <v>00</v>
      </c>
      <c r="C97" s="720" t="str">
        <f>데이터입력!$AC$9</f>
        <v>일반사업[일반]</v>
      </c>
      <c r="D97" s="721" t="str">
        <f>IFERROR(IF(AND(데이터입력!$AE$2="추경",데이터입력!$AM$2=TRUE),VLOOKUP($A97,데이터입력!$A:$H,4,FALSE),""),"")</f>
        <v/>
      </c>
      <c r="E97" s="721" t="str">
        <f>IFERROR(IF(AND(데이터입력!$AE$2="추경",데이터입력!$AM$2=TRUE),VLOOKUP($A97,데이터입력!$A:$H,2,FALSE),""),"")</f>
        <v/>
      </c>
      <c r="F97" s="721" t="str">
        <f>IFERROR(IF(AND(데이터입력!$AE$2="추경",데이터입력!$AM$2=TRUE),VLOOKUP($A97,데이터입력!$A:$H,5,FALSE),""),"")</f>
        <v/>
      </c>
      <c r="G97" s="721" t="str">
        <f>IFERROR(IF(AND(데이터입력!$AE$2="추경",데이터입력!$AM$2=TRUE),VLOOKUP($A97,데이터입력!$A:$H,6,FALSE),""),"")</f>
        <v/>
      </c>
      <c r="H97" s="722" t="str">
        <f>IFERROR(IF(AND(데이터입력!$AE$2="추경",데이터입력!$AM$2=TRUE),VLOOKUP($A97,데이터입력!$A:$L,7,FALSE),""),"")</f>
        <v/>
      </c>
      <c r="I97" s="722" t="str">
        <f>IFERROR(IF(AND(데이터입력!$AE$2="추경",데이터입력!$AM$2=TRUE),VLOOKUP($A97,데이터입력!$A:$L,8,FALSE)+VLOOKUP($A97,데이터입력!$A:$L,9,FALSE)+VLOOKUP($A97,데이터입력!$A:$L,10,FALSE),""),"")</f>
        <v/>
      </c>
      <c r="J97" s="723" t="s">
        <v>136</v>
      </c>
      <c r="K97" s="723" t="s">
        <v>136</v>
      </c>
      <c r="L97" s="723" t="s">
        <v>136</v>
      </c>
      <c r="M97" s="715"/>
      <c r="N97" s="233">
        <v>295</v>
      </c>
      <c r="O97" s="727" t="str">
        <f>IFERROR(IF(S97="06",데이터입력!$AB$8,IF(S97="07",데이터입력!$AD$8,IF(S97="05",데이터입력!$AF$8,데이터입력!$AB$8))),데이터입력!$AB$8)</f>
        <v>00</v>
      </c>
      <c r="P97" s="728" t="str">
        <f>데이터입력!$AC$9</f>
        <v>일반사업[일반]</v>
      </c>
      <c r="Q97" s="729" t="str">
        <f>IFERROR(IF(데이터입력!$AE$2="추경",VLOOKUP($N97,데이터입력!$A:$H,4,FALSE),""),"")</f>
        <v/>
      </c>
      <c r="R97" s="729" t="str">
        <f>IFERROR(IF(데이터입력!$AE$2="추경",VLOOKUP($N97,데이터입력!$A:$H,2,FALSE),""),"")</f>
        <v/>
      </c>
      <c r="S97" s="729" t="str">
        <f>IFERROR(IF(데이터입력!$AE$2="추경",VLOOKUP($N97,데이터입력!$A:$H,5,FALSE),""),"")</f>
        <v/>
      </c>
      <c r="T97" s="729" t="str">
        <f>IFERROR(IF(데이터입력!$AE$2="추경",VLOOKUP($N97,데이터입력!$A:$H,6,FALSE),""),"")</f>
        <v/>
      </c>
      <c r="U97" s="730" t="str">
        <f>IFERROR(IF(데이터입력!$AE$2="추경",VLOOKUP($N97,데이터입력!$A:$L,8,FALSE)+VLOOKUP($N97,데이터입력!$A:$L,9,FALSE)+VLOOKUP($N97,데이터입력!$A:$L,10,FALSE),""),"")</f>
        <v/>
      </c>
      <c r="V97" s="731" t="s">
        <v>136</v>
      </c>
      <c r="W97" s="731" t="s">
        <v>136</v>
      </c>
      <c r="X97" s="731" t="s">
        <v>136</v>
      </c>
      <c r="Y97" s="712"/>
      <c r="Z97" s="235" t="str">
        <f>데이터입력!$AB$8</f>
        <v>00</v>
      </c>
      <c r="AA97" s="238" t="str">
        <f>데이터입력!$AC$9</f>
        <v>일반사업[일반]</v>
      </c>
      <c r="AB97" s="236" t="str">
        <f>IFERROR(IF(데이터입력!$AE$2="추경",VLOOKUP($A97,보수일람표!$A:$M,4,FALSE),""),"")</f>
        <v/>
      </c>
      <c r="AC97" s="236" t="str">
        <f>IFERROR(IF(데이터입력!$AE$2="추경",VLOOKUP($A97,보수일람표!$A:$M,5,FALSE),""),"")</f>
        <v/>
      </c>
      <c r="AD97" s="236" t="str">
        <f>IFERROR(IF(데이터입력!$AE$2="추경",VLOOKUP($A97,보수일람표!$A:$M,6,FALSE),""),"")</f>
        <v/>
      </c>
      <c r="AE97" s="236" t="str">
        <f>IFERROR(IF(데이터입력!$AE$2="추경",VLOOKUP($A97,보수일람표!$A:$M,7,FALSE),""),"")</f>
        <v>직접</v>
      </c>
      <c r="AF97" s="236"/>
      <c r="AG97" s="237">
        <f>IFERROR(IF(데이터입력!$AE$2="추경",VLOOKUP($A97,보수일람표!$A:$M,9,FALSE),""),"")</f>
        <v>0</v>
      </c>
      <c r="AH97" s="237">
        <f>IFERROR(IF(데이터입력!$AE$2="추경",VLOOKUP($A97,보수일람표!$A:$M,10,FALSE),""),"")</f>
        <v>0</v>
      </c>
      <c r="AI97" s="237">
        <f>IFERROR(IF(데이터입력!$AE$2="추경",VLOOKUP($A97,보수일람표!$A:$M,11,FALSE),""),"")</f>
        <v>0</v>
      </c>
      <c r="AJ97" s="237">
        <f>IFERROR(IF(데이터입력!$AE$2="추경",VLOOKUP($A97,보수일람표!$A:$M,12,FALSE),""),"")</f>
        <v>0</v>
      </c>
      <c r="AK97" s="237">
        <f>IFERROR(IF(데이터입력!$AE$2="추경",VLOOKUP($A97,보수일람표!$A:$M,13,FALSE),""),"")</f>
        <v>0</v>
      </c>
    </row>
    <row r="98" spans="1:37">
      <c r="A98" s="233">
        <v>96</v>
      </c>
      <c r="B98" s="719" t="str">
        <f>IFERROR(IF(F98="06",데이터입력!$AB$8,IF(F98="07",데이터입력!$AD$8,IF(F98="05",데이터입력!$AF$8,데이터입력!$AB$8))),데이터입력!$AB$8)</f>
        <v>00</v>
      </c>
      <c r="C98" s="720" t="str">
        <f>데이터입력!$AC$9</f>
        <v>일반사업[일반]</v>
      </c>
      <c r="D98" s="721" t="str">
        <f>IFERROR(IF(AND(데이터입력!$AE$2="추경",데이터입력!$AM$2=TRUE),VLOOKUP($A98,데이터입력!$A:$H,4,FALSE),""),"")</f>
        <v/>
      </c>
      <c r="E98" s="721" t="str">
        <f>IFERROR(IF(AND(데이터입력!$AE$2="추경",데이터입력!$AM$2=TRUE),VLOOKUP($A98,데이터입력!$A:$H,2,FALSE),""),"")</f>
        <v/>
      </c>
      <c r="F98" s="721" t="str">
        <f>IFERROR(IF(AND(데이터입력!$AE$2="추경",데이터입력!$AM$2=TRUE),VLOOKUP($A98,데이터입력!$A:$H,5,FALSE),""),"")</f>
        <v/>
      </c>
      <c r="G98" s="721" t="str">
        <f>IFERROR(IF(AND(데이터입력!$AE$2="추경",데이터입력!$AM$2=TRUE),VLOOKUP($A98,데이터입력!$A:$H,6,FALSE),""),"")</f>
        <v/>
      </c>
      <c r="H98" s="722" t="str">
        <f>IFERROR(IF(AND(데이터입력!$AE$2="추경",데이터입력!$AM$2=TRUE),VLOOKUP($A98,데이터입력!$A:$L,7,FALSE),""),"")</f>
        <v/>
      </c>
      <c r="I98" s="722" t="str">
        <f>IFERROR(IF(AND(데이터입력!$AE$2="추경",데이터입력!$AM$2=TRUE),VLOOKUP($A98,데이터입력!$A:$L,8,FALSE)+VLOOKUP($A98,데이터입력!$A:$L,9,FALSE)+VLOOKUP($A98,데이터입력!$A:$L,10,FALSE),""),"")</f>
        <v/>
      </c>
      <c r="J98" s="723" t="s">
        <v>136</v>
      </c>
      <c r="K98" s="723" t="s">
        <v>136</v>
      </c>
      <c r="L98" s="723" t="s">
        <v>136</v>
      </c>
      <c r="M98" s="715"/>
      <c r="N98" s="233">
        <v>296</v>
      </c>
      <c r="O98" s="727" t="str">
        <f>IFERROR(IF(S98="06",데이터입력!$AB$8,IF(S98="07",데이터입력!$AD$8,IF(S98="05",데이터입력!$AF$8,데이터입력!$AB$8))),데이터입력!$AB$8)</f>
        <v>00</v>
      </c>
      <c r="P98" s="728" t="str">
        <f>데이터입력!$AC$9</f>
        <v>일반사업[일반]</v>
      </c>
      <c r="Q98" s="729" t="str">
        <f>IFERROR(IF(데이터입력!$AE$2="추경",VLOOKUP($N98,데이터입력!$A:$H,4,FALSE),""),"")</f>
        <v/>
      </c>
      <c r="R98" s="729" t="str">
        <f>IFERROR(IF(데이터입력!$AE$2="추경",VLOOKUP($N98,데이터입력!$A:$H,2,FALSE),""),"")</f>
        <v/>
      </c>
      <c r="S98" s="729" t="str">
        <f>IFERROR(IF(데이터입력!$AE$2="추경",VLOOKUP($N98,데이터입력!$A:$H,5,FALSE),""),"")</f>
        <v/>
      </c>
      <c r="T98" s="729" t="str">
        <f>IFERROR(IF(데이터입력!$AE$2="추경",VLOOKUP($N98,데이터입력!$A:$H,6,FALSE),""),"")</f>
        <v/>
      </c>
      <c r="U98" s="730" t="str">
        <f>IFERROR(IF(데이터입력!$AE$2="추경",VLOOKUP($N98,데이터입력!$A:$L,8,FALSE)+VLOOKUP($N98,데이터입력!$A:$L,9,FALSE)+VLOOKUP($N98,데이터입력!$A:$L,10,FALSE),""),"")</f>
        <v/>
      </c>
      <c r="V98" s="731" t="s">
        <v>136</v>
      </c>
      <c r="W98" s="731" t="s">
        <v>136</v>
      </c>
      <c r="X98" s="731" t="s">
        <v>136</v>
      </c>
      <c r="Y98" s="712"/>
      <c r="Z98" s="235" t="str">
        <f>데이터입력!$AB$8</f>
        <v>00</v>
      </c>
      <c r="AA98" s="238" t="str">
        <f>데이터입력!$AC$9</f>
        <v>일반사업[일반]</v>
      </c>
      <c r="AB98" s="236" t="str">
        <f>IFERROR(IF(데이터입력!$AE$2="추경",VLOOKUP($A98,보수일람표!$A:$M,4,FALSE),""),"")</f>
        <v/>
      </c>
      <c r="AC98" s="236" t="str">
        <f>IFERROR(IF(데이터입력!$AE$2="추경",VLOOKUP($A98,보수일람표!$A:$M,5,FALSE),""),"")</f>
        <v/>
      </c>
      <c r="AD98" s="236" t="str">
        <f>IFERROR(IF(데이터입력!$AE$2="추경",VLOOKUP($A98,보수일람표!$A:$M,6,FALSE),""),"")</f>
        <v/>
      </c>
      <c r="AE98" s="236" t="str">
        <f>IFERROR(IF(데이터입력!$AE$2="추경",VLOOKUP($A98,보수일람표!$A:$M,7,FALSE),""),"")</f>
        <v>직접</v>
      </c>
      <c r="AF98" s="236"/>
      <c r="AG98" s="237">
        <f>IFERROR(IF(데이터입력!$AE$2="추경",VLOOKUP($A98,보수일람표!$A:$M,9,FALSE),""),"")</f>
        <v>0</v>
      </c>
      <c r="AH98" s="237">
        <f>IFERROR(IF(데이터입력!$AE$2="추경",VLOOKUP($A98,보수일람표!$A:$M,10,FALSE),""),"")</f>
        <v>0</v>
      </c>
      <c r="AI98" s="237">
        <f>IFERROR(IF(데이터입력!$AE$2="추경",VLOOKUP($A98,보수일람표!$A:$M,11,FALSE),""),"")</f>
        <v>0</v>
      </c>
      <c r="AJ98" s="237">
        <f>IFERROR(IF(데이터입력!$AE$2="추경",VLOOKUP($A98,보수일람표!$A:$M,12,FALSE),""),"")</f>
        <v>0</v>
      </c>
      <c r="AK98" s="237">
        <f>IFERROR(IF(데이터입력!$AE$2="추경",VLOOKUP($A98,보수일람표!$A:$M,13,FALSE),""),"")</f>
        <v>0</v>
      </c>
    </row>
    <row r="99" spans="1:37">
      <c r="A99" s="233">
        <v>97</v>
      </c>
      <c r="B99" s="719" t="str">
        <f>IFERROR(IF(F99="06",데이터입력!$AB$8,IF(F99="07",데이터입력!$AD$8,IF(F99="05",데이터입력!$AF$8,데이터입력!$AB$8))),데이터입력!$AB$8)</f>
        <v>00</v>
      </c>
      <c r="C99" s="720" t="str">
        <f>데이터입력!$AC$9</f>
        <v>일반사업[일반]</v>
      </c>
      <c r="D99" s="721" t="str">
        <f>IFERROR(IF(AND(데이터입력!$AE$2="추경",데이터입력!$AM$2=TRUE),VLOOKUP($A99,데이터입력!$A:$H,4,FALSE),""),"")</f>
        <v/>
      </c>
      <c r="E99" s="721" t="str">
        <f>IFERROR(IF(AND(데이터입력!$AE$2="추경",데이터입력!$AM$2=TRUE),VLOOKUP($A99,데이터입력!$A:$H,2,FALSE),""),"")</f>
        <v/>
      </c>
      <c r="F99" s="721" t="str">
        <f>IFERROR(IF(AND(데이터입력!$AE$2="추경",데이터입력!$AM$2=TRUE),VLOOKUP($A99,데이터입력!$A:$H,5,FALSE),""),"")</f>
        <v/>
      </c>
      <c r="G99" s="721" t="str">
        <f>IFERROR(IF(AND(데이터입력!$AE$2="추경",데이터입력!$AM$2=TRUE),VLOOKUP($A99,데이터입력!$A:$H,6,FALSE),""),"")</f>
        <v/>
      </c>
      <c r="H99" s="722" t="str">
        <f>IFERROR(IF(AND(데이터입력!$AE$2="추경",데이터입력!$AM$2=TRUE),VLOOKUP($A99,데이터입력!$A:$L,7,FALSE),""),"")</f>
        <v/>
      </c>
      <c r="I99" s="722" t="str">
        <f>IFERROR(IF(AND(데이터입력!$AE$2="추경",데이터입력!$AM$2=TRUE),VLOOKUP($A99,데이터입력!$A:$L,8,FALSE)+VLOOKUP($A99,데이터입력!$A:$L,9,FALSE)+VLOOKUP($A99,데이터입력!$A:$L,10,FALSE),""),"")</f>
        <v/>
      </c>
      <c r="J99" s="723" t="s">
        <v>136</v>
      </c>
      <c r="K99" s="723" t="s">
        <v>136</v>
      </c>
      <c r="L99" s="723" t="s">
        <v>136</v>
      </c>
      <c r="M99" s="715"/>
      <c r="N99" s="233">
        <v>297</v>
      </c>
      <c r="O99" s="727" t="str">
        <f>IFERROR(IF(S99="06",데이터입력!$AB$8,IF(S99="07",데이터입력!$AD$8,IF(S99="05",데이터입력!$AF$8,데이터입력!$AB$8))),데이터입력!$AB$8)</f>
        <v>00</v>
      </c>
      <c r="P99" s="728" t="str">
        <f>데이터입력!$AC$9</f>
        <v>일반사업[일반]</v>
      </c>
      <c r="Q99" s="729" t="str">
        <f>IFERROR(IF(데이터입력!$AE$2="추경",VLOOKUP($N99,데이터입력!$A:$H,4,FALSE),""),"")</f>
        <v/>
      </c>
      <c r="R99" s="729" t="str">
        <f>IFERROR(IF(데이터입력!$AE$2="추경",VLOOKUP($N99,데이터입력!$A:$H,2,FALSE),""),"")</f>
        <v/>
      </c>
      <c r="S99" s="729" t="str">
        <f>IFERROR(IF(데이터입력!$AE$2="추경",VLOOKUP($N99,데이터입력!$A:$H,5,FALSE),""),"")</f>
        <v/>
      </c>
      <c r="T99" s="729" t="str">
        <f>IFERROR(IF(데이터입력!$AE$2="추경",VLOOKUP($N99,데이터입력!$A:$H,6,FALSE),""),"")</f>
        <v/>
      </c>
      <c r="U99" s="730" t="str">
        <f>IFERROR(IF(데이터입력!$AE$2="추경",VLOOKUP($N99,데이터입력!$A:$L,8,FALSE)+VLOOKUP($N99,데이터입력!$A:$L,9,FALSE)+VLOOKUP($N99,데이터입력!$A:$L,10,FALSE),""),"")</f>
        <v/>
      </c>
      <c r="V99" s="731" t="s">
        <v>136</v>
      </c>
      <c r="W99" s="731" t="s">
        <v>136</v>
      </c>
      <c r="X99" s="731" t="s">
        <v>136</v>
      </c>
      <c r="Y99" s="712"/>
      <c r="Z99" s="235" t="str">
        <f>데이터입력!$AB$8</f>
        <v>00</v>
      </c>
      <c r="AA99" s="238" t="str">
        <f>데이터입력!$AC$9</f>
        <v>일반사업[일반]</v>
      </c>
      <c r="AB99" s="236" t="str">
        <f>IFERROR(IF(데이터입력!$AE$2="추경",VLOOKUP($A99,보수일람표!$A:$M,4,FALSE),""),"")</f>
        <v/>
      </c>
      <c r="AC99" s="236" t="str">
        <f>IFERROR(IF(데이터입력!$AE$2="추경",VLOOKUP($A99,보수일람표!$A:$M,5,FALSE),""),"")</f>
        <v/>
      </c>
      <c r="AD99" s="236" t="str">
        <f>IFERROR(IF(데이터입력!$AE$2="추경",VLOOKUP($A99,보수일람표!$A:$M,6,FALSE),""),"")</f>
        <v/>
      </c>
      <c r="AE99" s="236" t="str">
        <f>IFERROR(IF(데이터입력!$AE$2="추경",VLOOKUP($A99,보수일람표!$A:$M,7,FALSE),""),"")</f>
        <v>직접</v>
      </c>
      <c r="AF99" s="236"/>
      <c r="AG99" s="237">
        <f>IFERROR(IF(데이터입력!$AE$2="추경",VLOOKUP($A99,보수일람표!$A:$M,9,FALSE),""),"")</f>
        <v>0</v>
      </c>
      <c r="AH99" s="237">
        <f>IFERROR(IF(데이터입력!$AE$2="추경",VLOOKUP($A99,보수일람표!$A:$M,10,FALSE),""),"")</f>
        <v>0</v>
      </c>
      <c r="AI99" s="237">
        <f>IFERROR(IF(데이터입력!$AE$2="추경",VLOOKUP($A99,보수일람표!$A:$M,11,FALSE),""),"")</f>
        <v>0</v>
      </c>
      <c r="AJ99" s="237">
        <f>IFERROR(IF(데이터입력!$AE$2="추경",VLOOKUP($A99,보수일람표!$A:$M,12,FALSE),""),"")</f>
        <v>0</v>
      </c>
      <c r="AK99" s="237">
        <f>IFERROR(IF(데이터입력!$AE$2="추경",VLOOKUP($A99,보수일람표!$A:$M,13,FALSE),""),"")</f>
        <v>0</v>
      </c>
    </row>
    <row r="100" spans="1:37">
      <c r="A100" s="233">
        <v>98</v>
      </c>
      <c r="B100" s="719" t="str">
        <f>IFERROR(IF(F100="06",데이터입력!$AB$8,IF(F100="07",데이터입력!$AD$8,IF(F100="05",데이터입력!$AF$8,데이터입력!$AB$8))),데이터입력!$AB$8)</f>
        <v>00</v>
      </c>
      <c r="C100" s="720" t="str">
        <f>데이터입력!$AC$9</f>
        <v>일반사업[일반]</v>
      </c>
      <c r="D100" s="721" t="str">
        <f>IFERROR(IF(AND(데이터입력!$AE$2="추경",데이터입력!$AM$2=TRUE),VLOOKUP($A100,데이터입력!$A:$H,4,FALSE),""),"")</f>
        <v/>
      </c>
      <c r="E100" s="721" t="str">
        <f>IFERROR(IF(AND(데이터입력!$AE$2="추경",데이터입력!$AM$2=TRUE),VLOOKUP($A100,데이터입력!$A:$H,2,FALSE),""),"")</f>
        <v/>
      </c>
      <c r="F100" s="721" t="str">
        <f>IFERROR(IF(AND(데이터입력!$AE$2="추경",데이터입력!$AM$2=TRUE),VLOOKUP($A100,데이터입력!$A:$H,5,FALSE),""),"")</f>
        <v/>
      </c>
      <c r="G100" s="721" t="str">
        <f>IFERROR(IF(AND(데이터입력!$AE$2="추경",데이터입력!$AM$2=TRUE),VLOOKUP($A100,데이터입력!$A:$H,6,FALSE),""),"")</f>
        <v/>
      </c>
      <c r="H100" s="722" t="str">
        <f>IFERROR(IF(AND(데이터입력!$AE$2="추경",데이터입력!$AM$2=TRUE),VLOOKUP($A100,데이터입력!$A:$L,7,FALSE),""),"")</f>
        <v/>
      </c>
      <c r="I100" s="722" t="str">
        <f>IFERROR(IF(AND(데이터입력!$AE$2="추경",데이터입력!$AM$2=TRUE),VLOOKUP($A100,데이터입력!$A:$L,8,FALSE)+VLOOKUP($A100,데이터입력!$A:$L,9,FALSE)+VLOOKUP($A100,데이터입력!$A:$L,10,FALSE),""),"")</f>
        <v/>
      </c>
      <c r="J100" s="723" t="s">
        <v>136</v>
      </c>
      <c r="K100" s="723" t="s">
        <v>136</v>
      </c>
      <c r="L100" s="723" t="s">
        <v>136</v>
      </c>
      <c r="M100" s="715"/>
      <c r="N100" s="233">
        <v>298</v>
      </c>
      <c r="O100" s="727" t="str">
        <f>IFERROR(IF(S100="06",데이터입력!$AB$8,IF(S100="07",데이터입력!$AD$8,IF(S100="05",데이터입력!$AF$8,데이터입력!$AB$8))),데이터입력!$AB$8)</f>
        <v>00</v>
      </c>
      <c r="P100" s="728" t="str">
        <f>데이터입력!$AC$9</f>
        <v>일반사업[일반]</v>
      </c>
      <c r="Q100" s="729" t="str">
        <f>IFERROR(IF(데이터입력!$AE$2="추경",VLOOKUP($N100,데이터입력!$A:$H,4,FALSE),""),"")</f>
        <v/>
      </c>
      <c r="R100" s="729" t="str">
        <f>IFERROR(IF(데이터입력!$AE$2="추경",VLOOKUP($N100,데이터입력!$A:$H,2,FALSE),""),"")</f>
        <v/>
      </c>
      <c r="S100" s="729" t="str">
        <f>IFERROR(IF(데이터입력!$AE$2="추경",VLOOKUP($N100,데이터입력!$A:$H,5,FALSE),""),"")</f>
        <v/>
      </c>
      <c r="T100" s="729" t="str">
        <f>IFERROR(IF(데이터입력!$AE$2="추경",VLOOKUP($N100,데이터입력!$A:$H,6,FALSE),""),"")</f>
        <v/>
      </c>
      <c r="U100" s="730" t="str">
        <f>IFERROR(IF(데이터입력!$AE$2="추경",VLOOKUP($N100,데이터입력!$A:$L,8,FALSE)+VLOOKUP($N100,데이터입력!$A:$L,9,FALSE)+VLOOKUP($N100,데이터입력!$A:$L,10,FALSE),""),"")</f>
        <v/>
      </c>
      <c r="V100" s="731" t="s">
        <v>136</v>
      </c>
      <c r="W100" s="731" t="s">
        <v>136</v>
      </c>
      <c r="X100" s="731" t="s">
        <v>136</v>
      </c>
      <c r="Y100" s="712"/>
      <c r="Z100" s="235" t="str">
        <f>데이터입력!$AB$8</f>
        <v>00</v>
      </c>
      <c r="AA100" s="238" t="str">
        <f>데이터입력!$AC$9</f>
        <v>일반사업[일반]</v>
      </c>
      <c r="AB100" s="236" t="str">
        <f>IFERROR(IF(데이터입력!$AE$2="추경",VLOOKUP($A100,보수일람표!$A:$M,4,FALSE),""),"")</f>
        <v/>
      </c>
      <c r="AC100" s="236" t="str">
        <f>IFERROR(IF(데이터입력!$AE$2="추경",VLOOKUP($A100,보수일람표!$A:$M,5,FALSE),""),"")</f>
        <v/>
      </c>
      <c r="AD100" s="236" t="str">
        <f>IFERROR(IF(데이터입력!$AE$2="추경",VLOOKUP($A100,보수일람표!$A:$M,6,FALSE),""),"")</f>
        <v/>
      </c>
      <c r="AE100" s="236" t="str">
        <f>IFERROR(IF(데이터입력!$AE$2="추경",VLOOKUP($A100,보수일람표!$A:$M,7,FALSE),""),"")</f>
        <v>직접</v>
      </c>
      <c r="AF100" s="236"/>
      <c r="AG100" s="237">
        <f>IFERROR(IF(데이터입력!$AE$2="추경",VLOOKUP($A100,보수일람표!$A:$M,9,FALSE),""),"")</f>
        <v>0</v>
      </c>
      <c r="AH100" s="237">
        <f>IFERROR(IF(데이터입력!$AE$2="추경",VLOOKUP($A100,보수일람표!$A:$M,10,FALSE),""),"")</f>
        <v>0</v>
      </c>
      <c r="AI100" s="237">
        <f>IFERROR(IF(데이터입력!$AE$2="추경",VLOOKUP($A100,보수일람표!$A:$M,11,FALSE),""),"")</f>
        <v>0</v>
      </c>
      <c r="AJ100" s="237">
        <f>IFERROR(IF(데이터입력!$AE$2="추경",VLOOKUP($A100,보수일람표!$A:$M,12,FALSE),""),"")</f>
        <v>0</v>
      </c>
      <c r="AK100" s="237">
        <f>IFERROR(IF(데이터입력!$AE$2="추경",VLOOKUP($A100,보수일람표!$A:$M,13,FALSE),""),"")</f>
        <v>0</v>
      </c>
    </row>
    <row r="101" spans="1:37">
      <c r="A101" s="233">
        <v>99</v>
      </c>
      <c r="B101" s="719" t="str">
        <f>IFERROR(IF(F101="06",데이터입력!$AB$8,IF(F101="07",데이터입력!$AD$8,IF(F101="05",데이터입력!$AF$8,데이터입력!$AB$8))),데이터입력!$AB$8)</f>
        <v>00</v>
      </c>
      <c r="C101" s="720" t="str">
        <f>데이터입력!$AC$9</f>
        <v>일반사업[일반]</v>
      </c>
      <c r="D101" s="721" t="str">
        <f>IFERROR(IF(AND(데이터입력!$AE$2="추경",데이터입력!$AM$2=TRUE),VLOOKUP($A101,데이터입력!$A:$H,4,FALSE),""),"")</f>
        <v/>
      </c>
      <c r="E101" s="721" t="str">
        <f>IFERROR(IF(AND(데이터입력!$AE$2="추경",데이터입력!$AM$2=TRUE),VLOOKUP($A101,데이터입력!$A:$H,2,FALSE),""),"")</f>
        <v/>
      </c>
      <c r="F101" s="721" t="str">
        <f>IFERROR(IF(AND(데이터입력!$AE$2="추경",데이터입력!$AM$2=TRUE),VLOOKUP($A101,데이터입력!$A:$H,5,FALSE),""),"")</f>
        <v/>
      </c>
      <c r="G101" s="721" t="str">
        <f>IFERROR(IF(AND(데이터입력!$AE$2="추경",데이터입력!$AM$2=TRUE),VLOOKUP($A101,데이터입력!$A:$H,6,FALSE),""),"")</f>
        <v/>
      </c>
      <c r="H101" s="722" t="str">
        <f>IFERROR(IF(AND(데이터입력!$AE$2="추경",데이터입력!$AM$2=TRUE),VLOOKUP($A101,데이터입력!$A:$L,7,FALSE),""),"")</f>
        <v/>
      </c>
      <c r="I101" s="722" t="str">
        <f>IFERROR(IF(AND(데이터입력!$AE$2="추경",데이터입력!$AM$2=TRUE),VLOOKUP($A101,데이터입력!$A:$L,8,FALSE)+VLOOKUP($A101,데이터입력!$A:$L,9,FALSE)+VLOOKUP($A101,데이터입력!$A:$L,10,FALSE),""),"")</f>
        <v/>
      </c>
      <c r="J101" s="723" t="s">
        <v>136</v>
      </c>
      <c r="K101" s="723" t="s">
        <v>136</v>
      </c>
      <c r="L101" s="723" t="s">
        <v>136</v>
      </c>
      <c r="M101" s="715"/>
      <c r="N101" s="233">
        <v>299</v>
      </c>
      <c r="O101" s="727" t="str">
        <f>IFERROR(IF(S101="06",데이터입력!$AB$8,IF(S101="07",데이터입력!$AD$8,IF(S101="05",데이터입력!$AF$8,데이터입력!$AB$8))),데이터입력!$AB$8)</f>
        <v>00</v>
      </c>
      <c r="P101" s="728" t="str">
        <f>데이터입력!$AC$9</f>
        <v>일반사업[일반]</v>
      </c>
      <c r="Q101" s="729" t="str">
        <f>IFERROR(IF(데이터입력!$AE$2="추경",VLOOKUP($N101,데이터입력!$A:$H,4,FALSE),""),"")</f>
        <v/>
      </c>
      <c r="R101" s="729" t="str">
        <f>IFERROR(IF(데이터입력!$AE$2="추경",VLOOKUP($N101,데이터입력!$A:$H,2,FALSE),""),"")</f>
        <v/>
      </c>
      <c r="S101" s="729" t="str">
        <f>IFERROR(IF(데이터입력!$AE$2="추경",VLOOKUP($N101,데이터입력!$A:$H,5,FALSE),""),"")</f>
        <v/>
      </c>
      <c r="T101" s="729" t="str">
        <f>IFERROR(IF(데이터입력!$AE$2="추경",VLOOKUP($N101,데이터입력!$A:$H,6,FALSE),""),"")</f>
        <v/>
      </c>
      <c r="U101" s="730" t="str">
        <f>IFERROR(IF(데이터입력!$AE$2="추경",VLOOKUP($N101,데이터입력!$A:$L,8,FALSE)+VLOOKUP($N101,데이터입력!$A:$L,9,FALSE)+VLOOKUP($N101,데이터입력!$A:$L,10,FALSE),""),"")</f>
        <v/>
      </c>
      <c r="V101" s="731" t="s">
        <v>136</v>
      </c>
      <c r="W101" s="731" t="s">
        <v>136</v>
      </c>
      <c r="X101" s="731" t="s">
        <v>136</v>
      </c>
      <c r="Y101" s="712"/>
      <c r="Z101" s="235" t="str">
        <f>데이터입력!$AB$8</f>
        <v>00</v>
      </c>
      <c r="AA101" s="238" t="str">
        <f>데이터입력!$AC$9</f>
        <v>일반사업[일반]</v>
      </c>
      <c r="AB101" s="236" t="str">
        <f>IFERROR(IF(데이터입력!$AE$2="추경",VLOOKUP($A101,보수일람표!$A:$M,4,FALSE),""),"")</f>
        <v/>
      </c>
      <c r="AC101" s="236" t="str">
        <f>IFERROR(IF(데이터입력!$AE$2="추경",VLOOKUP($A101,보수일람표!$A:$M,5,FALSE),""),"")</f>
        <v/>
      </c>
      <c r="AD101" s="236" t="str">
        <f>IFERROR(IF(데이터입력!$AE$2="추경",VLOOKUP($A101,보수일람표!$A:$M,6,FALSE),""),"")</f>
        <v/>
      </c>
      <c r="AE101" s="236" t="str">
        <f>IFERROR(IF(데이터입력!$AE$2="추경",VLOOKUP($A101,보수일람표!$A:$M,7,FALSE),""),"")</f>
        <v>직접</v>
      </c>
      <c r="AF101" s="236"/>
      <c r="AG101" s="237">
        <f>IFERROR(IF(데이터입력!$AE$2="추경",VLOOKUP($A101,보수일람표!$A:$M,9,FALSE),""),"")</f>
        <v>0</v>
      </c>
      <c r="AH101" s="237">
        <f>IFERROR(IF(데이터입력!$AE$2="추경",VLOOKUP($A101,보수일람표!$A:$M,10,FALSE),""),"")</f>
        <v>0</v>
      </c>
      <c r="AI101" s="237">
        <f>IFERROR(IF(데이터입력!$AE$2="추경",VLOOKUP($A101,보수일람표!$A:$M,11,FALSE),""),"")</f>
        <v>0</v>
      </c>
      <c r="AJ101" s="237">
        <f>IFERROR(IF(데이터입력!$AE$2="추경",VLOOKUP($A101,보수일람표!$A:$M,12,FALSE),""),"")</f>
        <v>0</v>
      </c>
      <c r="AK101" s="237">
        <f>IFERROR(IF(데이터입력!$AE$2="추경",VLOOKUP($A101,보수일람표!$A:$M,13,FALSE),""),"")</f>
        <v>0</v>
      </c>
    </row>
    <row r="102" spans="1:37">
      <c r="A102" s="233">
        <v>100</v>
      </c>
      <c r="B102" s="719" t="str">
        <f>IFERROR(IF(F102="06",데이터입력!$AB$8,IF(F102="07",데이터입력!$AD$8,IF(F102="05",데이터입력!$AF$8,데이터입력!$AB$8))),데이터입력!$AB$8)</f>
        <v>00</v>
      </c>
      <c r="C102" s="720" t="str">
        <f>데이터입력!$AC$9</f>
        <v>일반사업[일반]</v>
      </c>
      <c r="D102" s="721" t="str">
        <f>IFERROR(IF(AND(데이터입력!$AE$2="추경",데이터입력!$AM$2=TRUE),VLOOKUP($A102,데이터입력!$A:$H,4,FALSE),""),"")</f>
        <v/>
      </c>
      <c r="E102" s="721" t="str">
        <f>IFERROR(IF(AND(데이터입력!$AE$2="추경",데이터입력!$AM$2=TRUE),VLOOKUP($A102,데이터입력!$A:$H,2,FALSE),""),"")</f>
        <v/>
      </c>
      <c r="F102" s="721" t="str">
        <f>IFERROR(IF(AND(데이터입력!$AE$2="추경",데이터입력!$AM$2=TRUE),VLOOKUP($A102,데이터입력!$A:$H,5,FALSE),""),"")</f>
        <v/>
      </c>
      <c r="G102" s="721" t="str">
        <f>IFERROR(IF(AND(데이터입력!$AE$2="추경",데이터입력!$AM$2=TRUE),VLOOKUP($A102,데이터입력!$A:$H,6,FALSE),""),"")</f>
        <v/>
      </c>
      <c r="H102" s="722" t="str">
        <f>IFERROR(IF(AND(데이터입력!$AE$2="추경",데이터입력!$AM$2=TRUE),VLOOKUP($A102,데이터입력!$A:$L,7,FALSE),""),"")</f>
        <v/>
      </c>
      <c r="I102" s="722" t="str">
        <f>IFERROR(IF(AND(데이터입력!$AE$2="추경",데이터입력!$AM$2=TRUE),VLOOKUP($A102,데이터입력!$A:$L,8,FALSE)+VLOOKUP($A102,데이터입력!$A:$L,9,FALSE)+VLOOKUP($A102,데이터입력!$A:$L,10,FALSE),""),"")</f>
        <v/>
      </c>
      <c r="J102" s="723" t="s">
        <v>136</v>
      </c>
      <c r="K102" s="723" t="s">
        <v>136</v>
      </c>
      <c r="L102" s="723" t="s">
        <v>136</v>
      </c>
      <c r="M102" s="715"/>
      <c r="N102" s="233">
        <v>300</v>
      </c>
      <c r="O102" s="727" t="str">
        <f>IFERROR(IF(S102="06",데이터입력!$AB$8,IF(S102="07",데이터입력!$AD$8,IF(S102="05",데이터입력!$AF$8,데이터입력!$AB$8))),데이터입력!$AB$8)</f>
        <v>00</v>
      </c>
      <c r="P102" s="728" t="str">
        <f>데이터입력!$AC$9</f>
        <v>일반사업[일반]</v>
      </c>
      <c r="Q102" s="729" t="str">
        <f>IFERROR(IF(데이터입력!$AE$2="추경",VLOOKUP($N102,데이터입력!$A:$H,4,FALSE),""),"")</f>
        <v/>
      </c>
      <c r="R102" s="729" t="str">
        <f>IFERROR(IF(데이터입력!$AE$2="추경",VLOOKUP($N102,데이터입력!$A:$H,2,FALSE),""),"")</f>
        <v/>
      </c>
      <c r="S102" s="729" t="str">
        <f>IFERROR(IF(데이터입력!$AE$2="추경",VLOOKUP($N102,데이터입력!$A:$H,5,FALSE),""),"")</f>
        <v/>
      </c>
      <c r="T102" s="729" t="str">
        <f>IFERROR(IF(데이터입력!$AE$2="추경",VLOOKUP($N102,데이터입력!$A:$H,6,FALSE),""),"")</f>
        <v/>
      </c>
      <c r="U102" s="730" t="str">
        <f>IFERROR(IF(데이터입력!$AE$2="추경",VLOOKUP($N102,데이터입력!$A:$L,8,FALSE)+VLOOKUP($N102,데이터입력!$A:$L,9,FALSE)+VLOOKUP($N102,데이터입력!$A:$L,10,FALSE),""),"")</f>
        <v/>
      </c>
      <c r="V102" s="731" t="s">
        <v>136</v>
      </c>
      <c r="W102" s="731" t="s">
        <v>136</v>
      </c>
      <c r="X102" s="731" t="s">
        <v>136</v>
      </c>
      <c r="Y102" s="712"/>
      <c r="Z102" s="235" t="str">
        <f>데이터입력!$AB$8</f>
        <v>00</v>
      </c>
      <c r="AA102" s="238" t="str">
        <f>데이터입력!$AC$9</f>
        <v>일반사업[일반]</v>
      </c>
      <c r="AB102" s="236" t="str">
        <f>IFERROR(IF(데이터입력!$AE$2="추경",VLOOKUP($A102,보수일람표!$A:$M,4,FALSE),""),"")</f>
        <v/>
      </c>
      <c r="AC102" s="236" t="str">
        <f>IFERROR(IF(데이터입력!$AE$2="추경",VLOOKUP($A102,보수일람표!$A:$M,5,FALSE),""),"")</f>
        <v/>
      </c>
      <c r="AD102" s="236" t="str">
        <f>IFERROR(IF(데이터입력!$AE$2="추경",VLOOKUP($A102,보수일람표!$A:$M,6,FALSE),""),"")</f>
        <v/>
      </c>
      <c r="AE102" s="236" t="str">
        <f>IFERROR(IF(데이터입력!$AE$2="추경",VLOOKUP($A102,보수일람표!$A:$M,7,FALSE),""),"")</f>
        <v>직접</v>
      </c>
      <c r="AF102" s="236"/>
      <c r="AG102" s="237">
        <f>IFERROR(IF(데이터입력!$AE$2="추경",VLOOKUP($A102,보수일람표!$A:$M,9,FALSE),""),"")</f>
        <v>0</v>
      </c>
      <c r="AH102" s="237">
        <f>IFERROR(IF(데이터입력!$AE$2="추경",VLOOKUP($A102,보수일람표!$A:$M,10,FALSE),""),"")</f>
        <v>0</v>
      </c>
      <c r="AI102" s="237">
        <f>IFERROR(IF(데이터입력!$AE$2="추경",VLOOKUP($A102,보수일람표!$A:$M,11,FALSE),""),"")</f>
        <v>0</v>
      </c>
      <c r="AJ102" s="237">
        <f>IFERROR(IF(데이터입력!$AE$2="추경",VLOOKUP($A102,보수일람표!$A:$M,12,FALSE),""),"")</f>
        <v>0</v>
      </c>
      <c r="AK102" s="237">
        <f>IFERROR(IF(데이터입력!$AE$2="추경",VLOOKUP($A102,보수일람표!$A:$M,13,FALSE),""),"")</f>
        <v>0</v>
      </c>
    </row>
    <row r="103" spans="1:37">
      <c r="A103" s="233">
        <v>101</v>
      </c>
      <c r="B103" s="719" t="str">
        <f>IFERROR(IF(F103="06",데이터입력!$AB$8,IF(F103="07",데이터입력!$AD$8,IF(F103="05",데이터입력!$AF$8,데이터입력!$AB$8))),데이터입력!$AB$8)</f>
        <v>00</v>
      </c>
      <c r="C103" s="720" t="str">
        <f>데이터입력!$AC$9</f>
        <v>일반사업[일반]</v>
      </c>
      <c r="D103" s="721" t="str">
        <f>IFERROR(IF(AND(데이터입력!$AE$2="추경",데이터입력!$AM$2=TRUE),VLOOKUP($A103,데이터입력!$A:$H,4,FALSE),""),"")</f>
        <v/>
      </c>
      <c r="E103" s="721" t="str">
        <f>IFERROR(IF(AND(데이터입력!$AE$2="추경",데이터입력!$AM$2=TRUE),VLOOKUP($A103,데이터입력!$A:$H,2,FALSE),""),"")</f>
        <v/>
      </c>
      <c r="F103" s="721" t="str">
        <f>IFERROR(IF(AND(데이터입력!$AE$2="추경",데이터입력!$AM$2=TRUE),VLOOKUP($A103,데이터입력!$A:$H,5,FALSE),""),"")</f>
        <v/>
      </c>
      <c r="G103" s="721" t="str">
        <f>IFERROR(IF(AND(데이터입력!$AE$2="추경",데이터입력!$AM$2=TRUE),VLOOKUP($A103,데이터입력!$A:$H,6,FALSE),""),"")</f>
        <v/>
      </c>
      <c r="H103" s="722" t="str">
        <f>IFERROR(IF(AND(데이터입력!$AE$2="추경",데이터입력!$AM$2=TRUE),VLOOKUP($A103,데이터입력!$A:$L,7,FALSE),""),"")</f>
        <v/>
      </c>
      <c r="I103" s="722" t="str">
        <f>IFERROR(IF(AND(데이터입력!$AE$2="추경",데이터입력!$AM$2=TRUE),VLOOKUP($A103,데이터입력!$A:$L,8,FALSE)+VLOOKUP($A103,데이터입력!$A:$L,9,FALSE)+VLOOKUP($A103,데이터입력!$A:$L,10,FALSE),""),"")</f>
        <v/>
      </c>
      <c r="J103" s="723" t="s">
        <v>136</v>
      </c>
      <c r="K103" s="723" t="s">
        <v>136</v>
      </c>
      <c r="L103" s="723" t="s">
        <v>136</v>
      </c>
      <c r="M103" s="715"/>
      <c r="N103" s="233">
        <v>301</v>
      </c>
      <c r="O103" s="727" t="str">
        <f>IFERROR(IF(S103="06",데이터입력!$AB$8,IF(S103="07",데이터입력!$AD$8,IF(S103="05",데이터입력!$AF$8,데이터입력!$AB$8))),데이터입력!$AB$8)</f>
        <v>00</v>
      </c>
      <c r="P103" s="728" t="str">
        <f>데이터입력!$AC$9</f>
        <v>일반사업[일반]</v>
      </c>
      <c r="Q103" s="729" t="str">
        <f>IFERROR(IF(데이터입력!$AE$2="추경",VLOOKUP($N103,데이터입력!$A:$H,4,FALSE),""),"")</f>
        <v/>
      </c>
      <c r="R103" s="729" t="str">
        <f>IFERROR(IF(데이터입력!$AE$2="추경",VLOOKUP($N103,데이터입력!$A:$H,2,FALSE),""),"")</f>
        <v/>
      </c>
      <c r="S103" s="729" t="str">
        <f>IFERROR(IF(데이터입력!$AE$2="추경",VLOOKUP($N103,데이터입력!$A:$H,5,FALSE),""),"")</f>
        <v/>
      </c>
      <c r="T103" s="729" t="str">
        <f>IFERROR(IF(데이터입력!$AE$2="추경",VLOOKUP($N103,데이터입력!$A:$H,6,FALSE),""),"")</f>
        <v/>
      </c>
      <c r="U103" s="730" t="str">
        <f>IFERROR(IF(데이터입력!$AE$2="추경",VLOOKUP($N103,데이터입력!$A:$L,8,FALSE)+VLOOKUP($N103,데이터입력!$A:$L,9,FALSE)+VLOOKUP($N103,데이터입력!$A:$L,10,FALSE),""),"")</f>
        <v/>
      </c>
      <c r="V103" s="731" t="s">
        <v>136</v>
      </c>
      <c r="W103" s="731" t="s">
        <v>136</v>
      </c>
      <c r="X103" s="731" t="s">
        <v>136</v>
      </c>
      <c r="Y103" s="712"/>
      <c r="Z103" s="235" t="str">
        <f>데이터입력!$AB$8</f>
        <v>00</v>
      </c>
      <c r="AA103" s="238" t="str">
        <f>데이터입력!$AC$9</f>
        <v>일반사업[일반]</v>
      </c>
      <c r="AB103" s="236" t="str">
        <f>IFERROR(IF(데이터입력!$AE$2="추경",VLOOKUP($A103,보수일람표!$A:$M,4,FALSE),""),"")</f>
        <v/>
      </c>
      <c r="AC103" s="236" t="str">
        <f>IFERROR(IF(데이터입력!$AE$2="추경",VLOOKUP($A103,보수일람표!$A:$M,5,FALSE),""),"")</f>
        <v/>
      </c>
      <c r="AD103" s="236" t="str">
        <f>IFERROR(IF(데이터입력!$AE$2="추경",VLOOKUP($A103,보수일람표!$A:$M,6,FALSE),""),"")</f>
        <v/>
      </c>
      <c r="AE103" s="236" t="str">
        <f>IFERROR(IF(데이터입력!$AE$2="추경",VLOOKUP($A103,보수일람표!$A:$M,7,FALSE),""),"")</f>
        <v>직접</v>
      </c>
      <c r="AF103" s="236"/>
      <c r="AG103" s="237">
        <f>IFERROR(IF(데이터입력!$AE$2="추경",VLOOKUP($A103,보수일람표!$A:$M,9,FALSE),""),"")</f>
        <v>0</v>
      </c>
      <c r="AH103" s="237">
        <f>IFERROR(IF(데이터입력!$AE$2="추경",VLOOKUP($A103,보수일람표!$A:$M,10,FALSE),""),"")</f>
        <v>0</v>
      </c>
      <c r="AI103" s="237">
        <f>IFERROR(IF(데이터입력!$AE$2="추경",VLOOKUP($A103,보수일람표!$A:$M,11,FALSE),""),"")</f>
        <v>0</v>
      </c>
      <c r="AJ103" s="237">
        <f>IFERROR(IF(데이터입력!$AE$2="추경",VLOOKUP($A103,보수일람표!$A:$M,12,FALSE),""),"")</f>
        <v>0</v>
      </c>
      <c r="AK103" s="237">
        <f>IFERROR(IF(데이터입력!$AE$2="추경",VLOOKUP($A103,보수일람표!$A:$M,13,FALSE),""),"")</f>
        <v>0</v>
      </c>
    </row>
    <row r="104" spans="1:37">
      <c r="A104" s="233">
        <v>102</v>
      </c>
      <c r="B104" s="719" t="str">
        <f>IFERROR(IF(F104="06",데이터입력!$AB$8,IF(F104="07",데이터입력!$AD$8,IF(F104="05",데이터입력!$AF$8,데이터입력!$AB$8))),데이터입력!$AB$8)</f>
        <v>00</v>
      </c>
      <c r="C104" s="720" t="str">
        <f>데이터입력!$AC$9</f>
        <v>일반사업[일반]</v>
      </c>
      <c r="D104" s="721" t="str">
        <f>IFERROR(IF(AND(데이터입력!$AE$2="추경",데이터입력!$AM$2=TRUE),VLOOKUP($A104,데이터입력!$A:$H,4,FALSE),""),"")</f>
        <v/>
      </c>
      <c r="E104" s="721" t="str">
        <f>IFERROR(IF(AND(데이터입력!$AE$2="추경",데이터입력!$AM$2=TRUE),VLOOKUP($A104,데이터입력!$A:$H,2,FALSE),""),"")</f>
        <v/>
      </c>
      <c r="F104" s="721" t="str">
        <f>IFERROR(IF(AND(데이터입력!$AE$2="추경",데이터입력!$AM$2=TRUE),VLOOKUP($A104,데이터입력!$A:$H,5,FALSE),""),"")</f>
        <v/>
      </c>
      <c r="G104" s="721" t="str">
        <f>IFERROR(IF(AND(데이터입력!$AE$2="추경",데이터입력!$AM$2=TRUE),VLOOKUP($A104,데이터입력!$A:$H,6,FALSE),""),"")</f>
        <v/>
      </c>
      <c r="H104" s="722" t="str">
        <f>IFERROR(IF(AND(데이터입력!$AE$2="추경",데이터입력!$AM$2=TRUE),VLOOKUP($A104,데이터입력!$A:$L,7,FALSE),""),"")</f>
        <v/>
      </c>
      <c r="I104" s="722" t="str">
        <f>IFERROR(IF(AND(데이터입력!$AE$2="추경",데이터입력!$AM$2=TRUE),VLOOKUP($A104,데이터입력!$A:$L,8,FALSE)+VLOOKUP($A104,데이터입력!$A:$L,9,FALSE)+VLOOKUP($A104,데이터입력!$A:$L,10,FALSE),""),"")</f>
        <v/>
      </c>
      <c r="J104" s="723" t="s">
        <v>136</v>
      </c>
      <c r="K104" s="723" t="s">
        <v>136</v>
      </c>
      <c r="L104" s="723" t="s">
        <v>136</v>
      </c>
      <c r="M104" s="715"/>
      <c r="N104" s="233">
        <v>302</v>
      </c>
      <c r="O104" s="727" t="str">
        <f>IFERROR(IF(S104="06",데이터입력!$AB$8,IF(S104="07",데이터입력!$AD$8,IF(S104="05",데이터입력!$AF$8,데이터입력!$AB$8))),데이터입력!$AB$8)</f>
        <v>00</v>
      </c>
      <c r="P104" s="728" t="str">
        <f>데이터입력!$AC$9</f>
        <v>일반사업[일반]</v>
      </c>
      <c r="Q104" s="729" t="str">
        <f>IFERROR(IF(데이터입력!$AE$2="추경",VLOOKUP($N104,데이터입력!$A:$H,4,FALSE),""),"")</f>
        <v/>
      </c>
      <c r="R104" s="729" t="str">
        <f>IFERROR(IF(데이터입력!$AE$2="추경",VLOOKUP($N104,데이터입력!$A:$H,2,FALSE),""),"")</f>
        <v/>
      </c>
      <c r="S104" s="729" t="str">
        <f>IFERROR(IF(데이터입력!$AE$2="추경",VLOOKUP($N104,데이터입력!$A:$H,5,FALSE),""),"")</f>
        <v/>
      </c>
      <c r="T104" s="729" t="str">
        <f>IFERROR(IF(데이터입력!$AE$2="추경",VLOOKUP($N104,데이터입력!$A:$H,6,FALSE),""),"")</f>
        <v/>
      </c>
      <c r="U104" s="730" t="str">
        <f>IFERROR(IF(데이터입력!$AE$2="추경",VLOOKUP($N104,데이터입력!$A:$L,8,FALSE)+VLOOKUP($N104,데이터입력!$A:$L,9,FALSE)+VLOOKUP($N104,데이터입력!$A:$L,10,FALSE),""),"")</f>
        <v/>
      </c>
      <c r="V104" s="731" t="s">
        <v>136</v>
      </c>
      <c r="W104" s="731" t="s">
        <v>136</v>
      </c>
      <c r="X104" s="731" t="s">
        <v>136</v>
      </c>
      <c r="Y104" s="712"/>
      <c r="Z104" s="235" t="str">
        <f>데이터입력!$AB$8</f>
        <v>00</v>
      </c>
      <c r="AA104" s="238" t="str">
        <f>데이터입력!$AC$9</f>
        <v>일반사업[일반]</v>
      </c>
      <c r="AB104" s="236" t="str">
        <f>IFERROR(IF(데이터입력!$AE$2="추경",VLOOKUP($A104,보수일람표!$A:$M,4,FALSE),""),"")</f>
        <v/>
      </c>
      <c r="AC104" s="236" t="str">
        <f>IFERROR(IF(데이터입력!$AE$2="추경",VLOOKUP($A104,보수일람표!$A:$M,5,FALSE),""),"")</f>
        <v/>
      </c>
      <c r="AD104" s="236" t="str">
        <f>IFERROR(IF(데이터입력!$AE$2="추경",VLOOKUP($A104,보수일람표!$A:$M,6,FALSE),""),"")</f>
        <v/>
      </c>
      <c r="AE104" s="236" t="str">
        <f>IFERROR(IF(데이터입력!$AE$2="추경",VLOOKUP($A104,보수일람표!$A:$M,7,FALSE),""),"")</f>
        <v>직접</v>
      </c>
      <c r="AF104" s="236"/>
      <c r="AG104" s="237">
        <f>IFERROR(IF(데이터입력!$AE$2="추경",VLOOKUP($A104,보수일람표!$A:$M,9,FALSE),""),"")</f>
        <v>0</v>
      </c>
      <c r="AH104" s="237">
        <f>IFERROR(IF(데이터입력!$AE$2="추경",VLOOKUP($A104,보수일람표!$A:$M,10,FALSE),""),"")</f>
        <v>0</v>
      </c>
      <c r="AI104" s="237">
        <f>IFERROR(IF(데이터입력!$AE$2="추경",VLOOKUP($A104,보수일람표!$A:$M,11,FALSE),""),"")</f>
        <v>0</v>
      </c>
      <c r="AJ104" s="237">
        <f>IFERROR(IF(데이터입력!$AE$2="추경",VLOOKUP($A104,보수일람표!$A:$M,12,FALSE),""),"")</f>
        <v>0</v>
      </c>
      <c r="AK104" s="237">
        <f>IFERROR(IF(데이터입력!$AE$2="추경",VLOOKUP($A104,보수일람표!$A:$M,13,FALSE),""),"")</f>
        <v>0</v>
      </c>
    </row>
    <row r="105" spans="1:37">
      <c r="A105" s="233">
        <v>103</v>
      </c>
      <c r="B105" s="719" t="str">
        <f>IFERROR(IF(F105="06",데이터입력!$AB$8,IF(F105="07",데이터입력!$AD$8,IF(F105="05",데이터입력!$AF$8,데이터입력!$AB$8))),데이터입력!$AB$8)</f>
        <v>00</v>
      </c>
      <c r="C105" s="720" t="str">
        <f>데이터입력!$AC$9</f>
        <v>일반사업[일반]</v>
      </c>
      <c r="D105" s="721" t="str">
        <f>IFERROR(IF(AND(데이터입력!$AE$2="추경",데이터입력!$AM$2=TRUE),VLOOKUP($A105,데이터입력!$A:$H,4,FALSE),""),"")</f>
        <v/>
      </c>
      <c r="E105" s="721" t="str">
        <f>IFERROR(IF(AND(데이터입력!$AE$2="추경",데이터입력!$AM$2=TRUE),VLOOKUP($A105,데이터입력!$A:$H,2,FALSE),""),"")</f>
        <v/>
      </c>
      <c r="F105" s="721" t="str">
        <f>IFERROR(IF(AND(데이터입력!$AE$2="추경",데이터입력!$AM$2=TRUE),VLOOKUP($A105,데이터입력!$A:$H,5,FALSE),""),"")</f>
        <v/>
      </c>
      <c r="G105" s="721" t="str">
        <f>IFERROR(IF(AND(데이터입력!$AE$2="추경",데이터입력!$AM$2=TRUE),VLOOKUP($A105,데이터입력!$A:$H,6,FALSE),""),"")</f>
        <v/>
      </c>
      <c r="H105" s="722" t="str">
        <f>IFERROR(IF(AND(데이터입력!$AE$2="추경",데이터입력!$AM$2=TRUE),VLOOKUP($A105,데이터입력!$A:$L,7,FALSE),""),"")</f>
        <v/>
      </c>
      <c r="I105" s="722" t="str">
        <f>IFERROR(IF(AND(데이터입력!$AE$2="추경",데이터입력!$AM$2=TRUE),VLOOKUP($A105,데이터입력!$A:$L,8,FALSE)+VLOOKUP($A105,데이터입력!$A:$L,9,FALSE)+VLOOKUP($A105,데이터입력!$A:$L,10,FALSE),""),"")</f>
        <v/>
      </c>
      <c r="J105" s="723" t="s">
        <v>136</v>
      </c>
      <c r="K105" s="723" t="s">
        <v>136</v>
      </c>
      <c r="L105" s="723" t="s">
        <v>136</v>
      </c>
      <c r="M105" s="715"/>
      <c r="N105" s="233">
        <v>303</v>
      </c>
      <c r="O105" s="727" t="str">
        <f>IFERROR(IF(S105="06",데이터입력!$AB$8,IF(S105="07",데이터입력!$AD$8,IF(S105="05",데이터입력!$AF$8,데이터입력!$AB$8))),데이터입력!$AB$8)</f>
        <v>00</v>
      </c>
      <c r="P105" s="728" t="str">
        <f>데이터입력!$AC$9</f>
        <v>일반사업[일반]</v>
      </c>
      <c r="Q105" s="729" t="str">
        <f>IFERROR(IF(데이터입력!$AE$2="추경",VLOOKUP($N105,데이터입력!$A:$H,4,FALSE),""),"")</f>
        <v/>
      </c>
      <c r="R105" s="729" t="str">
        <f>IFERROR(IF(데이터입력!$AE$2="추경",VLOOKUP($N105,데이터입력!$A:$H,2,FALSE),""),"")</f>
        <v/>
      </c>
      <c r="S105" s="729" t="str">
        <f>IFERROR(IF(데이터입력!$AE$2="추경",VLOOKUP($N105,데이터입력!$A:$H,5,FALSE),""),"")</f>
        <v/>
      </c>
      <c r="T105" s="729" t="str">
        <f>IFERROR(IF(데이터입력!$AE$2="추경",VLOOKUP($N105,데이터입력!$A:$H,6,FALSE),""),"")</f>
        <v/>
      </c>
      <c r="U105" s="730" t="str">
        <f>IFERROR(IF(데이터입력!$AE$2="추경",VLOOKUP($N105,데이터입력!$A:$L,8,FALSE)+VLOOKUP($N105,데이터입력!$A:$L,9,FALSE)+VLOOKUP($N105,데이터입력!$A:$L,10,FALSE),""),"")</f>
        <v/>
      </c>
      <c r="V105" s="731" t="s">
        <v>136</v>
      </c>
      <c r="W105" s="731" t="s">
        <v>136</v>
      </c>
      <c r="X105" s="731" t="s">
        <v>136</v>
      </c>
      <c r="Y105" s="712"/>
      <c r="Z105" s="235" t="str">
        <f>데이터입력!$AB$8</f>
        <v>00</v>
      </c>
      <c r="AA105" s="238" t="str">
        <f>데이터입력!$AC$9</f>
        <v>일반사업[일반]</v>
      </c>
      <c r="AB105" s="236" t="str">
        <f>IFERROR(IF(데이터입력!$AE$2="추경",VLOOKUP($A105,보수일람표!$A:$M,4,FALSE),""),"")</f>
        <v/>
      </c>
      <c r="AC105" s="236" t="str">
        <f>IFERROR(IF(데이터입력!$AE$2="추경",VLOOKUP($A105,보수일람표!$A:$M,5,FALSE),""),"")</f>
        <v/>
      </c>
      <c r="AD105" s="236" t="str">
        <f>IFERROR(IF(데이터입력!$AE$2="추경",VLOOKUP($A105,보수일람표!$A:$M,6,FALSE),""),"")</f>
        <v/>
      </c>
      <c r="AE105" s="236" t="str">
        <f>IFERROR(IF(데이터입력!$AE$2="추경",VLOOKUP($A105,보수일람표!$A:$M,7,FALSE),""),"")</f>
        <v>직접</v>
      </c>
      <c r="AF105" s="236"/>
      <c r="AG105" s="237">
        <f>IFERROR(IF(데이터입력!$AE$2="추경",VLOOKUP($A105,보수일람표!$A:$M,9,FALSE),""),"")</f>
        <v>0</v>
      </c>
      <c r="AH105" s="237">
        <f>IFERROR(IF(데이터입력!$AE$2="추경",VLOOKUP($A105,보수일람표!$A:$M,10,FALSE),""),"")</f>
        <v>0</v>
      </c>
      <c r="AI105" s="237">
        <f>IFERROR(IF(데이터입력!$AE$2="추경",VLOOKUP($A105,보수일람표!$A:$M,11,FALSE),""),"")</f>
        <v>0</v>
      </c>
      <c r="AJ105" s="237">
        <f>IFERROR(IF(데이터입력!$AE$2="추경",VLOOKUP($A105,보수일람표!$A:$M,12,FALSE),""),"")</f>
        <v>0</v>
      </c>
      <c r="AK105" s="237">
        <f>IFERROR(IF(데이터입력!$AE$2="추경",VLOOKUP($A105,보수일람표!$A:$M,13,FALSE),""),"")</f>
        <v>0</v>
      </c>
    </row>
    <row r="106" spans="1:37">
      <c r="A106" s="233">
        <v>104</v>
      </c>
      <c r="B106" s="719" t="str">
        <f>IFERROR(IF(F106="06",데이터입력!$AB$8,IF(F106="07",데이터입력!$AD$8,IF(F106="05",데이터입력!$AF$8,데이터입력!$AB$8))),데이터입력!$AB$8)</f>
        <v>00</v>
      </c>
      <c r="C106" s="720" t="str">
        <f>데이터입력!$AC$9</f>
        <v>일반사업[일반]</v>
      </c>
      <c r="D106" s="721" t="str">
        <f>IFERROR(IF(AND(데이터입력!$AE$2="추경",데이터입력!$AM$2=TRUE),VLOOKUP($A106,데이터입력!$A:$H,4,FALSE),""),"")</f>
        <v/>
      </c>
      <c r="E106" s="721" t="str">
        <f>IFERROR(IF(AND(데이터입력!$AE$2="추경",데이터입력!$AM$2=TRUE),VLOOKUP($A106,데이터입력!$A:$H,2,FALSE),""),"")</f>
        <v/>
      </c>
      <c r="F106" s="721" t="str">
        <f>IFERROR(IF(AND(데이터입력!$AE$2="추경",데이터입력!$AM$2=TRUE),VLOOKUP($A106,데이터입력!$A:$H,5,FALSE),""),"")</f>
        <v/>
      </c>
      <c r="G106" s="721" t="str">
        <f>IFERROR(IF(AND(데이터입력!$AE$2="추경",데이터입력!$AM$2=TRUE),VLOOKUP($A106,데이터입력!$A:$H,6,FALSE),""),"")</f>
        <v/>
      </c>
      <c r="H106" s="722" t="str">
        <f>IFERROR(IF(AND(데이터입력!$AE$2="추경",데이터입력!$AM$2=TRUE),VLOOKUP($A106,데이터입력!$A:$L,7,FALSE),""),"")</f>
        <v/>
      </c>
      <c r="I106" s="722" t="str">
        <f>IFERROR(IF(AND(데이터입력!$AE$2="추경",데이터입력!$AM$2=TRUE),VLOOKUP($A106,데이터입력!$A:$L,8,FALSE)+VLOOKUP($A106,데이터입력!$A:$L,9,FALSE)+VLOOKUP($A106,데이터입력!$A:$L,10,FALSE),""),"")</f>
        <v/>
      </c>
      <c r="J106" s="723" t="s">
        <v>136</v>
      </c>
      <c r="K106" s="723" t="s">
        <v>136</v>
      </c>
      <c r="L106" s="723" t="s">
        <v>136</v>
      </c>
      <c r="M106" s="715"/>
      <c r="N106" s="233">
        <v>304</v>
      </c>
      <c r="O106" s="727" t="str">
        <f>IFERROR(IF(S106="06",데이터입력!$AB$8,IF(S106="07",데이터입력!$AD$8,IF(S106="05",데이터입력!$AF$8,데이터입력!$AB$8))),데이터입력!$AB$8)</f>
        <v>00</v>
      </c>
      <c r="P106" s="728" t="str">
        <f>데이터입력!$AC$9</f>
        <v>일반사업[일반]</v>
      </c>
      <c r="Q106" s="729" t="str">
        <f>IFERROR(IF(데이터입력!$AE$2="추경",VLOOKUP($N106,데이터입력!$A:$H,4,FALSE),""),"")</f>
        <v/>
      </c>
      <c r="R106" s="729" t="str">
        <f>IFERROR(IF(데이터입력!$AE$2="추경",VLOOKUP($N106,데이터입력!$A:$H,2,FALSE),""),"")</f>
        <v/>
      </c>
      <c r="S106" s="729" t="str">
        <f>IFERROR(IF(데이터입력!$AE$2="추경",VLOOKUP($N106,데이터입력!$A:$H,5,FALSE),""),"")</f>
        <v/>
      </c>
      <c r="T106" s="729" t="str">
        <f>IFERROR(IF(데이터입력!$AE$2="추경",VLOOKUP($N106,데이터입력!$A:$H,6,FALSE),""),"")</f>
        <v/>
      </c>
      <c r="U106" s="730" t="str">
        <f>IFERROR(IF(데이터입력!$AE$2="추경",VLOOKUP($N106,데이터입력!$A:$L,8,FALSE)+VLOOKUP($N106,데이터입력!$A:$L,9,FALSE)+VLOOKUP($N106,데이터입력!$A:$L,10,FALSE),""),"")</f>
        <v/>
      </c>
      <c r="V106" s="731" t="s">
        <v>136</v>
      </c>
      <c r="W106" s="731" t="s">
        <v>136</v>
      </c>
      <c r="X106" s="731" t="s">
        <v>136</v>
      </c>
      <c r="Y106" s="712"/>
      <c r="Z106" s="235" t="str">
        <f>데이터입력!$AB$8</f>
        <v>00</v>
      </c>
      <c r="AA106" s="238" t="str">
        <f>데이터입력!$AC$9</f>
        <v>일반사업[일반]</v>
      </c>
      <c r="AB106" s="236" t="str">
        <f>IFERROR(IF(데이터입력!$AE$2="추경",VLOOKUP($A106,보수일람표!$A:$M,4,FALSE),""),"")</f>
        <v/>
      </c>
      <c r="AC106" s="236" t="str">
        <f>IFERROR(IF(데이터입력!$AE$2="추경",VLOOKUP($A106,보수일람표!$A:$M,5,FALSE),""),"")</f>
        <v/>
      </c>
      <c r="AD106" s="236" t="str">
        <f>IFERROR(IF(데이터입력!$AE$2="추경",VLOOKUP($A106,보수일람표!$A:$M,6,FALSE),""),"")</f>
        <v/>
      </c>
      <c r="AE106" s="236" t="str">
        <f>IFERROR(IF(데이터입력!$AE$2="추경",VLOOKUP($A106,보수일람표!$A:$M,7,FALSE),""),"")</f>
        <v>직접</v>
      </c>
      <c r="AF106" s="236"/>
      <c r="AG106" s="237">
        <f>IFERROR(IF(데이터입력!$AE$2="추경",VLOOKUP($A106,보수일람표!$A:$M,9,FALSE),""),"")</f>
        <v>0</v>
      </c>
      <c r="AH106" s="237">
        <f>IFERROR(IF(데이터입력!$AE$2="추경",VLOOKUP($A106,보수일람표!$A:$M,10,FALSE),""),"")</f>
        <v>0</v>
      </c>
      <c r="AI106" s="237">
        <f>IFERROR(IF(데이터입력!$AE$2="추경",VLOOKUP($A106,보수일람표!$A:$M,11,FALSE),""),"")</f>
        <v>0</v>
      </c>
      <c r="AJ106" s="237">
        <f>IFERROR(IF(데이터입력!$AE$2="추경",VLOOKUP($A106,보수일람표!$A:$M,12,FALSE),""),"")</f>
        <v>0</v>
      </c>
      <c r="AK106" s="237">
        <f>IFERROR(IF(데이터입력!$AE$2="추경",VLOOKUP($A106,보수일람표!$A:$M,13,FALSE),""),"")</f>
        <v>0</v>
      </c>
    </row>
    <row r="107" spans="1:37">
      <c r="A107" s="233">
        <v>105</v>
      </c>
      <c r="B107" s="719" t="str">
        <f>IFERROR(IF(F107="06",데이터입력!$AB$8,IF(F107="07",데이터입력!$AD$8,IF(F107="05",데이터입력!$AF$8,데이터입력!$AB$8))),데이터입력!$AB$8)</f>
        <v>00</v>
      </c>
      <c r="C107" s="720" t="str">
        <f>데이터입력!$AC$9</f>
        <v>일반사업[일반]</v>
      </c>
      <c r="D107" s="721" t="str">
        <f>IFERROR(IF(AND(데이터입력!$AE$2="추경",데이터입력!$AM$2=TRUE),VLOOKUP($A107,데이터입력!$A:$H,4,FALSE),""),"")</f>
        <v/>
      </c>
      <c r="E107" s="721" t="str">
        <f>IFERROR(IF(AND(데이터입력!$AE$2="추경",데이터입력!$AM$2=TRUE),VLOOKUP($A107,데이터입력!$A:$H,2,FALSE),""),"")</f>
        <v/>
      </c>
      <c r="F107" s="721" t="str">
        <f>IFERROR(IF(AND(데이터입력!$AE$2="추경",데이터입력!$AM$2=TRUE),VLOOKUP($A107,데이터입력!$A:$H,5,FALSE),""),"")</f>
        <v/>
      </c>
      <c r="G107" s="721" t="str">
        <f>IFERROR(IF(AND(데이터입력!$AE$2="추경",데이터입력!$AM$2=TRUE),VLOOKUP($A107,데이터입력!$A:$H,6,FALSE),""),"")</f>
        <v/>
      </c>
      <c r="H107" s="722" t="str">
        <f>IFERROR(IF(AND(데이터입력!$AE$2="추경",데이터입력!$AM$2=TRUE),VLOOKUP($A107,데이터입력!$A:$L,7,FALSE),""),"")</f>
        <v/>
      </c>
      <c r="I107" s="722" t="str">
        <f>IFERROR(IF(AND(데이터입력!$AE$2="추경",데이터입력!$AM$2=TRUE),VLOOKUP($A107,데이터입력!$A:$L,8,FALSE)+VLOOKUP($A107,데이터입력!$A:$L,9,FALSE)+VLOOKUP($A107,데이터입력!$A:$L,10,FALSE),""),"")</f>
        <v/>
      </c>
      <c r="J107" s="723" t="s">
        <v>136</v>
      </c>
      <c r="K107" s="723" t="s">
        <v>136</v>
      </c>
      <c r="L107" s="723" t="s">
        <v>136</v>
      </c>
      <c r="M107" s="715"/>
      <c r="N107" s="233">
        <v>305</v>
      </c>
      <c r="O107" s="727" t="str">
        <f>IFERROR(IF(S107="06",데이터입력!$AB$8,IF(S107="07",데이터입력!$AD$8,IF(S107="05",데이터입력!$AF$8,데이터입력!$AB$8))),데이터입력!$AB$8)</f>
        <v>00</v>
      </c>
      <c r="P107" s="728" t="str">
        <f>데이터입력!$AC$9</f>
        <v>일반사업[일반]</v>
      </c>
      <c r="Q107" s="729" t="str">
        <f>IFERROR(IF(데이터입력!$AE$2="추경",VLOOKUP($N107,데이터입력!$A:$H,4,FALSE),""),"")</f>
        <v/>
      </c>
      <c r="R107" s="729" t="str">
        <f>IFERROR(IF(데이터입력!$AE$2="추경",VLOOKUP($N107,데이터입력!$A:$H,2,FALSE),""),"")</f>
        <v/>
      </c>
      <c r="S107" s="729" t="str">
        <f>IFERROR(IF(데이터입력!$AE$2="추경",VLOOKUP($N107,데이터입력!$A:$H,5,FALSE),""),"")</f>
        <v/>
      </c>
      <c r="T107" s="729" t="str">
        <f>IFERROR(IF(데이터입력!$AE$2="추경",VLOOKUP($N107,데이터입력!$A:$H,6,FALSE),""),"")</f>
        <v/>
      </c>
      <c r="U107" s="730" t="str">
        <f>IFERROR(IF(데이터입력!$AE$2="추경",VLOOKUP($N107,데이터입력!$A:$L,8,FALSE)+VLOOKUP($N107,데이터입력!$A:$L,9,FALSE)+VLOOKUP($N107,데이터입력!$A:$L,10,FALSE),""),"")</f>
        <v/>
      </c>
      <c r="V107" s="731" t="s">
        <v>136</v>
      </c>
      <c r="W107" s="731" t="s">
        <v>136</v>
      </c>
      <c r="X107" s="731" t="s">
        <v>136</v>
      </c>
      <c r="Y107" s="712"/>
      <c r="Z107" s="235" t="str">
        <f>데이터입력!$AB$8</f>
        <v>00</v>
      </c>
      <c r="AA107" s="238" t="str">
        <f>데이터입력!$AC$9</f>
        <v>일반사업[일반]</v>
      </c>
      <c r="AB107" s="236" t="str">
        <f>IFERROR(IF(데이터입력!$AE$2="추경",VLOOKUP($A107,보수일람표!$A:$M,4,FALSE),""),"")</f>
        <v/>
      </c>
      <c r="AC107" s="236" t="str">
        <f>IFERROR(IF(데이터입력!$AE$2="추경",VLOOKUP($A107,보수일람표!$A:$M,5,FALSE),""),"")</f>
        <v/>
      </c>
      <c r="AD107" s="236" t="str">
        <f>IFERROR(IF(데이터입력!$AE$2="추경",VLOOKUP($A107,보수일람표!$A:$M,6,FALSE),""),"")</f>
        <v/>
      </c>
      <c r="AE107" s="236" t="str">
        <f>IFERROR(IF(데이터입력!$AE$2="추경",VLOOKUP($A107,보수일람표!$A:$M,7,FALSE),""),"")</f>
        <v>직접</v>
      </c>
      <c r="AF107" s="236"/>
      <c r="AG107" s="237">
        <f>IFERROR(IF(데이터입력!$AE$2="추경",VLOOKUP($A107,보수일람표!$A:$M,9,FALSE),""),"")</f>
        <v>0</v>
      </c>
      <c r="AH107" s="237">
        <f>IFERROR(IF(데이터입력!$AE$2="추경",VLOOKUP($A107,보수일람표!$A:$M,10,FALSE),""),"")</f>
        <v>0</v>
      </c>
      <c r="AI107" s="237">
        <f>IFERROR(IF(데이터입력!$AE$2="추경",VLOOKUP($A107,보수일람표!$A:$M,11,FALSE),""),"")</f>
        <v>0</v>
      </c>
      <c r="AJ107" s="237">
        <f>IFERROR(IF(데이터입력!$AE$2="추경",VLOOKUP($A107,보수일람표!$A:$M,12,FALSE),""),"")</f>
        <v>0</v>
      </c>
      <c r="AK107" s="237">
        <f>IFERROR(IF(데이터입력!$AE$2="추경",VLOOKUP($A107,보수일람표!$A:$M,13,FALSE),""),"")</f>
        <v>0</v>
      </c>
    </row>
    <row r="108" spans="1:37">
      <c r="A108" s="233">
        <v>106</v>
      </c>
      <c r="B108" s="719" t="str">
        <f>IFERROR(IF(F108="06",데이터입력!$AB$8,IF(F108="07",데이터입력!$AD$8,IF(F108="05",데이터입력!$AF$8,데이터입력!$AB$8))),데이터입력!$AB$8)</f>
        <v>00</v>
      </c>
      <c r="C108" s="720" t="str">
        <f>데이터입력!$AC$9</f>
        <v>일반사업[일반]</v>
      </c>
      <c r="D108" s="721" t="str">
        <f>IFERROR(IF(AND(데이터입력!$AE$2="추경",데이터입력!$AM$2=TRUE),VLOOKUP($A108,데이터입력!$A:$H,4,FALSE),""),"")</f>
        <v/>
      </c>
      <c r="E108" s="721" t="str">
        <f>IFERROR(IF(AND(데이터입력!$AE$2="추경",데이터입력!$AM$2=TRUE),VLOOKUP($A108,데이터입력!$A:$H,2,FALSE),""),"")</f>
        <v/>
      </c>
      <c r="F108" s="721" t="str">
        <f>IFERROR(IF(AND(데이터입력!$AE$2="추경",데이터입력!$AM$2=TRUE),VLOOKUP($A108,데이터입력!$A:$H,5,FALSE),""),"")</f>
        <v/>
      </c>
      <c r="G108" s="721" t="str">
        <f>IFERROR(IF(AND(데이터입력!$AE$2="추경",데이터입력!$AM$2=TRUE),VLOOKUP($A108,데이터입력!$A:$H,6,FALSE),""),"")</f>
        <v/>
      </c>
      <c r="H108" s="722" t="str">
        <f>IFERROR(IF(AND(데이터입력!$AE$2="추경",데이터입력!$AM$2=TRUE),VLOOKUP($A108,데이터입력!$A:$L,7,FALSE),""),"")</f>
        <v/>
      </c>
      <c r="I108" s="722" t="str">
        <f>IFERROR(IF(AND(데이터입력!$AE$2="추경",데이터입력!$AM$2=TRUE),VLOOKUP($A108,데이터입력!$A:$L,8,FALSE)+VLOOKUP($A108,데이터입력!$A:$L,9,FALSE)+VLOOKUP($A108,데이터입력!$A:$L,10,FALSE),""),"")</f>
        <v/>
      </c>
      <c r="J108" s="723" t="s">
        <v>136</v>
      </c>
      <c r="K108" s="723" t="s">
        <v>136</v>
      </c>
      <c r="L108" s="723" t="s">
        <v>136</v>
      </c>
      <c r="M108" s="715"/>
      <c r="N108" s="233">
        <v>306</v>
      </c>
      <c r="O108" s="727" t="str">
        <f>IFERROR(IF(S108="06",데이터입력!$AB$8,IF(S108="07",데이터입력!$AD$8,IF(S108="05",데이터입력!$AF$8,데이터입력!$AB$8))),데이터입력!$AB$8)</f>
        <v>00</v>
      </c>
      <c r="P108" s="728" t="str">
        <f>데이터입력!$AC$9</f>
        <v>일반사업[일반]</v>
      </c>
      <c r="Q108" s="729" t="str">
        <f>IFERROR(IF(데이터입력!$AE$2="추경",VLOOKUP($N108,데이터입력!$A:$H,4,FALSE),""),"")</f>
        <v/>
      </c>
      <c r="R108" s="729" t="str">
        <f>IFERROR(IF(데이터입력!$AE$2="추경",VLOOKUP($N108,데이터입력!$A:$H,2,FALSE),""),"")</f>
        <v/>
      </c>
      <c r="S108" s="729" t="str">
        <f>IFERROR(IF(데이터입력!$AE$2="추경",VLOOKUP($N108,데이터입력!$A:$H,5,FALSE),""),"")</f>
        <v/>
      </c>
      <c r="T108" s="729" t="str">
        <f>IFERROR(IF(데이터입력!$AE$2="추경",VLOOKUP($N108,데이터입력!$A:$H,6,FALSE),""),"")</f>
        <v/>
      </c>
      <c r="U108" s="730" t="str">
        <f>IFERROR(IF(데이터입력!$AE$2="추경",VLOOKUP($N108,데이터입력!$A:$L,8,FALSE)+VLOOKUP($N108,데이터입력!$A:$L,9,FALSE)+VLOOKUP($N108,데이터입력!$A:$L,10,FALSE),""),"")</f>
        <v/>
      </c>
      <c r="V108" s="731" t="s">
        <v>136</v>
      </c>
      <c r="W108" s="731" t="s">
        <v>136</v>
      </c>
      <c r="X108" s="731" t="s">
        <v>136</v>
      </c>
      <c r="Y108" s="712"/>
      <c r="Z108" s="235" t="str">
        <f>데이터입력!$AB$8</f>
        <v>00</v>
      </c>
      <c r="AA108" s="238" t="str">
        <f>데이터입력!$AC$9</f>
        <v>일반사업[일반]</v>
      </c>
      <c r="AB108" s="236" t="str">
        <f>IFERROR(IF(데이터입력!$AE$2="추경",VLOOKUP($A108,보수일람표!$A:$M,4,FALSE),""),"")</f>
        <v/>
      </c>
      <c r="AC108" s="236" t="str">
        <f>IFERROR(IF(데이터입력!$AE$2="추경",VLOOKUP($A108,보수일람표!$A:$M,5,FALSE),""),"")</f>
        <v/>
      </c>
      <c r="AD108" s="236" t="str">
        <f>IFERROR(IF(데이터입력!$AE$2="추경",VLOOKUP($A108,보수일람표!$A:$M,6,FALSE),""),"")</f>
        <v/>
      </c>
      <c r="AE108" s="236" t="str">
        <f>IFERROR(IF(데이터입력!$AE$2="추경",VLOOKUP($A108,보수일람표!$A:$M,7,FALSE),""),"")</f>
        <v>직접</v>
      </c>
      <c r="AF108" s="236"/>
      <c r="AG108" s="237">
        <f>IFERROR(IF(데이터입력!$AE$2="추경",VLOOKUP($A108,보수일람표!$A:$M,9,FALSE),""),"")</f>
        <v>0</v>
      </c>
      <c r="AH108" s="237">
        <f>IFERROR(IF(데이터입력!$AE$2="추경",VLOOKUP($A108,보수일람표!$A:$M,10,FALSE),""),"")</f>
        <v>0</v>
      </c>
      <c r="AI108" s="237">
        <f>IFERROR(IF(데이터입력!$AE$2="추경",VLOOKUP($A108,보수일람표!$A:$M,11,FALSE),""),"")</f>
        <v>0</v>
      </c>
      <c r="AJ108" s="237">
        <f>IFERROR(IF(데이터입력!$AE$2="추경",VLOOKUP($A108,보수일람표!$A:$M,12,FALSE),""),"")</f>
        <v>0</v>
      </c>
      <c r="AK108" s="237">
        <f>IFERROR(IF(데이터입력!$AE$2="추경",VLOOKUP($A108,보수일람표!$A:$M,13,FALSE),""),"")</f>
        <v>0</v>
      </c>
    </row>
    <row r="109" spans="1:37">
      <c r="A109" s="233">
        <v>107</v>
      </c>
      <c r="B109" s="719" t="str">
        <f>IFERROR(IF(F109="06",데이터입력!$AB$8,IF(F109="07",데이터입력!$AD$8,IF(F109="05",데이터입력!$AF$8,데이터입력!$AB$8))),데이터입력!$AB$8)</f>
        <v>00</v>
      </c>
      <c r="C109" s="720" t="str">
        <f>데이터입력!$AC$9</f>
        <v>일반사업[일반]</v>
      </c>
      <c r="D109" s="721" t="str">
        <f>IFERROR(IF(AND(데이터입력!$AE$2="추경",데이터입력!$AM$2=TRUE),VLOOKUP($A109,데이터입력!$A:$H,4,FALSE),""),"")</f>
        <v/>
      </c>
      <c r="E109" s="721" t="str">
        <f>IFERROR(IF(AND(데이터입력!$AE$2="추경",데이터입력!$AM$2=TRUE),VLOOKUP($A109,데이터입력!$A:$H,2,FALSE),""),"")</f>
        <v/>
      </c>
      <c r="F109" s="721" t="str">
        <f>IFERROR(IF(AND(데이터입력!$AE$2="추경",데이터입력!$AM$2=TRUE),VLOOKUP($A109,데이터입력!$A:$H,5,FALSE),""),"")</f>
        <v/>
      </c>
      <c r="G109" s="721" t="str">
        <f>IFERROR(IF(AND(데이터입력!$AE$2="추경",데이터입력!$AM$2=TRUE),VLOOKUP($A109,데이터입력!$A:$H,6,FALSE),""),"")</f>
        <v/>
      </c>
      <c r="H109" s="722" t="str">
        <f>IFERROR(IF(AND(데이터입력!$AE$2="추경",데이터입력!$AM$2=TRUE),VLOOKUP($A109,데이터입력!$A:$L,7,FALSE),""),"")</f>
        <v/>
      </c>
      <c r="I109" s="722" t="str">
        <f>IFERROR(IF(AND(데이터입력!$AE$2="추경",데이터입력!$AM$2=TRUE),VLOOKUP($A109,데이터입력!$A:$L,8,FALSE)+VLOOKUP($A109,데이터입력!$A:$L,9,FALSE)+VLOOKUP($A109,데이터입력!$A:$L,10,FALSE),""),"")</f>
        <v/>
      </c>
      <c r="J109" s="723" t="s">
        <v>136</v>
      </c>
      <c r="K109" s="723" t="s">
        <v>136</v>
      </c>
      <c r="L109" s="723" t="s">
        <v>136</v>
      </c>
      <c r="M109" s="715"/>
      <c r="N109" s="233">
        <v>307</v>
      </c>
      <c r="O109" s="727" t="str">
        <f>IFERROR(IF(S109="06",데이터입력!$AB$8,IF(S109="07",데이터입력!$AD$8,IF(S109="05",데이터입력!$AF$8,데이터입력!$AB$8))),데이터입력!$AB$8)</f>
        <v>00</v>
      </c>
      <c r="P109" s="728" t="str">
        <f>데이터입력!$AC$9</f>
        <v>일반사업[일반]</v>
      </c>
      <c r="Q109" s="729" t="str">
        <f>IFERROR(IF(데이터입력!$AE$2="추경",VLOOKUP($N109,데이터입력!$A:$H,4,FALSE),""),"")</f>
        <v/>
      </c>
      <c r="R109" s="729" t="str">
        <f>IFERROR(IF(데이터입력!$AE$2="추경",VLOOKUP($N109,데이터입력!$A:$H,2,FALSE),""),"")</f>
        <v/>
      </c>
      <c r="S109" s="729" t="str">
        <f>IFERROR(IF(데이터입력!$AE$2="추경",VLOOKUP($N109,데이터입력!$A:$H,5,FALSE),""),"")</f>
        <v/>
      </c>
      <c r="T109" s="729" t="str">
        <f>IFERROR(IF(데이터입력!$AE$2="추경",VLOOKUP($N109,데이터입력!$A:$H,6,FALSE),""),"")</f>
        <v/>
      </c>
      <c r="U109" s="730" t="str">
        <f>IFERROR(IF(데이터입력!$AE$2="추경",VLOOKUP($N109,데이터입력!$A:$L,8,FALSE)+VLOOKUP($N109,데이터입력!$A:$L,9,FALSE)+VLOOKUP($N109,데이터입력!$A:$L,10,FALSE),""),"")</f>
        <v/>
      </c>
      <c r="V109" s="731" t="s">
        <v>136</v>
      </c>
      <c r="W109" s="731" t="s">
        <v>136</v>
      </c>
      <c r="X109" s="731" t="s">
        <v>136</v>
      </c>
      <c r="Y109" s="712"/>
      <c r="Z109" s="235" t="str">
        <f>데이터입력!$AB$8</f>
        <v>00</v>
      </c>
      <c r="AA109" s="238" t="str">
        <f>데이터입력!$AC$9</f>
        <v>일반사업[일반]</v>
      </c>
      <c r="AB109" s="236" t="str">
        <f>IFERROR(IF(데이터입력!$AE$2="추경",VLOOKUP($A109,보수일람표!$A:$M,4,FALSE),""),"")</f>
        <v/>
      </c>
      <c r="AC109" s="236" t="str">
        <f>IFERROR(IF(데이터입력!$AE$2="추경",VLOOKUP($A109,보수일람표!$A:$M,5,FALSE),""),"")</f>
        <v/>
      </c>
      <c r="AD109" s="236" t="str">
        <f>IFERROR(IF(데이터입력!$AE$2="추경",VLOOKUP($A109,보수일람표!$A:$M,6,FALSE),""),"")</f>
        <v/>
      </c>
      <c r="AE109" s="236" t="str">
        <f>IFERROR(IF(데이터입력!$AE$2="추경",VLOOKUP($A109,보수일람표!$A:$M,7,FALSE),""),"")</f>
        <v>직접</v>
      </c>
      <c r="AF109" s="236"/>
      <c r="AG109" s="237">
        <f>IFERROR(IF(데이터입력!$AE$2="추경",VLOOKUP($A109,보수일람표!$A:$M,9,FALSE),""),"")</f>
        <v>0</v>
      </c>
      <c r="AH109" s="237">
        <f>IFERROR(IF(데이터입력!$AE$2="추경",VLOOKUP($A109,보수일람표!$A:$M,10,FALSE),""),"")</f>
        <v>0</v>
      </c>
      <c r="AI109" s="237">
        <f>IFERROR(IF(데이터입력!$AE$2="추경",VLOOKUP($A109,보수일람표!$A:$M,11,FALSE),""),"")</f>
        <v>0</v>
      </c>
      <c r="AJ109" s="237">
        <f>IFERROR(IF(데이터입력!$AE$2="추경",VLOOKUP($A109,보수일람표!$A:$M,12,FALSE),""),"")</f>
        <v>0</v>
      </c>
      <c r="AK109" s="237">
        <f>IFERROR(IF(데이터입력!$AE$2="추경",VLOOKUP($A109,보수일람표!$A:$M,13,FALSE),""),"")</f>
        <v>0</v>
      </c>
    </row>
    <row r="110" spans="1:37">
      <c r="A110" s="233">
        <v>108</v>
      </c>
      <c r="B110" s="719" t="str">
        <f>IFERROR(IF(F110="06",데이터입력!$AB$8,IF(F110="07",데이터입력!$AD$8,IF(F110="05",데이터입력!$AF$8,데이터입력!$AB$8))),데이터입력!$AB$8)</f>
        <v>00</v>
      </c>
      <c r="C110" s="720" t="str">
        <f>데이터입력!$AC$9</f>
        <v>일반사업[일반]</v>
      </c>
      <c r="D110" s="721" t="str">
        <f>IFERROR(IF(AND(데이터입력!$AE$2="추경",데이터입력!$AM$2=TRUE),VLOOKUP($A110,데이터입력!$A:$H,4,FALSE),""),"")</f>
        <v/>
      </c>
      <c r="E110" s="721" t="str">
        <f>IFERROR(IF(AND(데이터입력!$AE$2="추경",데이터입력!$AM$2=TRUE),VLOOKUP($A110,데이터입력!$A:$H,2,FALSE),""),"")</f>
        <v/>
      </c>
      <c r="F110" s="721" t="str">
        <f>IFERROR(IF(AND(데이터입력!$AE$2="추경",데이터입력!$AM$2=TRUE),VLOOKUP($A110,데이터입력!$A:$H,5,FALSE),""),"")</f>
        <v/>
      </c>
      <c r="G110" s="721" t="str">
        <f>IFERROR(IF(AND(데이터입력!$AE$2="추경",데이터입력!$AM$2=TRUE),VLOOKUP($A110,데이터입력!$A:$H,6,FALSE),""),"")</f>
        <v/>
      </c>
      <c r="H110" s="722" t="str">
        <f>IFERROR(IF(AND(데이터입력!$AE$2="추경",데이터입력!$AM$2=TRUE),VLOOKUP($A110,데이터입력!$A:$L,7,FALSE),""),"")</f>
        <v/>
      </c>
      <c r="I110" s="722" t="str">
        <f>IFERROR(IF(AND(데이터입력!$AE$2="추경",데이터입력!$AM$2=TRUE),VLOOKUP($A110,데이터입력!$A:$L,8,FALSE)+VLOOKUP($A110,데이터입력!$A:$L,9,FALSE)+VLOOKUP($A110,데이터입력!$A:$L,10,FALSE),""),"")</f>
        <v/>
      </c>
      <c r="J110" s="723" t="s">
        <v>136</v>
      </c>
      <c r="K110" s="723" t="s">
        <v>136</v>
      </c>
      <c r="L110" s="723" t="s">
        <v>136</v>
      </c>
      <c r="M110" s="715"/>
      <c r="N110" s="233">
        <v>308</v>
      </c>
      <c r="O110" s="727" t="str">
        <f>IFERROR(IF(S110="06",데이터입력!$AB$8,IF(S110="07",데이터입력!$AD$8,IF(S110="05",데이터입력!$AF$8,데이터입력!$AB$8))),데이터입력!$AB$8)</f>
        <v>00</v>
      </c>
      <c r="P110" s="728" t="str">
        <f>데이터입력!$AC$9</f>
        <v>일반사업[일반]</v>
      </c>
      <c r="Q110" s="729" t="str">
        <f>IFERROR(IF(데이터입력!$AE$2="추경",VLOOKUP($N110,데이터입력!$A:$H,4,FALSE),""),"")</f>
        <v/>
      </c>
      <c r="R110" s="729" t="str">
        <f>IFERROR(IF(데이터입력!$AE$2="추경",VLOOKUP($N110,데이터입력!$A:$H,2,FALSE),""),"")</f>
        <v/>
      </c>
      <c r="S110" s="729" t="str">
        <f>IFERROR(IF(데이터입력!$AE$2="추경",VLOOKUP($N110,데이터입력!$A:$H,5,FALSE),""),"")</f>
        <v/>
      </c>
      <c r="T110" s="729" t="str">
        <f>IFERROR(IF(데이터입력!$AE$2="추경",VLOOKUP($N110,데이터입력!$A:$H,6,FALSE),""),"")</f>
        <v/>
      </c>
      <c r="U110" s="730" t="str">
        <f>IFERROR(IF(데이터입력!$AE$2="추경",VLOOKUP($N110,데이터입력!$A:$L,8,FALSE)+VLOOKUP($N110,데이터입력!$A:$L,9,FALSE)+VLOOKUP($N110,데이터입력!$A:$L,10,FALSE),""),"")</f>
        <v/>
      </c>
      <c r="V110" s="731" t="s">
        <v>136</v>
      </c>
      <c r="W110" s="731" t="s">
        <v>136</v>
      </c>
      <c r="X110" s="731" t="s">
        <v>136</v>
      </c>
      <c r="Y110" s="712"/>
      <c r="Z110" s="235" t="str">
        <f>데이터입력!$AB$8</f>
        <v>00</v>
      </c>
      <c r="AA110" s="238" t="str">
        <f>데이터입력!$AC$9</f>
        <v>일반사업[일반]</v>
      </c>
      <c r="AB110" s="236" t="str">
        <f>IFERROR(IF(데이터입력!$AE$2="추경",VLOOKUP($A110,보수일람표!$A:$M,4,FALSE),""),"")</f>
        <v/>
      </c>
      <c r="AC110" s="236" t="str">
        <f>IFERROR(IF(데이터입력!$AE$2="추경",VLOOKUP($A110,보수일람표!$A:$M,5,FALSE),""),"")</f>
        <v/>
      </c>
      <c r="AD110" s="236" t="str">
        <f>IFERROR(IF(데이터입력!$AE$2="추경",VLOOKUP($A110,보수일람표!$A:$M,6,FALSE),""),"")</f>
        <v/>
      </c>
      <c r="AE110" s="236" t="str">
        <f>IFERROR(IF(데이터입력!$AE$2="추경",VLOOKUP($A110,보수일람표!$A:$M,7,FALSE),""),"")</f>
        <v>직접</v>
      </c>
      <c r="AF110" s="236"/>
      <c r="AG110" s="237">
        <f>IFERROR(IF(데이터입력!$AE$2="추경",VLOOKUP($A110,보수일람표!$A:$M,9,FALSE),""),"")</f>
        <v>0</v>
      </c>
      <c r="AH110" s="237">
        <f>IFERROR(IF(데이터입력!$AE$2="추경",VLOOKUP($A110,보수일람표!$A:$M,10,FALSE),""),"")</f>
        <v>0</v>
      </c>
      <c r="AI110" s="237">
        <f>IFERROR(IF(데이터입력!$AE$2="추경",VLOOKUP($A110,보수일람표!$A:$M,11,FALSE),""),"")</f>
        <v>0</v>
      </c>
      <c r="AJ110" s="237">
        <f>IFERROR(IF(데이터입력!$AE$2="추경",VLOOKUP($A110,보수일람표!$A:$M,12,FALSE),""),"")</f>
        <v>0</v>
      </c>
      <c r="AK110" s="237">
        <f>IFERROR(IF(데이터입력!$AE$2="추경",VLOOKUP($A110,보수일람표!$A:$M,13,FALSE),""),"")</f>
        <v>0</v>
      </c>
    </row>
    <row r="111" spans="1:37">
      <c r="A111" s="233">
        <v>109</v>
      </c>
      <c r="B111" s="719" t="str">
        <f>IFERROR(IF(F111="06",데이터입력!$AB$8,IF(F111="07",데이터입력!$AD$8,IF(F111="05",데이터입력!$AF$8,데이터입력!$AB$8))),데이터입력!$AB$8)</f>
        <v>00</v>
      </c>
      <c r="C111" s="720" t="str">
        <f>데이터입력!$AC$9</f>
        <v>일반사업[일반]</v>
      </c>
      <c r="D111" s="721" t="str">
        <f>IFERROR(IF(AND(데이터입력!$AE$2="추경",데이터입력!$AM$2=TRUE),VLOOKUP($A111,데이터입력!$A:$H,4,FALSE),""),"")</f>
        <v/>
      </c>
      <c r="E111" s="721" t="str">
        <f>IFERROR(IF(AND(데이터입력!$AE$2="추경",데이터입력!$AM$2=TRUE),VLOOKUP($A111,데이터입력!$A:$H,2,FALSE),""),"")</f>
        <v/>
      </c>
      <c r="F111" s="721" t="str">
        <f>IFERROR(IF(AND(데이터입력!$AE$2="추경",데이터입력!$AM$2=TRUE),VLOOKUP($A111,데이터입력!$A:$H,5,FALSE),""),"")</f>
        <v/>
      </c>
      <c r="G111" s="721" t="str">
        <f>IFERROR(IF(AND(데이터입력!$AE$2="추경",데이터입력!$AM$2=TRUE),VLOOKUP($A111,데이터입력!$A:$H,6,FALSE),""),"")</f>
        <v/>
      </c>
      <c r="H111" s="722" t="str">
        <f>IFERROR(IF(AND(데이터입력!$AE$2="추경",데이터입력!$AM$2=TRUE),VLOOKUP($A111,데이터입력!$A:$L,7,FALSE),""),"")</f>
        <v/>
      </c>
      <c r="I111" s="722" t="str">
        <f>IFERROR(IF(AND(데이터입력!$AE$2="추경",데이터입력!$AM$2=TRUE),VLOOKUP($A111,데이터입력!$A:$L,8,FALSE)+VLOOKUP($A111,데이터입력!$A:$L,9,FALSE)+VLOOKUP($A111,데이터입력!$A:$L,10,FALSE),""),"")</f>
        <v/>
      </c>
      <c r="J111" s="723" t="s">
        <v>136</v>
      </c>
      <c r="K111" s="723" t="s">
        <v>136</v>
      </c>
      <c r="L111" s="723" t="s">
        <v>136</v>
      </c>
      <c r="M111" s="715"/>
      <c r="N111" s="233">
        <v>309</v>
      </c>
      <c r="O111" s="727" t="str">
        <f>IFERROR(IF(S111="06",데이터입력!$AB$8,IF(S111="07",데이터입력!$AD$8,IF(S111="05",데이터입력!$AF$8,데이터입력!$AB$8))),데이터입력!$AB$8)</f>
        <v>00</v>
      </c>
      <c r="P111" s="728" t="str">
        <f>데이터입력!$AC$9</f>
        <v>일반사업[일반]</v>
      </c>
      <c r="Q111" s="729" t="str">
        <f>IFERROR(IF(데이터입력!$AE$2="추경",VLOOKUP($N111,데이터입력!$A:$H,4,FALSE),""),"")</f>
        <v/>
      </c>
      <c r="R111" s="729" t="str">
        <f>IFERROR(IF(데이터입력!$AE$2="추경",VLOOKUP($N111,데이터입력!$A:$H,2,FALSE),""),"")</f>
        <v/>
      </c>
      <c r="S111" s="729" t="str">
        <f>IFERROR(IF(데이터입력!$AE$2="추경",VLOOKUP($N111,데이터입력!$A:$H,5,FALSE),""),"")</f>
        <v/>
      </c>
      <c r="T111" s="729" t="str">
        <f>IFERROR(IF(데이터입력!$AE$2="추경",VLOOKUP($N111,데이터입력!$A:$H,6,FALSE),""),"")</f>
        <v/>
      </c>
      <c r="U111" s="730" t="str">
        <f>IFERROR(IF(데이터입력!$AE$2="추경",VLOOKUP($N111,데이터입력!$A:$L,8,FALSE)+VLOOKUP($N111,데이터입력!$A:$L,9,FALSE)+VLOOKUP($N111,데이터입력!$A:$L,10,FALSE),""),"")</f>
        <v/>
      </c>
      <c r="V111" s="731" t="s">
        <v>136</v>
      </c>
      <c r="W111" s="731" t="s">
        <v>136</v>
      </c>
      <c r="X111" s="731" t="s">
        <v>136</v>
      </c>
      <c r="Y111" s="712"/>
      <c r="Z111" s="235" t="str">
        <f>데이터입력!$AB$8</f>
        <v>00</v>
      </c>
      <c r="AA111" s="238" t="str">
        <f>데이터입력!$AC$9</f>
        <v>일반사업[일반]</v>
      </c>
      <c r="AB111" s="236" t="str">
        <f>IFERROR(IF(데이터입력!$AE$2="추경",VLOOKUP($A111,보수일람표!$A:$M,4,FALSE),""),"")</f>
        <v/>
      </c>
      <c r="AC111" s="236" t="str">
        <f>IFERROR(IF(데이터입력!$AE$2="추경",VLOOKUP($A111,보수일람표!$A:$M,5,FALSE),""),"")</f>
        <v/>
      </c>
      <c r="AD111" s="236" t="str">
        <f>IFERROR(IF(데이터입력!$AE$2="추경",VLOOKUP($A111,보수일람표!$A:$M,6,FALSE),""),"")</f>
        <v/>
      </c>
      <c r="AE111" s="236" t="str">
        <f>IFERROR(IF(데이터입력!$AE$2="추경",VLOOKUP($A111,보수일람표!$A:$M,7,FALSE),""),"")</f>
        <v>직접</v>
      </c>
      <c r="AF111" s="236"/>
      <c r="AG111" s="237">
        <f>IFERROR(IF(데이터입력!$AE$2="추경",VLOOKUP($A111,보수일람표!$A:$M,9,FALSE),""),"")</f>
        <v>0</v>
      </c>
      <c r="AH111" s="237">
        <f>IFERROR(IF(데이터입력!$AE$2="추경",VLOOKUP($A111,보수일람표!$A:$M,10,FALSE),""),"")</f>
        <v>0</v>
      </c>
      <c r="AI111" s="237">
        <f>IFERROR(IF(데이터입력!$AE$2="추경",VLOOKUP($A111,보수일람표!$A:$M,11,FALSE),""),"")</f>
        <v>0</v>
      </c>
      <c r="AJ111" s="237">
        <f>IFERROR(IF(데이터입력!$AE$2="추경",VLOOKUP($A111,보수일람표!$A:$M,12,FALSE),""),"")</f>
        <v>0</v>
      </c>
      <c r="AK111" s="237">
        <f>IFERROR(IF(데이터입력!$AE$2="추경",VLOOKUP($A111,보수일람표!$A:$M,13,FALSE),""),"")</f>
        <v>0</v>
      </c>
    </row>
    <row r="112" spans="1:37">
      <c r="A112" s="233">
        <v>110</v>
      </c>
      <c r="B112" s="719" t="str">
        <f>IFERROR(IF(F112="06",데이터입력!$AB$8,IF(F112="07",데이터입력!$AD$8,IF(F112="05",데이터입력!$AF$8,데이터입력!$AB$8))),데이터입력!$AB$8)</f>
        <v>00</v>
      </c>
      <c r="C112" s="720" t="str">
        <f>데이터입력!$AC$9</f>
        <v>일반사업[일반]</v>
      </c>
      <c r="D112" s="721" t="str">
        <f>IFERROR(IF(AND(데이터입력!$AE$2="추경",데이터입력!$AM$2=TRUE),VLOOKUP($A112,데이터입력!$A:$H,4,FALSE),""),"")</f>
        <v/>
      </c>
      <c r="E112" s="721" t="str">
        <f>IFERROR(IF(AND(데이터입력!$AE$2="추경",데이터입력!$AM$2=TRUE),VLOOKUP($A112,데이터입력!$A:$H,2,FALSE),""),"")</f>
        <v/>
      </c>
      <c r="F112" s="721" t="str">
        <f>IFERROR(IF(AND(데이터입력!$AE$2="추경",데이터입력!$AM$2=TRUE),VLOOKUP($A112,데이터입력!$A:$H,5,FALSE),""),"")</f>
        <v/>
      </c>
      <c r="G112" s="721" t="str">
        <f>IFERROR(IF(AND(데이터입력!$AE$2="추경",데이터입력!$AM$2=TRUE),VLOOKUP($A112,데이터입력!$A:$H,6,FALSE),""),"")</f>
        <v/>
      </c>
      <c r="H112" s="722" t="str">
        <f>IFERROR(IF(AND(데이터입력!$AE$2="추경",데이터입력!$AM$2=TRUE),VLOOKUP($A112,데이터입력!$A:$L,7,FALSE),""),"")</f>
        <v/>
      </c>
      <c r="I112" s="722" t="str">
        <f>IFERROR(IF(AND(데이터입력!$AE$2="추경",데이터입력!$AM$2=TRUE),VLOOKUP($A112,데이터입력!$A:$L,8,FALSE)+VLOOKUP($A112,데이터입력!$A:$L,9,FALSE)+VLOOKUP($A112,데이터입력!$A:$L,10,FALSE),""),"")</f>
        <v/>
      </c>
      <c r="J112" s="723" t="s">
        <v>136</v>
      </c>
      <c r="K112" s="723" t="s">
        <v>136</v>
      </c>
      <c r="L112" s="723" t="s">
        <v>136</v>
      </c>
      <c r="M112" s="715"/>
      <c r="N112" s="233">
        <v>310</v>
      </c>
      <c r="O112" s="727" t="str">
        <f>IFERROR(IF(S112="06",데이터입력!$AB$8,IF(S112="07",데이터입력!$AD$8,IF(S112="05",데이터입력!$AF$8,데이터입력!$AB$8))),데이터입력!$AB$8)</f>
        <v>00</v>
      </c>
      <c r="P112" s="728" t="str">
        <f>데이터입력!$AC$9</f>
        <v>일반사업[일반]</v>
      </c>
      <c r="Q112" s="729" t="str">
        <f>IFERROR(IF(데이터입력!$AE$2="추경",VLOOKUP($N112,데이터입력!$A:$H,4,FALSE),""),"")</f>
        <v/>
      </c>
      <c r="R112" s="729" t="str">
        <f>IFERROR(IF(데이터입력!$AE$2="추경",VLOOKUP($N112,데이터입력!$A:$H,2,FALSE),""),"")</f>
        <v/>
      </c>
      <c r="S112" s="729" t="str">
        <f>IFERROR(IF(데이터입력!$AE$2="추경",VLOOKUP($N112,데이터입력!$A:$H,5,FALSE),""),"")</f>
        <v/>
      </c>
      <c r="T112" s="729" t="str">
        <f>IFERROR(IF(데이터입력!$AE$2="추경",VLOOKUP($N112,데이터입력!$A:$H,6,FALSE),""),"")</f>
        <v/>
      </c>
      <c r="U112" s="730" t="str">
        <f>IFERROR(IF(데이터입력!$AE$2="추경",VLOOKUP($N112,데이터입력!$A:$L,8,FALSE)+VLOOKUP($N112,데이터입력!$A:$L,9,FALSE)+VLOOKUP($N112,데이터입력!$A:$L,10,FALSE),""),"")</f>
        <v/>
      </c>
      <c r="V112" s="731" t="s">
        <v>136</v>
      </c>
      <c r="W112" s="731" t="s">
        <v>136</v>
      </c>
      <c r="X112" s="731" t="s">
        <v>136</v>
      </c>
      <c r="Y112" s="712"/>
      <c r="Z112" s="235" t="str">
        <f>데이터입력!$AB$8</f>
        <v>00</v>
      </c>
      <c r="AA112" s="238" t="str">
        <f>데이터입력!$AC$9</f>
        <v>일반사업[일반]</v>
      </c>
      <c r="AB112" s="236" t="str">
        <f>IFERROR(IF(데이터입력!$AE$2="추경",VLOOKUP($A112,보수일람표!$A:$M,4,FALSE),""),"")</f>
        <v/>
      </c>
      <c r="AC112" s="236" t="str">
        <f>IFERROR(IF(데이터입력!$AE$2="추경",VLOOKUP($A112,보수일람표!$A:$M,5,FALSE),""),"")</f>
        <v/>
      </c>
      <c r="AD112" s="236" t="str">
        <f>IFERROR(IF(데이터입력!$AE$2="추경",VLOOKUP($A112,보수일람표!$A:$M,6,FALSE),""),"")</f>
        <v/>
      </c>
      <c r="AE112" s="236" t="str">
        <f>IFERROR(IF(데이터입력!$AE$2="추경",VLOOKUP($A112,보수일람표!$A:$M,7,FALSE),""),"")</f>
        <v>직접</v>
      </c>
      <c r="AF112" s="236"/>
      <c r="AG112" s="237">
        <f>IFERROR(IF(데이터입력!$AE$2="추경",VLOOKUP($A112,보수일람표!$A:$M,9,FALSE),""),"")</f>
        <v>0</v>
      </c>
      <c r="AH112" s="237">
        <f>IFERROR(IF(데이터입력!$AE$2="추경",VLOOKUP($A112,보수일람표!$A:$M,10,FALSE),""),"")</f>
        <v>0</v>
      </c>
      <c r="AI112" s="237">
        <f>IFERROR(IF(데이터입력!$AE$2="추경",VLOOKUP($A112,보수일람표!$A:$M,11,FALSE),""),"")</f>
        <v>0</v>
      </c>
      <c r="AJ112" s="237">
        <f>IFERROR(IF(데이터입력!$AE$2="추경",VLOOKUP($A112,보수일람표!$A:$M,12,FALSE),""),"")</f>
        <v>0</v>
      </c>
      <c r="AK112" s="237">
        <f>IFERROR(IF(데이터입력!$AE$2="추경",VLOOKUP($A112,보수일람표!$A:$M,13,FALSE),""),"")</f>
        <v>0</v>
      </c>
    </row>
    <row r="113" spans="1:37">
      <c r="A113" s="233">
        <v>111</v>
      </c>
      <c r="B113" s="719" t="str">
        <f>IFERROR(IF(F113="06",데이터입력!$AB$8,IF(F113="07",데이터입력!$AD$8,IF(F113="05",데이터입력!$AF$8,데이터입력!$AB$8))),데이터입력!$AB$8)</f>
        <v>00</v>
      </c>
      <c r="C113" s="720" t="str">
        <f>데이터입력!$AC$9</f>
        <v>일반사업[일반]</v>
      </c>
      <c r="D113" s="721" t="str">
        <f>IFERROR(IF(AND(데이터입력!$AE$2="추경",데이터입력!$AM$2=TRUE),VLOOKUP($A113,데이터입력!$A:$H,4,FALSE),""),"")</f>
        <v/>
      </c>
      <c r="E113" s="721" t="str">
        <f>IFERROR(IF(AND(데이터입력!$AE$2="추경",데이터입력!$AM$2=TRUE),VLOOKUP($A113,데이터입력!$A:$H,2,FALSE),""),"")</f>
        <v/>
      </c>
      <c r="F113" s="721" t="str">
        <f>IFERROR(IF(AND(데이터입력!$AE$2="추경",데이터입력!$AM$2=TRUE),VLOOKUP($A113,데이터입력!$A:$H,5,FALSE),""),"")</f>
        <v/>
      </c>
      <c r="G113" s="721" t="str">
        <f>IFERROR(IF(AND(데이터입력!$AE$2="추경",데이터입력!$AM$2=TRUE),VLOOKUP($A113,데이터입력!$A:$H,6,FALSE),""),"")</f>
        <v/>
      </c>
      <c r="H113" s="722" t="str">
        <f>IFERROR(IF(AND(데이터입력!$AE$2="추경",데이터입력!$AM$2=TRUE),VLOOKUP($A113,데이터입력!$A:$L,7,FALSE),""),"")</f>
        <v/>
      </c>
      <c r="I113" s="722" t="str">
        <f>IFERROR(IF(AND(데이터입력!$AE$2="추경",데이터입력!$AM$2=TRUE),VLOOKUP($A113,데이터입력!$A:$L,8,FALSE)+VLOOKUP($A113,데이터입력!$A:$L,9,FALSE)+VLOOKUP($A113,데이터입력!$A:$L,10,FALSE),""),"")</f>
        <v/>
      </c>
      <c r="J113" s="723" t="s">
        <v>136</v>
      </c>
      <c r="K113" s="723" t="s">
        <v>136</v>
      </c>
      <c r="L113" s="723" t="s">
        <v>136</v>
      </c>
      <c r="M113" s="715"/>
      <c r="N113" s="233">
        <v>311</v>
      </c>
      <c r="O113" s="727" t="str">
        <f>IFERROR(IF(S113="06",데이터입력!$AB$8,IF(S113="07",데이터입력!$AD$8,IF(S113="05",데이터입력!$AF$8,데이터입력!$AB$8))),데이터입력!$AB$8)</f>
        <v>00</v>
      </c>
      <c r="P113" s="728" t="str">
        <f>데이터입력!$AC$9</f>
        <v>일반사업[일반]</v>
      </c>
      <c r="Q113" s="729" t="str">
        <f>IFERROR(IF(데이터입력!$AE$2="추경",VLOOKUP($N113,데이터입력!$A:$H,4,FALSE),""),"")</f>
        <v/>
      </c>
      <c r="R113" s="729" t="str">
        <f>IFERROR(IF(데이터입력!$AE$2="추경",VLOOKUP($N113,데이터입력!$A:$H,2,FALSE),""),"")</f>
        <v/>
      </c>
      <c r="S113" s="729" t="str">
        <f>IFERROR(IF(데이터입력!$AE$2="추경",VLOOKUP($N113,데이터입력!$A:$H,5,FALSE),""),"")</f>
        <v/>
      </c>
      <c r="T113" s="729" t="str">
        <f>IFERROR(IF(데이터입력!$AE$2="추경",VLOOKUP($N113,데이터입력!$A:$H,6,FALSE),""),"")</f>
        <v/>
      </c>
      <c r="U113" s="730" t="str">
        <f>IFERROR(IF(데이터입력!$AE$2="추경",VLOOKUP($N113,데이터입력!$A:$L,8,FALSE)+VLOOKUP($N113,데이터입력!$A:$L,9,FALSE)+VLOOKUP($N113,데이터입력!$A:$L,10,FALSE),""),"")</f>
        <v/>
      </c>
      <c r="V113" s="731" t="s">
        <v>136</v>
      </c>
      <c r="W113" s="731" t="s">
        <v>136</v>
      </c>
      <c r="X113" s="731" t="s">
        <v>136</v>
      </c>
      <c r="Y113" s="712"/>
      <c r="Z113" s="235" t="str">
        <f>데이터입력!$AB$8</f>
        <v>00</v>
      </c>
      <c r="AA113" s="238" t="str">
        <f>데이터입력!$AC$9</f>
        <v>일반사업[일반]</v>
      </c>
      <c r="AB113" s="236" t="str">
        <f>IFERROR(IF(데이터입력!$AE$2="추경",VLOOKUP($A113,보수일람표!$A:$M,4,FALSE),""),"")</f>
        <v/>
      </c>
      <c r="AC113" s="236" t="str">
        <f>IFERROR(IF(데이터입력!$AE$2="추경",VLOOKUP($A113,보수일람표!$A:$M,5,FALSE),""),"")</f>
        <v/>
      </c>
      <c r="AD113" s="236" t="str">
        <f>IFERROR(IF(데이터입력!$AE$2="추경",VLOOKUP($A113,보수일람표!$A:$M,6,FALSE),""),"")</f>
        <v/>
      </c>
      <c r="AE113" s="236" t="str">
        <f>IFERROR(IF(데이터입력!$AE$2="추경",VLOOKUP($A113,보수일람표!$A:$M,7,FALSE),""),"")</f>
        <v>직접</v>
      </c>
      <c r="AF113" s="236"/>
      <c r="AG113" s="237">
        <f>IFERROR(IF(데이터입력!$AE$2="추경",VLOOKUP($A113,보수일람표!$A:$M,9,FALSE),""),"")</f>
        <v>0</v>
      </c>
      <c r="AH113" s="237">
        <f>IFERROR(IF(데이터입력!$AE$2="추경",VLOOKUP($A113,보수일람표!$A:$M,10,FALSE),""),"")</f>
        <v>0</v>
      </c>
      <c r="AI113" s="237">
        <f>IFERROR(IF(데이터입력!$AE$2="추경",VLOOKUP($A113,보수일람표!$A:$M,11,FALSE),""),"")</f>
        <v>0</v>
      </c>
      <c r="AJ113" s="237">
        <f>IFERROR(IF(데이터입력!$AE$2="추경",VLOOKUP($A113,보수일람표!$A:$M,12,FALSE),""),"")</f>
        <v>0</v>
      </c>
      <c r="AK113" s="237">
        <f>IFERROR(IF(데이터입력!$AE$2="추경",VLOOKUP($A113,보수일람표!$A:$M,13,FALSE),""),"")</f>
        <v>0</v>
      </c>
    </row>
    <row r="114" spans="1:37">
      <c r="A114" s="233">
        <v>112</v>
      </c>
      <c r="B114" s="719" t="str">
        <f>IFERROR(IF(F114="06",데이터입력!$AB$8,IF(F114="07",데이터입력!$AD$8,IF(F114="05",데이터입력!$AF$8,데이터입력!$AB$8))),데이터입력!$AB$8)</f>
        <v>00</v>
      </c>
      <c r="C114" s="720" t="str">
        <f>데이터입력!$AC$9</f>
        <v>일반사업[일반]</v>
      </c>
      <c r="D114" s="721" t="str">
        <f>IFERROR(IF(AND(데이터입력!$AE$2="추경",데이터입력!$AM$2=TRUE),VLOOKUP($A114,데이터입력!$A:$H,4,FALSE),""),"")</f>
        <v/>
      </c>
      <c r="E114" s="721" t="str">
        <f>IFERROR(IF(AND(데이터입력!$AE$2="추경",데이터입력!$AM$2=TRUE),VLOOKUP($A114,데이터입력!$A:$H,2,FALSE),""),"")</f>
        <v/>
      </c>
      <c r="F114" s="721" t="str">
        <f>IFERROR(IF(AND(데이터입력!$AE$2="추경",데이터입력!$AM$2=TRUE),VLOOKUP($A114,데이터입력!$A:$H,5,FALSE),""),"")</f>
        <v/>
      </c>
      <c r="G114" s="721" t="str">
        <f>IFERROR(IF(AND(데이터입력!$AE$2="추경",데이터입력!$AM$2=TRUE),VLOOKUP($A114,데이터입력!$A:$H,6,FALSE),""),"")</f>
        <v/>
      </c>
      <c r="H114" s="722" t="str">
        <f>IFERROR(IF(AND(데이터입력!$AE$2="추경",데이터입력!$AM$2=TRUE),VLOOKUP($A114,데이터입력!$A:$L,7,FALSE),""),"")</f>
        <v/>
      </c>
      <c r="I114" s="722" t="str">
        <f>IFERROR(IF(AND(데이터입력!$AE$2="추경",데이터입력!$AM$2=TRUE),VLOOKUP($A114,데이터입력!$A:$L,8,FALSE)+VLOOKUP($A114,데이터입력!$A:$L,9,FALSE)+VLOOKUP($A114,데이터입력!$A:$L,10,FALSE),""),"")</f>
        <v/>
      </c>
      <c r="J114" s="723" t="s">
        <v>136</v>
      </c>
      <c r="K114" s="723" t="s">
        <v>136</v>
      </c>
      <c r="L114" s="723" t="s">
        <v>136</v>
      </c>
      <c r="M114" s="715"/>
      <c r="N114" s="233">
        <v>312</v>
      </c>
      <c r="O114" s="727" t="str">
        <f>IFERROR(IF(S114="06",데이터입력!$AB$8,IF(S114="07",데이터입력!$AD$8,IF(S114="05",데이터입력!$AF$8,데이터입력!$AB$8))),데이터입력!$AB$8)</f>
        <v>00</v>
      </c>
      <c r="P114" s="728" t="str">
        <f>데이터입력!$AC$9</f>
        <v>일반사업[일반]</v>
      </c>
      <c r="Q114" s="729" t="str">
        <f>IFERROR(IF(데이터입력!$AE$2="추경",VLOOKUP($N114,데이터입력!$A:$H,4,FALSE),""),"")</f>
        <v/>
      </c>
      <c r="R114" s="729" t="str">
        <f>IFERROR(IF(데이터입력!$AE$2="추경",VLOOKUP($N114,데이터입력!$A:$H,2,FALSE),""),"")</f>
        <v/>
      </c>
      <c r="S114" s="729" t="str">
        <f>IFERROR(IF(데이터입력!$AE$2="추경",VLOOKUP($N114,데이터입력!$A:$H,5,FALSE),""),"")</f>
        <v/>
      </c>
      <c r="T114" s="729" t="str">
        <f>IFERROR(IF(데이터입력!$AE$2="추경",VLOOKUP($N114,데이터입력!$A:$H,6,FALSE),""),"")</f>
        <v/>
      </c>
      <c r="U114" s="730" t="str">
        <f>IFERROR(IF(데이터입력!$AE$2="추경",VLOOKUP($N114,데이터입력!$A:$L,8,FALSE)+VLOOKUP($N114,데이터입력!$A:$L,9,FALSE)+VLOOKUP($N114,데이터입력!$A:$L,10,FALSE),""),"")</f>
        <v/>
      </c>
      <c r="V114" s="731" t="s">
        <v>136</v>
      </c>
      <c r="W114" s="731" t="s">
        <v>136</v>
      </c>
      <c r="X114" s="731" t="s">
        <v>136</v>
      </c>
      <c r="Y114" s="712"/>
      <c r="Z114" s="235" t="str">
        <f>데이터입력!$AB$8</f>
        <v>00</v>
      </c>
      <c r="AA114" s="238" t="str">
        <f>데이터입력!$AC$9</f>
        <v>일반사업[일반]</v>
      </c>
      <c r="AB114" s="236" t="str">
        <f>IFERROR(IF(데이터입력!$AE$2="추경",VLOOKUP($A114,보수일람표!$A:$M,4,FALSE),""),"")</f>
        <v/>
      </c>
      <c r="AC114" s="236" t="str">
        <f>IFERROR(IF(데이터입력!$AE$2="추경",VLOOKUP($A114,보수일람표!$A:$M,5,FALSE),""),"")</f>
        <v/>
      </c>
      <c r="AD114" s="236" t="str">
        <f>IFERROR(IF(데이터입력!$AE$2="추경",VLOOKUP($A114,보수일람표!$A:$M,6,FALSE),""),"")</f>
        <v/>
      </c>
      <c r="AE114" s="236" t="str">
        <f>IFERROR(IF(데이터입력!$AE$2="추경",VLOOKUP($A114,보수일람표!$A:$M,7,FALSE),""),"")</f>
        <v>직접</v>
      </c>
      <c r="AF114" s="236"/>
      <c r="AG114" s="237">
        <f>IFERROR(IF(데이터입력!$AE$2="추경",VLOOKUP($A114,보수일람표!$A:$M,9,FALSE),""),"")</f>
        <v>0</v>
      </c>
      <c r="AH114" s="237">
        <f>IFERROR(IF(데이터입력!$AE$2="추경",VLOOKUP($A114,보수일람표!$A:$M,10,FALSE),""),"")</f>
        <v>0</v>
      </c>
      <c r="AI114" s="237">
        <f>IFERROR(IF(데이터입력!$AE$2="추경",VLOOKUP($A114,보수일람표!$A:$M,11,FALSE),""),"")</f>
        <v>0</v>
      </c>
      <c r="AJ114" s="237">
        <f>IFERROR(IF(데이터입력!$AE$2="추경",VLOOKUP($A114,보수일람표!$A:$M,12,FALSE),""),"")</f>
        <v>0</v>
      </c>
      <c r="AK114" s="237">
        <f>IFERROR(IF(데이터입력!$AE$2="추경",VLOOKUP($A114,보수일람표!$A:$M,13,FALSE),""),"")</f>
        <v>0</v>
      </c>
    </row>
    <row r="115" spans="1:37">
      <c r="A115" s="233">
        <v>113</v>
      </c>
      <c r="B115" s="719" t="str">
        <f>IFERROR(IF(F115="06",데이터입력!$AB$8,IF(F115="07",데이터입력!$AD$8,IF(F115="05",데이터입력!$AF$8,데이터입력!$AB$8))),데이터입력!$AB$8)</f>
        <v>00</v>
      </c>
      <c r="C115" s="720" t="str">
        <f>데이터입력!$AC$9</f>
        <v>일반사업[일반]</v>
      </c>
      <c r="D115" s="721" t="str">
        <f>IFERROR(IF(AND(데이터입력!$AE$2="추경",데이터입력!$AM$2=TRUE),VLOOKUP($A115,데이터입력!$A:$H,4,FALSE),""),"")</f>
        <v/>
      </c>
      <c r="E115" s="721" t="str">
        <f>IFERROR(IF(AND(데이터입력!$AE$2="추경",데이터입력!$AM$2=TRUE),VLOOKUP($A115,데이터입력!$A:$H,2,FALSE),""),"")</f>
        <v/>
      </c>
      <c r="F115" s="721" t="str">
        <f>IFERROR(IF(AND(데이터입력!$AE$2="추경",데이터입력!$AM$2=TRUE),VLOOKUP($A115,데이터입력!$A:$H,5,FALSE),""),"")</f>
        <v/>
      </c>
      <c r="G115" s="721" t="str">
        <f>IFERROR(IF(AND(데이터입력!$AE$2="추경",데이터입력!$AM$2=TRUE),VLOOKUP($A115,데이터입력!$A:$H,6,FALSE),""),"")</f>
        <v/>
      </c>
      <c r="H115" s="722" t="str">
        <f>IFERROR(IF(AND(데이터입력!$AE$2="추경",데이터입력!$AM$2=TRUE),VLOOKUP($A115,데이터입력!$A:$L,7,FALSE),""),"")</f>
        <v/>
      </c>
      <c r="I115" s="722" t="str">
        <f>IFERROR(IF(AND(데이터입력!$AE$2="추경",데이터입력!$AM$2=TRUE),VLOOKUP($A115,데이터입력!$A:$L,8,FALSE)+VLOOKUP($A115,데이터입력!$A:$L,9,FALSE)+VLOOKUP($A115,데이터입력!$A:$L,10,FALSE),""),"")</f>
        <v/>
      </c>
      <c r="J115" s="723" t="s">
        <v>136</v>
      </c>
      <c r="K115" s="723" t="s">
        <v>136</v>
      </c>
      <c r="L115" s="723" t="s">
        <v>136</v>
      </c>
      <c r="M115" s="715"/>
      <c r="N115" s="233">
        <v>313</v>
      </c>
      <c r="O115" s="727" t="str">
        <f>IFERROR(IF(S115="06",데이터입력!$AB$8,IF(S115="07",데이터입력!$AD$8,IF(S115="05",데이터입력!$AF$8,데이터입력!$AB$8))),데이터입력!$AB$8)</f>
        <v>00</v>
      </c>
      <c r="P115" s="728" t="str">
        <f>데이터입력!$AC$9</f>
        <v>일반사업[일반]</v>
      </c>
      <c r="Q115" s="729" t="str">
        <f>IFERROR(IF(데이터입력!$AE$2="추경",VLOOKUP($N115,데이터입력!$A:$H,4,FALSE),""),"")</f>
        <v/>
      </c>
      <c r="R115" s="729" t="str">
        <f>IFERROR(IF(데이터입력!$AE$2="추경",VLOOKUP($N115,데이터입력!$A:$H,2,FALSE),""),"")</f>
        <v/>
      </c>
      <c r="S115" s="729" t="str">
        <f>IFERROR(IF(데이터입력!$AE$2="추경",VLOOKUP($N115,데이터입력!$A:$H,5,FALSE),""),"")</f>
        <v/>
      </c>
      <c r="T115" s="729" t="str">
        <f>IFERROR(IF(데이터입력!$AE$2="추경",VLOOKUP($N115,데이터입력!$A:$H,6,FALSE),""),"")</f>
        <v/>
      </c>
      <c r="U115" s="730" t="str">
        <f>IFERROR(IF(데이터입력!$AE$2="추경",VLOOKUP($N115,데이터입력!$A:$L,8,FALSE)+VLOOKUP($N115,데이터입력!$A:$L,9,FALSE)+VLOOKUP($N115,데이터입력!$A:$L,10,FALSE),""),"")</f>
        <v/>
      </c>
      <c r="V115" s="731" t="s">
        <v>136</v>
      </c>
      <c r="W115" s="731" t="s">
        <v>136</v>
      </c>
      <c r="X115" s="731" t="s">
        <v>136</v>
      </c>
      <c r="Y115" s="712"/>
      <c r="Z115" s="235" t="str">
        <f>데이터입력!$AB$8</f>
        <v>00</v>
      </c>
      <c r="AA115" s="238" t="str">
        <f>데이터입력!$AC$9</f>
        <v>일반사업[일반]</v>
      </c>
      <c r="AB115" s="236" t="str">
        <f>IFERROR(IF(데이터입력!$AE$2="추경",VLOOKUP($A115,보수일람표!$A:$M,4,FALSE),""),"")</f>
        <v/>
      </c>
      <c r="AC115" s="236" t="str">
        <f>IFERROR(IF(데이터입력!$AE$2="추경",VLOOKUP($A115,보수일람표!$A:$M,5,FALSE),""),"")</f>
        <v/>
      </c>
      <c r="AD115" s="236" t="str">
        <f>IFERROR(IF(데이터입력!$AE$2="추경",VLOOKUP($A115,보수일람표!$A:$M,6,FALSE),""),"")</f>
        <v/>
      </c>
      <c r="AE115" s="236" t="str">
        <f>IFERROR(IF(데이터입력!$AE$2="추경",VLOOKUP($A115,보수일람표!$A:$M,7,FALSE),""),"")</f>
        <v>직접</v>
      </c>
      <c r="AF115" s="236"/>
      <c r="AG115" s="237">
        <f>IFERROR(IF(데이터입력!$AE$2="추경",VLOOKUP($A115,보수일람표!$A:$M,9,FALSE),""),"")</f>
        <v>0</v>
      </c>
      <c r="AH115" s="237">
        <f>IFERROR(IF(데이터입력!$AE$2="추경",VLOOKUP($A115,보수일람표!$A:$M,10,FALSE),""),"")</f>
        <v>0</v>
      </c>
      <c r="AI115" s="237">
        <f>IFERROR(IF(데이터입력!$AE$2="추경",VLOOKUP($A115,보수일람표!$A:$M,11,FALSE),""),"")</f>
        <v>0</v>
      </c>
      <c r="AJ115" s="237">
        <f>IFERROR(IF(데이터입력!$AE$2="추경",VLOOKUP($A115,보수일람표!$A:$M,12,FALSE),""),"")</f>
        <v>0</v>
      </c>
      <c r="AK115" s="237">
        <f>IFERROR(IF(데이터입력!$AE$2="추경",VLOOKUP($A115,보수일람표!$A:$M,13,FALSE),""),"")</f>
        <v>0</v>
      </c>
    </row>
    <row r="116" spans="1:37">
      <c r="A116" s="233">
        <v>114</v>
      </c>
      <c r="B116" s="719" t="str">
        <f>IFERROR(IF(F116="06",데이터입력!$AB$8,IF(F116="07",데이터입력!$AD$8,IF(F116="05",데이터입력!$AF$8,데이터입력!$AB$8))),데이터입력!$AB$8)</f>
        <v>00</v>
      </c>
      <c r="C116" s="720" t="str">
        <f>데이터입력!$AC$9</f>
        <v>일반사업[일반]</v>
      </c>
      <c r="D116" s="721" t="str">
        <f>IFERROR(IF(AND(데이터입력!$AE$2="추경",데이터입력!$AM$2=TRUE),VLOOKUP($A116,데이터입력!$A:$H,4,FALSE),""),"")</f>
        <v/>
      </c>
      <c r="E116" s="721" t="str">
        <f>IFERROR(IF(AND(데이터입력!$AE$2="추경",데이터입력!$AM$2=TRUE),VLOOKUP($A116,데이터입력!$A:$H,2,FALSE),""),"")</f>
        <v/>
      </c>
      <c r="F116" s="721" t="str">
        <f>IFERROR(IF(AND(데이터입력!$AE$2="추경",데이터입력!$AM$2=TRUE),VLOOKUP($A116,데이터입력!$A:$H,5,FALSE),""),"")</f>
        <v/>
      </c>
      <c r="G116" s="721" t="str">
        <f>IFERROR(IF(AND(데이터입력!$AE$2="추경",데이터입력!$AM$2=TRUE),VLOOKUP($A116,데이터입력!$A:$H,6,FALSE),""),"")</f>
        <v/>
      </c>
      <c r="H116" s="722" t="str">
        <f>IFERROR(IF(AND(데이터입력!$AE$2="추경",데이터입력!$AM$2=TRUE),VLOOKUP($A116,데이터입력!$A:$L,7,FALSE),""),"")</f>
        <v/>
      </c>
      <c r="I116" s="722" t="str">
        <f>IFERROR(IF(AND(데이터입력!$AE$2="추경",데이터입력!$AM$2=TRUE),VLOOKUP($A116,데이터입력!$A:$L,8,FALSE)+VLOOKUP($A116,데이터입력!$A:$L,9,FALSE)+VLOOKUP($A116,데이터입력!$A:$L,10,FALSE),""),"")</f>
        <v/>
      </c>
      <c r="J116" s="723" t="s">
        <v>136</v>
      </c>
      <c r="K116" s="723" t="s">
        <v>136</v>
      </c>
      <c r="L116" s="723" t="s">
        <v>136</v>
      </c>
      <c r="M116" s="715"/>
      <c r="N116" s="233">
        <v>314</v>
      </c>
      <c r="O116" s="727" t="str">
        <f>IFERROR(IF(S116="06",데이터입력!$AB$8,IF(S116="07",데이터입력!$AD$8,IF(S116="05",데이터입력!$AF$8,데이터입력!$AB$8))),데이터입력!$AB$8)</f>
        <v>00</v>
      </c>
      <c r="P116" s="728" t="str">
        <f>데이터입력!$AC$9</f>
        <v>일반사업[일반]</v>
      </c>
      <c r="Q116" s="729" t="str">
        <f>IFERROR(IF(데이터입력!$AE$2="추경",VLOOKUP($N116,데이터입력!$A:$H,4,FALSE),""),"")</f>
        <v/>
      </c>
      <c r="R116" s="729" t="str">
        <f>IFERROR(IF(데이터입력!$AE$2="추경",VLOOKUP($N116,데이터입력!$A:$H,2,FALSE),""),"")</f>
        <v/>
      </c>
      <c r="S116" s="729" t="str">
        <f>IFERROR(IF(데이터입력!$AE$2="추경",VLOOKUP($N116,데이터입력!$A:$H,5,FALSE),""),"")</f>
        <v/>
      </c>
      <c r="T116" s="729" t="str">
        <f>IFERROR(IF(데이터입력!$AE$2="추경",VLOOKUP($N116,데이터입력!$A:$H,6,FALSE),""),"")</f>
        <v/>
      </c>
      <c r="U116" s="730" t="str">
        <f>IFERROR(IF(데이터입력!$AE$2="추경",VLOOKUP($N116,데이터입력!$A:$L,8,FALSE)+VLOOKUP($N116,데이터입력!$A:$L,9,FALSE)+VLOOKUP($N116,데이터입력!$A:$L,10,FALSE),""),"")</f>
        <v/>
      </c>
      <c r="V116" s="731" t="s">
        <v>136</v>
      </c>
      <c r="W116" s="731" t="s">
        <v>136</v>
      </c>
      <c r="X116" s="731" t="s">
        <v>136</v>
      </c>
      <c r="Y116" s="712"/>
      <c r="Z116" s="235" t="str">
        <f>데이터입력!$AB$8</f>
        <v>00</v>
      </c>
      <c r="AA116" s="238" t="str">
        <f>데이터입력!$AC$9</f>
        <v>일반사업[일반]</v>
      </c>
      <c r="AB116" s="236" t="str">
        <f>IFERROR(IF(데이터입력!$AE$2="추경",VLOOKUP($A116,보수일람표!$A:$M,4,FALSE),""),"")</f>
        <v/>
      </c>
      <c r="AC116" s="236" t="str">
        <f>IFERROR(IF(데이터입력!$AE$2="추경",VLOOKUP($A116,보수일람표!$A:$M,5,FALSE),""),"")</f>
        <v/>
      </c>
      <c r="AD116" s="236" t="str">
        <f>IFERROR(IF(데이터입력!$AE$2="추경",VLOOKUP($A116,보수일람표!$A:$M,6,FALSE),""),"")</f>
        <v/>
      </c>
      <c r="AE116" s="236" t="str">
        <f>IFERROR(IF(데이터입력!$AE$2="추경",VLOOKUP($A116,보수일람표!$A:$M,7,FALSE),""),"")</f>
        <v>직접</v>
      </c>
      <c r="AF116" s="236"/>
      <c r="AG116" s="237">
        <f>IFERROR(IF(데이터입력!$AE$2="추경",VLOOKUP($A116,보수일람표!$A:$M,9,FALSE),""),"")</f>
        <v>0</v>
      </c>
      <c r="AH116" s="237">
        <f>IFERROR(IF(데이터입력!$AE$2="추경",VLOOKUP($A116,보수일람표!$A:$M,10,FALSE),""),"")</f>
        <v>0</v>
      </c>
      <c r="AI116" s="237">
        <f>IFERROR(IF(데이터입력!$AE$2="추경",VLOOKUP($A116,보수일람표!$A:$M,11,FALSE),""),"")</f>
        <v>0</v>
      </c>
      <c r="AJ116" s="237">
        <f>IFERROR(IF(데이터입력!$AE$2="추경",VLOOKUP($A116,보수일람표!$A:$M,12,FALSE),""),"")</f>
        <v>0</v>
      </c>
      <c r="AK116" s="237">
        <f>IFERROR(IF(데이터입력!$AE$2="추경",VLOOKUP($A116,보수일람표!$A:$M,13,FALSE),""),"")</f>
        <v>0</v>
      </c>
    </row>
    <row r="117" spans="1:37">
      <c r="A117" s="233">
        <v>115</v>
      </c>
      <c r="B117" s="719" t="str">
        <f>IFERROR(IF(F117="06",데이터입력!$AB$8,IF(F117="07",데이터입력!$AD$8,IF(F117="05",데이터입력!$AF$8,데이터입력!$AB$8))),데이터입력!$AB$8)</f>
        <v>00</v>
      </c>
      <c r="C117" s="720" t="str">
        <f>데이터입력!$AC$9</f>
        <v>일반사업[일반]</v>
      </c>
      <c r="D117" s="721" t="str">
        <f>IFERROR(IF(AND(데이터입력!$AE$2="추경",데이터입력!$AM$2=TRUE),VLOOKUP($A117,데이터입력!$A:$H,4,FALSE),""),"")</f>
        <v/>
      </c>
      <c r="E117" s="721" t="str">
        <f>IFERROR(IF(AND(데이터입력!$AE$2="추경",데이터입력!$AM$2=TRUE),VLOOKUP($A117,데이터입력!$A:$H,2,FALSE),""),"")</f>
        <v/>
      </c>
      <c r="F117" s="721" t="str">
        <f>IFERROR(IF(AND(데이터입력!$AE$2="추경",데이터입력!$AM$2=TRUE),VLOOKUP($A117,데이터입력!$A:$H,5,FALSE),""),"")</f>
        <v/>
      </c>
      <c r="G117" s="721" t="str">
        <f>IFERROR(IF(AND(데이터입력!$AE$2="추경",데이터입력!$AM$2=TRUE),VLOOKUP($A117,데이터입력!$A:$H,6,FALSE),""),"")</f>
        <v/>
      </c>
      <c r="H117" s="722" t="str">
        <f>IFERROR(IF(AND(데이터입력!$AE$2="추경",데이터입력!$AM$2=TRUE),VLOOKUP($A117,데이터입력!$A:$L,7,FALSE),""),"")</f>
        <v/>
      </c>
      <c r="I117" s="722" t="str">
        <f>IFERROR(IF(AND(데이터입력!$AE$2="추경",데이터입력!$AM$2=TRUE),VLOOKUP($A117,데이터입력!$A:$L,8,FALSE)+VLOOKUP($A117,데이터입력!$A:$L,9,FALSE)+VLOOKUP($A117,데이터입력!$A:$L,10,FALSE),""),"")</f>
        <v/>
      </c>
      <c r="J117" s="723" t="s">
        <v>136</v>
      </c>
      <c r="K117" s="723" t="s">
        <v>136</v>
      </c>
      <c r="L117" s="723" t="s">
        <v>136</v>
      </c>
      <c r="M117" s="715"/>
      <c r="N117" s="233">
        <v>315</v>
      </c>
      <c r="O117" s="727" t="str">
        <f>IFERROR(IF(S117="06",데이터입력!$AB$8,IF(S117="07",데이터입력!$AD$8,IF(S117="05",데이터입력!$AF$8,데이터입력!$AB$8))),데이터입력!$AB$8)</f>
        <v>00</v>
      </c>
      <c r="P117" s="728" t="str">
        <f>데이터입력!$AC$9</f>
        <v>일반사업[일반]</v>
      </c>
      <c r="Q117" s="729" t="str">
        <f>IFERROR(IF(데이터입력!$AE$2="추경",VLOOKUP($N117,데이터입력!$A:$H,4,FALSE),""),"")</f>
        <v/>
      </c>
      <c r="R117" s="729" t="str">
        <f>IFERROR(IF(데이터입력!$AE$2="추경",VLOOKUP($N117,데이터입력!$A:$H,2,FALSE),""),"")</f>
        <v/>
      </c>
      <c r="S117" s="729" t="str">
        <f>IFERROR(IF(데이터입력!$AE$2="추경",VLOOKUP($N117,데이터입력!$A:$H,5,FALSE),""),"")</f>
        <v/>
      </c>
      <c r="T117" s="729" t="str">
        <f>IFERROR(IF(데이터입력!$AE$2="추경",VLOOKUP($N117,데이터입력!$A:$H,6,FALSE),""),"")</f>
        <v/>
      </c>
      <c r="U117" s="730" t="str">
        <f>IFERROR(IF(데이터입력!$AE$2="추경",VLOOKUP($N117,데이터입력!$A:$L,8,FALSE)+VLOOKUP($N117,데이터입력!$A:$L,9,FALSE)+VLOOKUP($N117,데이터입력!$A:$L,10,FALSE),""),"")</f>
        <v/>
      </c>
      <c r="V117" s="731" t="s">
        <v>136</v>
      </c>
      <c r="W117" s="731" t="s">
        <v>136</v>
      </c>
      <c r="X117" s="731" t="s">
        <v>136</v>
      </c>
      <c r="Y117" s="712"/>
      <c r="Z117" s="235" t="str">
        <f>데이터입력!$AB$8</f>
        <v>00</v>
      </c>
      <c r="AA117" s="238" t="str">
        <f>데이터입력!$AC$9</f>
        <v>일반사업[일반]</v>
      </c>
      <c r="AB117" s="236" t="str">
        <f>IFERROR(IF(데이터입력!$AE$2="추경",VLOOKUP($A117,보수일람표!$A:$M,4,FALSE),""),"")</f>
        <v/>
      </c>
      <c r="AC117" s="236" t="str">
        <f>IFERROR(IF(데이터입력!$AE$2="추경",VLOOKUP($A117,보수일람표!$A:$M,5,FALSE),""),"")</f>
        <v/>
      </c>
      <c r="AD117" s="236" t="str">
        <f>IFERROR(IF(데이터입력!$AE$2="추경",VLOOKUP($A117,보수일람표!$A:$M,6,FALSE),""),"")</f>
        <v/>
      </c>
      <c r="AE117" s="236" t="str">
        <f>IFERROR(IF(데이터입력!$AE$2="추경",VLOOKUP($A117,보수일람표!$A:$M,7,FALSE),""),"")</f>
        <v>직접</v>
      </c>
      <c r="AF117" s="236"/>
      <c r="AG117" s="237">
        <f>IFERROR(IF(데이터입력!$AE$2="추경",VLOOKUP($A117,보수일람표!$A:$M,9,FALSE),""),"")</f>
        <v>0</v>
      </c>
      <c r="AH117" s="237">
        <f>IFERROR(IF(데이터입력!$AE$2="추경",VLOOKUP($A117,보수일람표!$A:$M,10,FALSE),""),"")</f>
        <v>0</v>
      </c>
      <c r="AI117" s="237">
        <f>IFERROR(IF(데이터입력!$AE$2="추경",VLOOKUP($A117,보수일람표!$A:$M,11,FALSE),""),"")</f>
        <v>0</v>
      </c>
      <c r="AJ117" s="237">
        <f>IFERROR(IF(데이터입력!$AE$2="추경",VLOOKUP($A117,보수일람표!$A:$M,12,FALSE),""),"")</f>
        <v>0</v>
      </c>
      <c r="AK117" s="237">
        <f>IFERROR(IF(데이터입력!$AE$2="추경",VLOOKUP($A117,보수일람표!$A:$M,13,FALSE),""),"")</f>
        <v>0</v>
      </c>
    </row>
    <row r="118" spans="1:37">
      <c r="A118" s="233">
        <v>116</v>
      </c>
      <c r="B118" s="719" t="str">
        <f>IFERROR(IF(F118="06",데이터입력!$AB$8,IF(F118="07",데이터입력!$AD$8,IF(F118="05",데이터입력!$AF$8,데이터입력!$AB$8))),데이터입력!$AB$8)</f>
        <v>00</v>
      </c>
      <c r="C118" s="720" t="str">
        <f>데이터입력!$AC$9</f>
        <v>일반사업[일반]</v>
      </c>
      <c r="D118" s="721" t="str">
        <f>IFERROR(IF(AND(데이터입력!$AE$2="추경",데이터입력!$AM$2=TRUE),VLOOKUP($A118,데이터입력!$A:$H,4,FALSE),""),"")</f>
        <v/>
      </c>
      <c r="E118" s="721" t="str">
        <f>IFERROR(IF(AND(데이터입력!$AE$2="추경",데이터입력!$AM$2=TRUE),VLOOKUP($A118,데이터입력!$A:$H,2,FALSE),""),"")</f>
        <v/>
      </c>
      <c r="F118" s="721" t="str">
        <f>IFERROR(IF(AND(데이터입력!$AE$2="추경",데이터입력!$AM$2=TRUE),VLOOKUP($A118,데이터입력!$A:$H,5,FALSE),""),"")</f>
        <v/>
      </c>
      <c r="G118" s="721" t="str">
        <f>IFERROR(IF(AND(데이터입력!$AE$2="추경",데이터입력!$AM$2=TRUE),VLOOKUP($A118,데이터입력!$A:$H,6,FALSE),""),"")</f>
        <v/>
      </c>
      <c r="H118" s="722" t="str">
        <f>IFERROR(IF(AND(데이터입력!$AE$2="추경",데이터입력!$AM$2=TRUE),VLOOKUP($A118,데이터입력!$A:$L,7,FALSE),""),"")</f>
        <v/>
      </c>
      <c r="I118" s="722" t="str">
        <f>IFERROR(IF(AND(데이터입력!$AE$2="추경",데이터입력!$AM$2=TRUE),VLOOKUP($A118,데이터입력!$A:$L,8,FALSE)+VLOOKUP($A118,데이터입력!$A:$L,9,FALSE)+VLOOKUP($A118,데이터입력!$A:$L,10,FALSE),""),"")</f>
        <v/>
      </c>
      <c r="J118" s="723" t="s">
        <v>136</v>
      </c>
      <c r="K118" s="723" t="s">
        <v>136</v>
      </c>
      <c r="L118" s="723" t="s">
        <v>136</v>
      </c>
      <c r="M118" s="715"/>
      <c r="N118" s="233">
        <v>316</v>
      </c>
      <c r="O118" s="727" t="str">
        <f>IFERROR(IF(S118="06",데이터입력!$AB$8,IF(S118="07",데이터입력!$AD$8,IF(S118="05",데이터입력!$AF$8,데이터입력!$AB$8))),데이터입력!$AB$8)</f>
        <v>00</v>
      </c>
      <c r="P118" s="728" t="str">
        <f>데이터입력!$AC$9</f>
        <v>일반사업[일반]</v>
      </c>
      <c r="Q118" s="729" t="str">
        <f>IFERROR(IF(데이터입력!$AE$2="추경",VLOOKUP($N118,데이터입력!$A:$H,4,FALSE),""),"")</f>
        <v/>
      </c>
      <c r="R118" s="729" t="str">
        <f>IFERROR(IF(데이터입력!$AE$2="추경",VLOOKUP($N118,데이터입력!$A:$H,2,FALSE),""),"")</f>
        <v/>
      </c>
      <c r="S118" s="729" t="str">
        <f>IFERROR(IF(데이터입력!$AE$2="추경",VLOOKUP($N118,데이터입력!$A:$H,5,FALSE),""),"")</f>
        <v/>
      </c>
      <c r="T118" s="729" t="str">
        <f>IFERROR(IF(데이터입력!$AE$2="추경",VLOOKUP($N118,데이터입력!$A:$H,6,FALSE),""),"")</f>
        <v/>
      </c>
      <c r="U118" s="730" t="str">
        <f>IFERROR(IF(데이터입력!$AE$2="추경",VLOOKUP($N118,데이터입력!$A:$L,8,FALSE)+VLOOKUP($N118,데이터입력!$A:$L,9,FALSE)+VLOOKUP($N118,데이터입력!$A:$L,10,FALSE),""),"")</f>
        <v/>
      </c>
      <c r="V118" s="731" t="s">
        <v>136</v>
      </c>
      <c r="W118" s="731" t="s">
        <v>136</v>
      </c>
      <c r="X118" s="731" t="s">
        <v>136</v>
      </c>
      <c r="Y118" s="712"/>
      <c r="Z118" s="235" t="str">
        <f>데이터입력!$AB$8</f>
        <v>00</v>
      </c>
      <c r="AA118" s="238" t="str">
        <f>데이터입력!$AC$9</f>
        <v>일반사업[일반]</v>
      </c>
      <c r="AB118" s="236" t="str">
        <f>IFERROR(IF(데이터입력!$AE$2="추경",VLOOKUP($A118,보수일람표!$A:$M,4,FALSE),""),"")</f>
        <v/>
      </c>
      <c r="AC118" s="236" t="str">
        <f>IFERROR(IF(데이터입력!$AE$2="추경",VLOOKUP($A118,보수일람표!$A:$M,5,FALSE),""),"")</f>
        <v/>
      </c>
      <c r="AD118" s="236" t="str">
        <f>IFERROR(IF(데이터입력!$AE$2="추경",VLOOKUP($A118,보수일람표!$A:$M,6,FALSE),""),"")</f>
        <v/>
      </c>
      <c r="AE118" s="236" t="str">
        <f>IFERROR(IF(데이터입력!$AE$2="추경",VLOOKUP($A118,보수일람표!$A:$M,7,FALSE),""),"")</f>
        <v>직접</v>
      </c>
      <c r="AF118" s="236"/>
      <c r="AG118" s="237">
        <f>IFERROR(IF(데이터입력!$AE$2="추경",VLOOKUP($A118,보수일람표!$A:$M,9,FALSE),""),"")</f>
        <v>0</v>
      </c>
      <c r="AH118" s="237">
        <f>IFERROR(IF(데이터입력!$AE$2="추경",VLOOKUP($A118,보수일람표!$A:$M,10,FALSE),""),"")</f>
        <v>0</v>
      </c>
      <c r="AI118" s="237">
        <f>IFERROR(IF(데이터입력!$AE$2="추경",VLOOKUP($A118,보수일람표!$A:$M,11,FALSE),""),"")</f>
        <v>0</v>
      </c>
      <c r="AJ118" s="237">
        <f>IFERROR(IF(데이터입력!$AE$2="추경",VLOOKUP($A118,보수일람표!$A:$M,12,FALSE),""),"")</f>
        <v>0</v>
      </c>
      <c r="AK118" s="237">
        <f>IFERROR(IF(데이터입력!$AE$2="추경",VLOOKUP($A118,보수일람표!$A:$M,13,FALSE),""),"")</f>
        <v>0</v>
      </c>
    </row>
    <row r="119" spans="1:37">
      <c r="A119" s="233">
        <v>117</v>
      </c>
      <c r="B119" s="719" t="str">
        <f>IFERROR(IF(F119="06",데이터입력!$AB$8,IF(F119="07",데이터입력!$AD$8,IF(F119="05",데이터입력!$AF$8,데이터입력!$AB$8))),데이터입력!$AB$8)</f>
        <v>00</v>
      </c>
      <c r="C119" s="720" t="str">
        <f>데이터입력!$AC$9</f>
        <v>일반사업[일반]</v>
      </c>
      <c r="D119" s="721" t="str">
        <f>IFERROR(IF(AND(데이터입력!$AE$2="추경",데이터입력!$AM$2=TRUE),VLOOKUP($A119,데이터입력!$A:$H,4,FALSE),""),"")</f>
        <v/>
      </c>
      <c r="E119" s="721" t="str">
        <f>IFERROR(IF(AND(데이터입력!$AE$2="추경",데이터입력!$AM$2=TRUE),VLOOKUP($A119,데이터입력!$A:$H,2,FALSE),""),"")</f>
        <v/>
      </c>
      <c r="F119" s="721" t="str">
        <f>IFERROR(IF(AND(데이터입력!$AE$2="추경",데이터입력!$AM$2=TRUE),VLOOKUP($A119,데이터입력!$A:$H,5,FALSE),""),"")</f>
        <v/>
      </c>
      <c r="G119" s="721" t="str">
        <f>IFERROR(IF(AND(데이터입력!$AE$2="추경",데이터입력!$AM$2=TRUE),VLOOKUP($A119,데이터입력!$A:$H,6,FALSE),""),"")</f>
        <v/>
      </c>
      <c r="H119" s="722" t="str">
        <f>IFERROR(IF(AND(데이터입력!$AE$2="추경",데이터입력!$AM$2=TRUE),VLOOKUP($A119,데이터입력!$A:$L,7,FALSE),""),"")</f>
        <v/>
      </c>
      <c r="I119" s="722" t="str">
        <f>IFERROR(IF(AND(데이터입력!$AE$2="추경",데이터입력!$AM$2=TRUE),VLOOKUP($A119,데이터입력!$A:$L,8,FALSE)+VLOOKUP($A119,데이터입력!$A:$L,9,FALSE)+VLOOKUP($A119,데이터입력!$A:$L,10,FALSE),""),"")</f>
        <v/>
      </c>
      <c r="J119" s="723" t="s">
        <v>136</v>
      </c>
      <c r="K119" s="723" t="s">
        <v>136</v>
      </c>
      <c r="L119" s="723" t="s">
        <v>136</v>
      </c>
      <c r="M119" s="715"/>
      <c r="N119" s="233">
        <v>317</v>
      </c>
      <c r="O119" s="727" t="str">
        <f>IFERROR(IF(S119="06",데이터입력!$AB$8,IF(S119="07",데이터입력!$AD$8,IF(S119="05",데이터입력!$AF$8,데이터입력!$AB$8))),데이터입력!$AB$8)</f>
        <v>00</v>
      </c>
      <c r="P119" s="728" t="str">
        <f>데이터입력!$AC$9</f>
        <v>일반사업[일반]</v>
      </c>
      <c r="Q119" s="729" t="str">
        <f>IFERROR(IF(데이터입력!$AE$2="추경",VLOOKUP($N119,데이터입력!$A:$H,4,FALSE),""),"")</f>
        <v/>
      </c>
      <c r="R119" s="729" t="str">
        <f>IFERROR(IF(데이터입력!$AE$2="추경",VLOOKUP($N119,데이터입력!$A:$H,2,FALSE),""),"")</f>
        <v/>
      </c>
      <c r="S119" s="729" t="str">
        <f>IFERROR(IF(데이터입력!$AE$2="추경",VLOOKUP($N119,데이터입력!$A:$H,5,FALSE),""),"")</f>
        <v/>
      </c>
      <c r="T119" s="729" t="str">
        <f>IFERROR(IF(데이터입력!$AE$2="추경",VLOOKUP($N119,데이터입력!$A:$H,6,FALSE),""),"")</f>
        <v/>
      </c>
      <c r="U119" s="730" t="str">
        <f>IFERROR(IF(데이터입력!$AE$2="추경",VLOOKUP($N119,데이터입력!$A:$L,8,FALSE)+VLOOKUP($N119,데이터입력!$A:$L,9,FALSE)+VLOOKUP($N119,데이터입력!$A:$L,10,FALSE),""),"")</f>
        <v/>
      </c>
      <c r="V119" s="731" t="s">
        <v>136</v>
      </c>
      <c r="W119" s="731" t="s">
        <v>136</v>
      </c>
      <c r="X119" s="731" t="s">
        <v>136</v>
      </c>
      <c r="Y119" s="712"/>
      <c r="Z119" s="235" t="str">
        <f>데이터입력!$AB$8</f>
        <v>00</v>
      </c>
      <c r="AA119" s="238" t="str">
        <f>데이터입력!$AC$9</f>
        <v>일반사업[일반]</v>
      </c>
      <c r="AB119" s="236" t="str">
        <f>IFERROR(IF(데이터입력!$AE$2="추경",VLOOKUP($A119,보수일람표!$A:$M,4,FALSE),""),"")</f>
        <v/>
      </c>
      <c r="AC119" s="236" t="str">
        <f>IFERROR(IF(데이터입력!$AE$2="추경",VLOOKUP($A119,보수일람표!$A:$M,5,FALSE),""),"")</f>
        <v/>
      </c>
      <c r="AD119" s="236" t="str">
        <f>IFERROR(IF(데이터입력!$AE$2="추경",VLOOKUP($A119,보수일람표!$A:$M,6,FALSE),""),"")</f>
        <v/>
      </c>
      <c r="AE119" s="236" t="str">
        <f>IFERROR(IF(데이터입력!$AE$2="추경",VLOOKUP($A119,보수일람표!$A:$M,7,FALSE),""),"")</f>
        <v>직접</v>
      </c>
      <c r="AF119" s="236"/>
      <c r="AG119" s="237">
        <f>IFERROR(IF(데이터입력!$AE$2="추경",VLOOKUP($A119,보수일람표!$A:$M,9,FALSE),""),"")</f>
        <v>0</v>
      </c>
      <c r="AH119" s="237">
        <f>IFERROR(IF(데이터입력!$AE$2="추경",VLOOKUP($A119,보수일람표!$A:$M,10,FALSE),""),"")</f>
        <v>0</v>
      </c>
      <c r="AI119" s="237">
        <f>IFERROR(IF(데이터입력!$AE$2="추경",VLOOKUP($A119,보수일람표!$A:$M,11,FALSE),""),"")</f>
        <v>0</v>
      </c>
      <c r="AJ119" s="237">
        <f>IFERROR(IF(데이터입력!$AE$2="추경",VLOOKUP($A119,보수일람표!$A:$M,12,FALSE),""),"")</f>
        <v>0</v>
      </c>
      <c r="AK119" s="237">
        <f>IFERROR(IF(데이터입력!$AE$2="추경",VLOOKUP($A119,보수일람표!$A:$M,13,FALSE),""),"")</f>
        <v>0</v>
      </c>
    </row>
    <row r="120" spans="1:37">
      <c r="A120" s="233">
        <v>118</v>
      </c>
      <c r="B120" s="719" t="str">
        <f>IFERROR(IF(F120="06",데이터입력!$AB$8,IF(F120="07",데이터입력!$AD$8,IF(F120="05",데이터입력!$AF$8,데이터입력!$AB$8))),데이터입력!$AB$8)</f>
        <v>00</v>
      </c>
      <c r="C120" s="720" t="str">
        <f>데이터입력!$AC$9</f>
        <v>일반사업[일반]</v>
      </c>
      <c r="D120" s="721" t="str">
        <f>IFERROR(IF(AND(데이터입력!$AE$2="추경",데이터입력!$AM$2=TRUE),VLOOKUP($A120,데이터입력!$A:$H,4,FALSE),""),"")</f>
        <v/>
      </c>
      <c r="E120" s="721" t="str">
        <f>IFERROR(IF(AND(데이터입력!$AE$2="추경",데이터입력!$AM$2=TRUE),VLOOKUP($A120,데이터입력!$A:$H,2,FALSE),""),"")</f>
        <v/>
      </c>
      <c r="F120" s="721" t="str">
        <f>IFERROR(IF(AND(데이터입력!$AE$2="추경",데이터입력!$AM$2=TRUE),VLOOKUP($A120,데이터입력!$A:$H,5,FALSE),""),"")</f>
        <v/>
      </c>
      <c r="G120" s="721" t="str">
        <f>IFERROR(IF(AND(데이터입력!$AE$2="추경",데이터입력!$AM$2=TRUE),VLOOKUP($A120,데이터입력!$A:$H,6,FALSE),""),"")</f>
        <v/>
      </c>
      <c r="H120" s="722" t="str">
        <f>IFERROR(IF(AND(데이터입력!$AE$2="추경",데이터입력!$AM$2=TRUE),VLOOKUP($A120,데이터입력!$A:$L,7,FALSE),""),"")</f>
        <v/>
      </c>
      <c r="I120" s="722" t="str">
        <f>IFERROR(IF(AND(데이터입력!$AE$2="추경",데이터입력!$AM$2=TRUE),VLOOKUP($A120,데이터입력!$A:$L,8,FALSE)+VLOOKUP($A120,데이터입력!$A:$L,9,FALSE)+VLOOKUP($A120,데이터입력!$A:$L,10,FALSE),""),"")</f>
        <v/>
      </c>
      <c r="J120" s="723" t="s">
        <v>136</v>
      </c>
      <c r="K120" s="723" t="s">
        <v>136</v>
      </c>
      <c r="L120" s="723" t="s">
        <v>136</v>
      </c>
      <c r="M120" s="715"/>
      <c r="N120" s="233">
        <v>318</v>
      </c>
      <c r="O120" s="727" t="str">
        <f>IFERROR(IF(S120="06",데이터입력!$AB$8,IF(S120="07",데이터입력!$AD$8,IF(S120="05",데이터입력!$AF$8,데이터입력!$AB$8))),데이터입력!$AB$8)</f>
        <v>00</v>
      </c>
      <c r="P120" s="728" t="str">
        <f>데이터입력!$AC$9</f>
        <v>일반사업[일반]</v>
      </c>
      <c r="Q120" s="729" t="str">
        <f>IFERROR(IF(데이터입력!$AE$2="추경",VLOOKUP($N120,데이터입력!$A:$H,4,FALSE),""),"")</f>
        <v/>
      </c>
      <c r="R120" s="729" t="str">
        <f>IFERROR(IF(데이터입력!$AE$2="추경",VLOOKUP($N120,데이터입력!$A:$H,2,FALSE),""),"")</f>
        <v/>
      </c>
      <c r="S120" s="729" t="str">
        <f>IFERROR(IF(데이터입력!$AE$2="추경",VLOOKUP($N120,데이터입력!$A:$H,5,FALSE),""),"")</f>
        <v/>
      </c>
      <c r="T120" s="729" t="str">
        <f>IFERROR(IF(데이터입력!$AE$2="추경",VLOOKUP($N120,데이터입력!$A:$H,6,FALSE),""),"")</f>
        <v/>
      </c>
      <c r="U120" s="730" t="str">
        <f>IFERROR(IF(데이터입력!$AE$2="추경",VLOOKUP($N120,데이터입력!$A:$L,8,FALSE)+VLOOKUP($N120,데이터입력!$A:$L,9,FALSE)+VLOOKUP($N120,데이터입력!$A:$L,10,FALSE),""),"")</f>
        <v/>
      </c>
      <c r="V120" s="731" t="s">
        <v>136</v>
      </c>
      <c r="W120" s="731" t="s">
        <v>136</v>
      </c>
      <c r="X120" s="731" t="s">
        <v>136</v>
      </c>
      <c r="Y120" s="712"/>
      <c r="Z120" s="235" t="str">
        <f>데이터입력!$AB$8</f>
        <v>00</v>
      </c>
      <c r="AA120" s="238" t="str">
        <f>데이터입력!$AC$9</f>
        <v>일반사업[일반]</v>
      </c>
      <c r="AB120" s="236" t="str">
        <f>IFERROR(IF(데이터입력!$AE$2="추경",VLOOKUP($A120,보수일람표!$A:$M,4,FALSE),""),"")</f>
        <v/>
      </c>
      <c r="AC120" s="236" t="str">
        <f>IFERROR(IF(데이터입력!$AE$2="추경",VLOOKUP($A120,보수일람표!$A:$M,5,FALSE),""),"")</f>
        <v/>
      </c>
      <c r="AD120" s="236" t="str">
        <f>IFERROR(IF(데이터입력!$AE$2="추경",VLOOKUP($A120,보수일람표!$A:$M,6,FALSE),""),"")</f>
        <v/>
      </c>
      <c r="AE120" s="236" t="str">
        <f>IFERROR(IF(데이터입력!$AE$2="추경",VLOOKUP($A120,보수일람표!$A:$M,7,FALSE),""),"")</f>
        <v>직접</v>
      </c>
      <c r="AF120" s="236"/>
      <c r="AG120" s="237">
        <f>IFERROR(IF(데이터입력!$AE$2="추경",VLOOKUP($A120,보수일람표!$A:$M,9,FALSE),""),"")</f>
        <v>0</v>
      </c>
      <c r="AH120" s="237">
        <f>IFERROR(IF(데이터입력!$AE$2="추경",VLOOKUP($A120,보수일람표!$A:$M,10,FALSE),""),"")</f>
        <v>0</v>
      </c>
      <c r="AI120" s="237">
        <f>IFERROR(IF(데이터입력!$AE$2="추경",VLOOKUP($A120,보수일람표!$A:$M,11,FALSE),""),"")</f>
        <v>0</v>
      </c>
      <c r="AJ120" s="237">
        <f>IFERROR(IF(데이터입력!$AE$2="추경",VLOOKUP($A120,보수일람표!$A:$M,12,FALSE),""),"")</f>
        <v>0</v>
      </c>
      <c r="AK120" s="237">
        <f>IFERROR(IF(데이터입력!$AE$2="추경",VLOOKUP($A120,보수일람표!$A:$M,13,FALSE),""),"")</f>
        <v>0</v>
      </c>
    </row>
    <row r="121" spans="1:37">
      <c r="A121" s="233">
        <v>119</v>
      </c>
      <c r="B121" s="719" t="str">
        <f>IFERROR(IF(F121="06",데이터입력!$AB$8,IF(F121="07",데이터입력!$AD$8,IF(F121="05",데이터입력!$AF$8,데이터입력!$AB$8))),데이터입력!$AB$8)</f>
        <v>00</v>
      </c>
      <c r="C121" s="720" t="str">
        <f>데이터입력!$AC$9</f>
        <v>일반사업[일반]</v>
      </c>
      <c r="D121" s="721" t="str">
        <f>IFERROR(IF(AND(데이터입력!$AE$2="추경",데이터입력!$AM$2=TRUE),VLOOKUP($A121,데이터입력!$A:$H,4,FALSE),""),"")</f>
        <v/>
      </c>
      <c r="E121" s="721" t="str">
        <f>IFERROR(IF(AND(데이터입력!$AE$2="추경",데이터입력!$AM$2=TRUE),VLOOKUP($A121,데이터입력!$A:$H,2,FALSE),""),"")</f>
        <v/>
      </c>
      <c r="F121" s="721" t="str">
        <f>IFERROR(IF(AND(데이터입력!$AE$2="추경",데이터입력!$AM$2=TRUE),VLOOKUP($A121,데이터입력!$A:$H,5,FALSE),""),"")</f>
        <v/>
      </c>
      <c r="G121" s="721" t="str">
        <f>IFERROR(IF(AND(데이터입력!$AE$2="추경",데이터입력!$AM$2=TRUE),VLOOKUP($A121,데이터입력!$A:$H,6,FALSE),""),"")</f>
        <v/>
      </c>
      <c r="H121" s="722" t="str">
        <f>IFERROR(IF(AND(데이터입력!$AE$2="추경",데이터입력!$AM$2=TRUE),VLOOKUP($A121,데이터입력!$A:$L,7,FALSE),""),"")</f>
        <v/>
      </c>
      <c r="I121" s="722" t="str">
        <f>IFERROR(IF(AND(데이터입력!$AE$2="추경",데이터입력!$AM$2=TRUE),VLOOKUP($A121,데이터입력!$A:$L,8,FALSE)+VLOOKUP($A121,데이터입력!$A:$L,9,FALSE)+VLOOKUP($A121,데이터입력!$A:$L,10,FALSE),""),"")</f>
        <v/>
      </c>
      <c r="J121" s="723" t="s">
        <v>136</v>
      </c>
      <c r="K121" s="723" t="s">
        <v>136</v>
      </c>
      <c r="L121" s="723" t="s">
        <v>136</v>
      </c>
      <c r="M121" s="715"/>
      <c r="N121" s="233">
        <v>319</v>
      </c>
      <c r="O121" s="727" t="str">
        <f>IFERROR(IF(S121="06",데이터입력!$AB$8,IF(S121="07",데이터입력!$AD$8,IF(S121="05",데이터입력!$AF$8,데이터입력!$AB$8))),데이터입력!$AB$8)</f>
        <v>00</v>
      </c>
      <c r="P121" s="728" t="str">
        <f>데이터입력!$AC$9</f>
        <v>일반사업[일반]</v>
      </c>
      <c r="Q121" s="729" t="str">
        <f>IFERROR(IF(데이터입력!$AE$2="추경",VLOOKUP($N121,데이터입력!$A:$H,4,FALSE),""),"")</f>
        <v/>
      </c>
      <c r="R121" s="729" t="str">
        <f>IFERROR(IF(데이터입력!$AE$2="추경",VLOOKUP($N121,데이터입력!$A:$H,2,FALSE),""),"")</f>
        <v/>
      </c>
      <c r="S121" s="729" t="str">
        <f>IFERROR(IF(데이터입력!$AE$2="추경",VLOOKUP($N121,데이터입력!$A:$H,5,FALSE),""),"")</f>
        <v/>
      </c>
      <c r="T121" s="729" t="str">
        <f>IFERROR(IF(데이터입력!$AE$2="추경",VLOOKUP($N121,데이터입력!$A:$H,6,FALSE),""),"")</f>
        <v/>
      </c>
      <c r="U121" s="730" t="str">
        <f>IFERROR(IF(데이터입력!$AE$2="추경",VLOOKUP($N121,데이터입력!$A:$L,8,FALSE)+VLOOKUP($N121,데이터입력!$A:$L,9,FALSE)+VLOOKUP($N121,데이터입력!$A:$L,10,FALSE),""),"")</f>
        <v/>
      </c>
      <c r="V121" s="731" t="s">
        <v>136</v>
      </c>
      <c r="W121" s="731" t="s">
        <v>136</v>
      </c>
      <c r="X121" s="731" t="s">
        <v>136</v>
      </c>
      <c r="Y121" s="712"/>
      <c r="Z121" s="235" t="str">
        <f>데이터입력!$AB$8</f>
        <v>00</v>
      </c>
      <c r="AA121" s="238" t="str">
        <f>데이터입력!$AC$9</f>
        <v>일반사업[일반]</v>
      </c>
      <c r="AB121" s="236" t="str">
        <f>IFERROR(IF(데이터입력!$AE$2="추경",VLOOKUP($A121,보수일람표!$A:$M,4,FALSE),""),"")</f>
        <v/>
      </c>
      <c r="AC121" s="236" t="str">
        <f>IFERROR(IF(데이터입력!$AE$2="추경",VLOOKUP($A121,보수일람표!$A:$M,5,FALSE),""),"")</f>
        <v/>
      </c>
      <c r="AD121" s="236" t="str">
        <f>IFERROR(IF(데이터입력!$AE$2="추경",VLOOKUP($A121,보수일람표!$A:$M,6,FALSE),""),"")</f>
        <v/>
      </c>
      <c r="AE121" s="236" t="str">
        <f>IFERROR(IF(데이터입력!$AE$2="추경",VLOOKUP($A121,보수일람표!$A:$M,7,FALSE),""),"")</f>
        <v>직접</v>
      </c>
      <c r="AF121" s="236"/>
      <c r="AG121" s="237">
        <f>IFERROR(IF(데이터입력!$AE$2="추경",VLOOKUP($A121,보수일람표!$A:$M,9,FALSE),""),"")</f>
        <v>0</v>
      </c>
      <c r="AH121" s="237">
        <f>IFERROR(IF(데이터입력!$AE$2="추경",VLOOKUP($A121,보수일람표!$A:$M,10,FALSE),""),"")</f>
        <v>0</v>
      </c>
      <c r="AI121" s="237">
        <f>IFERROR(IF(데이터입력!$AE$2="추경",VLOOKUP($A121,보수일람표!$A:$M,11,FALSE),""),"")</f>
        <v>0</v>
      </c>
      <c r="AJ121" s="237">
        <f>IFERROR(IF(데이터입력!$AE$2="추경",VLOOKUP($A121,보수일람표!$A:$M,12,FALSE),""),"")</f>
        <v>0</v>
      </c>
      <c r="AK121" s="237">
        <f>IFERROR(IF(데이터입력!$AE$2="추경",VLOOKUP($A121,보수일람표!$A:$M,13,FALSE),""),"")</f>
        <v>0</v>
      </c>
    </row>
    <row r="122" spans="1:37">
      <c r="A122" s="233">
        <v>120</v>
      </c>
      <c r="B122" s="719" t="str">
        <f>IFERROR(IF(F122="06",데이터입력!$AB$8,IF(F122="07",데이터입력!$AD$8,IF(F122="05",데이터입력!$AF$8,데이터입력!$AB$8))),데이터입력!$AB$8)</f>
        <v>00</v>
      </c>
      <c r="C122" s="720" t="str">
        <f>데이터입력!$AC$9</f>
        <v>일반사업[일반]</v>
      </c>
      <c r="D122" s="721" t="str">
        <f>IFERROR(IF(AND(데이터입력!$AE$2="추경",데이터입력!$AM$2=TRUE),VLOOKUP($A122,데이터입력!$A:$H,4,FALSE),""),"")</f>
        <v/>
      </c>
      <c r="E122" s="721" t="str">
        <f>IFERROR(IF(AND(데이터입력!$AE$2="추경",데이터입력!$AM$2=TRUE),VLOOKUP($A122,데이터입력!$A:$H,2,FALSE),""),"")</f>
        <v/>
      </c>
      <c r="F122" s="721" t="str">
        <f>IFERROR(IF(AND(데이터입력!$AE$2="추경",데이터입력!$AM$2=TRUE),VLOOKUP($A122,데이터입력!$A:$H,5,FALSE),""),"")</f>
        <v/>
      </c>
      <c r="G122" s="721" t="str">
        <f>IFERROR(IF(AND(데이터입력!$AE$2="추경",데이터입력!$AM$2=TRUE),VLOOKUP($A122,데이터입력!$A:$H,6,FALSE),""),"")</f>
        <v/>
      </c>
      <c r="H122" s="722" t="str">
        <f>IFERROR(IF(AND(데이터입력!$AE$2="추경",데이터입력!$AM$2=TRUE),VLOOKUP($A122,데이터입력!$A:$L,7,FALSE),""),"")</f>
        <v/>
      </c>
      <c r="I122" s="722" t="str">
        <f>IFERROR(IF(AND(데이터입력!$AE$2="추경",데이터입력!$AM$2=TRUE),VLOOKUP($A122,데이터입력!$A:$L,8,FALSE)+VLOOKUP($A122,데이터입력!$A:$L,9,FALSE)+VLOOKUP($A122,데이터입력!$A:$L,10,FALSE),""),"")</f>
        <v/>
      </c>
      <c r="J122" s="723" t="s">
        <v>136</v>
      </c>
      <c r="K122" s="723" t="s">
        <v>136</v>
      </c>
      <c r="L122" s="723" t="s">
        <v>136</v>
      </c>
      <c r="M122" s="715"/>
      <c r="N122" s="233">
        <v>320</v>
      </c>
      <c r="O122" s="727" t="str">
        <f>IFERROR(IF(S122="06",데이터입력!$AB$8,IF(S122="07",데이터입력!$AD$8,IF(S122="05",데이터입력!$AF$8,데이터입력!$AB$8))),데이터입력!$AB$8)</f>
        <v>00</v>
      </c>
      <c r="P122" s="728" t="str">
        <f>데이터입력!$AC$9</f>
        <v>일반사업[일반]</v>
      </c>
      <c r="Q122" s="729" t="str">
        <f>IFERROR(IF(데이터입력!$AE$2="추경",VLOOKUP($N122,데이터입력!$A:$H,4,FALSE),""),"")</f>
        <v/>
      </c>
      <c r="R122" s="729" t="str">
        <f>IFERROR(IF(데이터입력!$AE$2="추경",VLOOKUP($N122,데이터입력!$A:$H,2,FALSE),""),"")</f>
        <v/>
      </c>
      <c r="S122" s="729" t="str">
        <f>IFERROR(IF(데이터입력!$AE$2="추경",VLOOKUP($N122,데이터입력!$A:$H,5,FALSE),""),"")</f>
        <v/>
      </c>
      <c r="T122" s="729" t="str">
        <f>IFERROR(IF(데이터입력!$AE$2="추경",VLOOKUP($N122,데이터입력!$A:$H,6,FALSE),""),"")</f>
        <v/>
      </c>
      <c r="U122" s="730" t="str">
        <f>IFERROR(IF(데이터입력!$AE$2="추경",VLOOKUP($N122,데이터입력!$A:$L,8,FALSE)+VLOOKUP($N122,데이터입력!$A:$L,9,FALSE)+VLOOKUP($N122,데이터입력!$A:$L,10,FALSE),""),"")</f>
        <v/>
      </c>
      <c r="V122" s="731" t="s">
        <v>136</v>
      </c>
      <c r="W122" s="731" t="s">
        <v>136</v>
      </c>
      <c r="X122" s="731" t="s">
        <v>136</v>
      </c>
      <c r="Y122" s="712"/>
      <c r="Z122" s="235" t="str">
        <f>데이터입력!$AB$8</f>
        <v>00</v>
      </c>
      <c r="AA122" s="238" t="str">
        <f>데이터입력!$AC$9</f>
        <v>일반사업[일반]</v>
      </c>
      <c r="AB122" s="236" t="str">
        <f>IFERROR(IF(데이터입력!$AE$2="추경",VLOOKUP($A122,보수일람표!$A:$M,4,FALSE),""),"")</f>
        <v/>
      </c>
      <c r="AC122" s="236" t="str">
        <f>IFERROR(IF(데이터입력!$AE$2="추경",VLOOKUP($A122,보수일람표!$A:$M,5,FALSE),""),"")</f>
        <v/>
      </c>
      <c r="AD122" s="236" t="str">
        <f>IFERROR(IF(데이터입력!$AE$2="추경",VLOOKUP($A122,보수일람표!$A:$M,6,FALSE),""),"")</f>
        <v/>
      </c>
      <c r="AE122" s="236" t="str">
        <f>IFERROR(IF(데이터입력!$AE$2="추경",VLOOKUP($A122,보수일람표!$A:$M,7,FALSE),""),"")</f>
        <v>직접</v>
      </c>
      <c r="AF122" s="236"/>
      <c r="AG122" s="237">
        <f>IFERROR(IF(데이터입력!$AE$2="추경",VLOOKUP($A122,보수일람표!$A:$M,9,FALSE),""),"")</f>
        <v>0</v>
      </c>
      <c r="AH122" s="237">
        <f>IFERROR(IF(데이터입력!$AE$2="추경",VLOOKUP($A122,보수일람표!$A:$M,10,FALSE),""),"")</f>
        <v>0</v>
      </c>
      <c r="AI122" s="237">
        <f>IFERROR(IF(데이터입력!$AE$2="추경",VLOOKUP($A122,보수일람표!$A:$M,11,FALSE),""),"")</f>
        <v>0</v>
      </c>
      <c r="AJ122" s="237">
        <f>IFERROR(IF(데이터입력!$AE$2="추경",VLOOKUP($A122,보수일람표!$A:$M,12,FALSE),""),"")</f>
        <v>0</v>
      </c>
      <c r="AK122" s="237">
        <f>IFERROR(IF(데이터입력!$AE$2="추경",VLOOKUP($A122,보수일람표!$A:$M,13,FALSE),""),"")</f>
        <v>0</v>
      </c>
    </row>
    <row r="123" spans="1:37">
      <c r="A123" s="233">
        <v>121</v>
      </c>
      <c r="B123" s="719" t="str">
        <f>IFERROR(IF(F123="06",데이터입력!$AB$8,IF(F123="07",데이터입력!$AD$8,IF(F123="05",데이터입력!$AF$8,데이터입력!$AB$8))),데이터입력!$AB$8)</f>
        <v>00</v>
      </c>
      <c r="C123" s="720" t="str">
        <f>데이터입력!$AC$9</f>
        <v>일반사업[일반]</v>
      </c>
      <c r="D123" s="721" t="str">
        <f>IFERROR(IF(AND(데이터입력!$AE$2="추경",데이터입력!$AM$2=TRUE),VLOOKUP($A123,데이터입력!$A:$H,4,FALSE),""),"")</f>
        <v/>
      </c>
      <c r="E123" s="721" t="str">
        <f>IFERROR(IF(AND(데이터입력!$AE$2="추경",데이터입력!$AM$2=TRUE),VLOOKUP($A123,데이터입력!$A:$H,2,FALSE),""),"")</f>
        <v/>
      </c>
      <c r="F123" s="721" t="str">
        <f>IFERROR(IF(AND(데이터입력!$AE$2="추경",데이터입력!$AM$2=TRUE),VLOOKUP($A123,데이터입력!$A:$H,5,FALSE),""),"")</f>
        <v/>
      </c>
      <c r="G123" s="721" t="str">
        <f>IFERROR(IF(AND(데이터입력!$AE$2="추경",데이터입력!$AM$2=TRUE),VLOOKUP($A123,데이터입력!$A:$H,6,FALSE),""),"")</f>
        <v/>
      </c>
      <c r="H123" s="722" t="str">
        <f>IFERROR(IF(AND(데이터입력!$AE$2="추경",데이터입력!$AM$2=TRUE),VLOOKUP($A123,데이터입력!$A:$L,7,FALSE),""),"")</f>
        <v/>
      </c>
      <c r="I123" s="722" t="str">
        <f>IFERROR(IF(AND(데이터입력!$AE$2="추경",데이터입력!$AM$2=TRUE),VLOOKUP($A123,데이터입력!$A:$L,8,FALSE)+VLOOKUP($A123,데이터입력!$A:$L,9,FALSE)+VLOOKUP($A123,데이터입력!$A:$L,10,FALSE),""),"")</f>
        <v/>
      </c>
      <c r="J123" s="723" t="s">
        <v>136</v>
      </c>
      <c r="K123" s="723" t="s">
        <v>136</v>
      </c>
      <c r="L123" s="723" t="s">
        <v>136</v>
      </c>
      <c r="M123" s="715"/>
      <c r="N123" s="233">
        <v>321</v>
      </c>
      <c r="O123" s="727" t="str">
        <f>IFERROR(IF(S123="06",데이터입력!$AB$8,IF(S123="07",데이터입력!$AD$8,IF(S123="05",데이터입력!$AF$8,데이터입력!$AB$8))),데이터입력!$AB$8)</f>
        <v>00</v>
      </c>
      <c r="P123" s="728" t="str">
        <f>데이터입력!$AC$9</f>
        <v>일반사업[일반]</v>
      </c>
      <c r="Q123" s="729" t="str">
        <f>IFERROR(IF(데이터입력!$AE$2="추경",VLOOKUP($N123,데이터입력!$A:$H,4,FALSE),""),"")</f>
        <v/>
      </c>
      <c r="R123" s="729" t="str">
        <f>IFERROR(IF(데이터입력!$AE$2="추경",VLOOKUP($N123,데이터입력!$A:$H,2,FALSE),""),"")</f>
        <v/>
      </c>
      <c r="S123" s="729" t="str">
        <f>IFERROR(IF(데이터입력!$AE$2="추경",VLOOKUP($N123,데이터입력!$A:$H,5,FALSE),""),"")</f>
        <v/>
      </c>
      <c r="T123" s="729" t="str">
        <f>IFERROR(IF(데이터입력!$AE$2="추경",VLOOKUP($N123,데이터입력!$A:$H,6,FALSE),""),"")</f>
        <v/>
      </c>
      <c r="U123" s="730" t="str">
        <f>IFERROR(IF(데이터입력!$AE$2="추경",VLOOKUP($N123,데이터입력!$A:$L,8,FALSE)+VLOOKUP($N123,데이터입력!$A:$L,9,FALSE)+VLOOKUP($N123,데이터입력!$A:$L,10,FALSE),""),"")</f>
        <v/>
      </c>
      <c r="V123" s="731" t="s">
        <v>136</v>
      </c>
      <c r="W123" s="731" t="s">
        <v>136</v>
      </c>
      <c r="X123" s="731" t="s">
        <v>136</v>
      </c>
      <c r="Y123" s="712"/>
      <c r="Z123" s="235" t="str">
        <f>데이터입력!$AB$8</f>
        <v>00</v>
      </c>
      <c r="AA123" s="238" t="str">
        <f>데이터입력!$AC$9</f>
        <v>일반사업[일반]</v>
      </c>
      <c r="AB123" s="236" t="str">
        <f>IFERROR(IF(데이터입력!$AE$2="추경",VLOOKUP($A123,보수일람표!$A:$M,4,FALSE),""),"")</f>
        <v/>
      </c>
      <c r="AC123" s="236" t="str">
        <f>IFERROR(IF(데이터입력!$AE$2="추경",VLOOKUP($A123,보수일람표!$A:$M,5,FALSE),""),"")</f>
        <v/>
      </c>
      <c r="AD123" s="236" t="str">
        <f>IFERROR(IF(데이터입력!$AE$2="추경",VLOOKUP($A123,보수일람표!$A:$M,6,FALSE),""),"")</f>
        <v/>
      </c>
      <c r="AE123" s="236" t="str">
        <f>IFERROR(IF(데이터입력!$AE$2="추경",VLOOKUP($A123,보수일람표!$A:$M,7,FALSE),""),"")</f>
        <v>직접</v>
      </c>
      <c r="AF123" s="236"/>
      <c r="AG123" s="237">
        <f>IFERROR(IF(데이터입력!$AE$2="추경",VLOOKUP($A123,보수일람표!$A:$M,9,FALSE),""),"")</f>
        <v>0</v>
      </c>
      <c r="AH123" s="237">
        <f>IFERROR(IF(데이터입력!$AE$2="추경",VLOOKUP($A123,보수일람표!$A:$M,10,FALSE),""),"")</f>
        <v>0</v>
      </c>
      <c r="AI123" s="237">
        <f>IFERROR(IF(데이터입력!$AE$2="추경",VLOOKUP($A123,보수일람표!$A:$M,11,FALSE),""),"")</f>
        <v>0</v>
      </c>
      <c r="AJ123" s="237">
        <f>IFERROR(IF(데이터입력!$AE$2="추경",VLOOKUP($A123,보수일람표!$A:$M,12,FALSE),""),"")</f>
        <v>0</v>
      </c>
      <c r="AK123" s="237">
        <f>IFERROR(IF(데이터입력!$AE$2="추경",VLOOKUP($A123,보수일람표!$A:$M,13,FALSE),""),"")</f>
        <v>0</v>
      </c>
    </row>
    <row r="124" spans="1:37">
      <c r="A124" s="233">
        <v>122</v>
      </c>
      <c r="B124" s="719" t="str">
        <f>IFERROR(IF(F124="06",데이터입력!$AB$8,IF(F124="07",데이터입력!$AD$8,IF(F124="05",데이터입력!$AF$8,데이터입력!$AB$8))),데이터입력!$AB$8)</f>
        <v>00</v>
      </c>
      <c r="C124" s="720" t="str">
        <f>데이터입력!$AC$9</f>
        <v>일반사업[일반]</v>
      </c>
      <c r="D124" s="721" t="str">
        <f>IFERROR(IF(AND(데이터입력!$AE$2="추경",데이터입력!$AM$2=TRUE),VLOOKUP($A124,데이터입력!$A:$H,4,FALSE),""),"")</f>
        <v/>
      </c>
      <c r="E124" s="721" t="str">
        <f>IFERROR(IF(AND(데이터입력!$AE$2="추경",데이터입력!$AM$2=TRUE),VLOOKUP($A124,데이터입력!$A:$H,2,FALSE),""),"")</f>
        <v/>
      </c>
      <c r="F124" s="721" t="str">
        <f>IFERROR(IF(AND(데이터입력!$AE$2="추경",데이터입력!$AM$2=TRUE),VLOOKUP($A124,데이터입력!$A:$H,5,FALSE),""),"")</f>
        <v/>
      </c>
      <c r="G124" s="721" t="str">
        <f>IFERROR(IF(AND(데이터입력!$AE$2="추경",데이터입력!$AM$2=TRUE),VLOOKUP($A124,데이터입력!$A:$H,6,FALSE),""),"")</f>
        <v/>
      </c>
      <c r="H124" s="722" t="str">
        <f>IFERROR(IF(AND(데이터입력!$AE$2="추경",데이터입력!$AM$2=TRUE),VLOOKUP($A124,데이터입력!$A:$L,7,FALSE),""),"")</f>
        <v/>
      </c>
      <c r="I124" s="722" t="str">
        <f>IFERROR(IF(AND(데이터입력!$AE$2="추경",데이터입력!$AM$2=TRUE),VLOOKUP($A124,데이터입력!$A:$L,8,FALSE)+VLOOKUP($A124,데이터입력!$A:$L,9,FALSE)+VLOOKUP($A124,데이터입력!$A:$L,10,FALSE),""),"")</f>
        <v/>
      </c>
      <c r="J124" s="723" t="s">
        <v>136</v>
      </c>
      <c r="K124" s="723" t="s">
        <v>136</v>
      </c>
      <c r="L124" s="723" t="s">
        <v>136</v>
      </c>
      <c r="M124" s="715"/>
      <c r="N124" s="233">
        <v>322</v>
      </c>
      <c r="O124" s="727" t="str">
        <f>IFERROR(IF(S124="06",데이터입력!$AB$8,IF(S124="07",데이터입력!$AD$8,IF(S124="05",데이터입력!$AF$8,데이터입력!$AB$8))),데이터입력!$AB$8)</f>
        <v>00</v>
      </c>
      <c r="P124" s="728" t="str">
        <f>데이터입력!$AC$9</f>
        <v>일반사업[일반]</v>
      </c>
      <c r="Q124" s="729" t="str">
        <f>IFERROR(IF(데이터입력!$AE$2="추경",VLOOKUP($N124,데이터입력!$A:$H,4,FALSE),""),"")</f>
        <v/>
      </c>
      <c r="R124" s="729" t="str">
        <f>IFERROR(IF(데이터입력!$AE$2="추경",VLOOKUP($N124,데이터입력!$A:$H,2,FALSE),""),"")</f>
        <v/>
      </c>
      <c r="S124" s="729" t="str">
        <f>IFERROR(IF(데이터입력!$AE$2="추경",VLOOKUP($N124,데이터입력!$A:$H,5,FALSE),""),"")</f>
        <v/>
      </c>
      <c r="T124" s="729" t="str">
        <f>IFERROR(IF(데이터입력!$AE$2="추경",VLOOKUP($N124,데이터입력!$A:$H,6,FALSE),""),"")</f>
        <v/>
      </c>
      <c r="U124" s="730" t="str">
        <f>IFERROR(IF(데이터입력!$AE$2="추경",VLOOKUP($N124,데이터입력!$A:$L,8,FALSE)+VLOOKUP($N124,데이터입력!$A:$L,9,FALSE)+VLOOKUP($N124,데이터입력!$A:$L,10,FALSE),""),"")</f>
        <v/>
      </c>
      <c r="V124" s="731" t="s">
        <v>136</v>
      </c>
      <c r="W124" s="731" t="s">
        <v>136</v>
      </c>
      <c r="X124" s="731" t="s">
        <v>136</v>
      </c>
      <c r="Y124" s="712"/>
      <c r="Z124" s="235" t="str">
        <f>데이터입력!$AB$8</f>
        <v>00</v>
      </c>
      <c r="AA124" s="238" t="str">
        <f>데이터입력!$AC$9</f>
        <v>일반사업[일반]</v>
      </c>
      <c r="AB124" s="236" t="str">
        <f>IFERROR(IF(데이터입력!$AE$2="추경",VLOOKUP($A124,보수일람표!$A:$M,4,FALSE),""),"")</f>
        <v/>
      </c>
      <c r="AC124" s="236" t="str">
        <f>IFERROR(IF(데이터입력!$AE$2="추경",VLOOKUP($A124,보수일람표!$A:$M,5,FALSE),""),"")</f>
        <v/>
      </c>
      <c r="AD124" s="236" t="str">
        <f>IFERROR(IF(데이터입력!$AE$2="추경",VLOOKUP($A124,보수일람표!$A:$M,6,FALSE),""),"")</f>
        <v/>
      </c>
      <c r="AE124" s="236" t="str">
        <f>IFERROR(IF(데이터입력!$AE$2="추경",VLOOKUP($A124,보수일람표!$A:$M,7,FALSE),""),"")</f>
        <v>직접</v>
      </c>
      <c r="AF124" s="236"/>
      <c r="AG124" s="237">
        <f>IFERROR(IF(데이터입력!$AE$2="추경",VLOOKUP($A124,보수일람표!$A:$M,9,FALSE),""),"")</f>
        <v>0</v>
      </c>
      <c r="AH124" s="237">
        <f>IFERROR(IF(데이터입력!$AE$2="추경",VLOOKUP($A124,보수일람표!$A:$M,10,FALSE),""),"")</f>
        <v>0</v>
      </c>
      <c r="AI124" s="237">
        <f>IFERROR(IF(데이터입력!$AE$2="추경",VLOOKUP($A124,보수일람표!$A:$M,11,FALSE),""),"")</f>
        <v>0</v>
      </c>
      <c r="AJ124" s="237">
        <f>IFERROR(IF(데이터입력!$AE$2="추경",VLOOKUP($A124,보수일람표!$A:$M,12,FALSE),""),"")</f>
        <v>0</v>
      </c>
      <c r="AK124" s="237">
        <f>IFERROR(IF(데이터입력!$AE$2="추경",VLOOKUP($A124,보수일람표!$A:$M,13,FALSE),""),"")</f>
        <v>0</v>
      </c>
    </row>
    <row r="125" spans="1:37">
      <c r="A125" s="233">
        <v>123</v>
      </c>
      <c r="B125" s="719" t="str">
        <f>IFERROR(IF(F125="06",데이터입력!$AB$8,IF(F125="07",데이터입력!$AD$8,IF(F125="05",데이터입력!$AF$8,데이터입력!$AB$8))),데이터입력!$AB$8)</f>
        <v>00</v>
      </c>
      <c r="C125" s="720" t="str">
        <f>데이터입력!$AC$9</f>
        <v>일반사업[일반]</v>
      </c>
      <c r="D125" s="721" t="str">
        <f>IFERROR(IF(AND(데이터입력!$AE$2="추경",데이터입력!$AM$2=TRUE),VLOOKUP($A125,데이터입력!$A:$H,4,FALSE),""),"")</f>
        <v/>
      </c>
      <c r="E125" s="721" t="str">
        <f>IFERROR(IF(AND(데이터입력!$AE$2="추경",데이터입력!$AM$2=TRUE),VLOOKUP($A125,데이터입력!$A:$H,2,FALSE),""),"")</f>
        <v/>
      </c>
      <c r="F125" s="721" t="str">
        <f>IFERROR(IF(AND(데이터입력!$AE$2="추경",데이터입력!$AM$2=TRUE),VLOOKUP($A125,데이터입력!$A:$H,5,FALSE),""),"")</f>
        <v/>
      </c>
      <c r="G125" s="721" t="str">
        <f>IFERROR(IF(AND(데이터입력!$AE$2="추경",데이터입력!$AM$2=TRUE),VLOOKUP($A125,데이터입력!$A:$H,6,FALSE),""),"")</f>
        <v/>
      </c>
      <c r="H125" s="722" t="str">
        <f>IFERROR(IF(AND(데이터입력!$AE$2="추경",데이터입력!$AM$2=TRUE),VLOOKUP($A125,데이터입력!$A:$L,7,FALSE),""),"")</f>
        <v/>
      </c>
      <c r="I125" s="722" t="str">
        <f>IFERROR(IF(AND(데이터입력!$AE$2="추경",데이터입력!$AM$2=TRUE),VLOOKUP($A125,데이터입력!$A:$L,8,FALSE)+VLOOKUP($A125,데이터입력!$A:$L,9,FALSE)+VLOOKUP($A125,데이터입력!$A:$L,10,FALSE),""),"")</f>
        <v/>
      </c>
      <c r="J125" s="723" t="s">
        <v>136</v>
      </c>
      <c r="K125" s="723" t="s">
        <v>136</v>
      </c>
      <c r="L125" s="723" t="s">
        <v>136</v>
      </c>
      <c r="M125" s="715"/>
      <c r="N125" s="233">
        <v>323</v>
      </c>
      <c r="O125" s="727" t="str">
        <f>IFERROR(IF(S125="06",데이터입력!$AB$8,IF(S125="07",데이터입력!$AD$8,IF(S125="05",데이터입력!$AF$8,데이터입력!$AB$8))),데이터입력!$AB$8)</f>
        <v>00</v>
      </c>
      <c r="P125" s="728" t="str">
        <f>데이터입력!$AC$9</f>
        <v>일반사업[일반]</v>
      </c>
      <c r="Q125" s="729" t="str">
        <f>IFERROR(IF(데이터입력!$AE$2="추경",VLOOKUP($N125,데이터입력!$A:$H,4,FALSE),""),"")</f>
        <v/>
      </c>
      <c r="R125" s="729" t="str">
        <f>IFERROR(IF(데이터입력!$AE$2="추경",VLOOKUP($N125,데이터입력!$A:$H,2,FALSE),""),"")</f>
        <v/>
      </c>
      <c r="S125" s="729" t="str">
        <f>IFERROR(IF(데이터입력!$AE$2="추경",VLOOKUP($N125,데이터입력!$A:$H,5,FALSE),""),"")</f>
        <v/>
      </c>
      <c r="T125" s="729" t="str">
        <f>IFERROR(IF(데이터입력!$AE$2="추경",VLOOKUP($N125,데이터입력!$A:$H,6,FALSE),""),"")</f>
        <v/>
      </c>
      <c r="U125" s="730" t="str">
        <f>IFERROR(IF(데이터입력!$AE$2="추경",VLOOKUP($N125,데이터입력!$A:$L,8,FALSE)+VLOOKUP($N125,데이터입력!$A:$L,9,FALSE)+VLOOKUP($N125,데이터입력!$A:$L,10,FALSE),""),"")</f>
        <v/>
      </c>
      <c r="V125" s="731" t="s">
        <v>136</v>
      </c>
      <c r="W125" s="731" t="s">
        <v>136</v>
      </c>
      <c r="X125" s="731" t="s">
        <v>136</v>
      </c>
      <c r="Y125" s="712"/>
      <c r="Z125" s="235" t="str">
        <f>데이터입력!$AB$8</f>
        <v>00</v>
      </c>
      <c r="AA125" s="238" t="str">
        <f>데이터입력!$AC$9</f>
        <v>일반사업[일반]</v>
      </c>
      <c r="AB125" s="236" t="str">
        <f>IFERROR(IF(데이터입력!$AE$2="추경",VLOOKUP($A125,보수일람표!$A:$M,4,FALSE),""),"")</f>
        <v/>
      </c>
      <c r="AC125" s="236" t="str">
        <f>IFERROR(IF(데이터입력!$AE$2="추경",VLOOKUP($A125,보수일람표!$A:$M,5,FALSE),""),"")</f>
        <v/>
      </c>
      <c r="AD125" s="236" t="str">
        <f>IFERROR(IF(데이터입력!$AE$2="추경",VLOOKUP($A125,보수일람표!$A:$M,6,FALSE),""),"")</f>
        <v/>
      </c>
      <c r="AE125" s="236" t="str">
        <f>IFERROR(IF(데이터입력!$AE$2="추경",VLOOKUP($A125,보수일람표!$A:$M,7,FALSE),""),"")</f>
        <v>직접</v>
      </c>
      <c r="AF125" s="236"/>
      <c r="AG125" s="237">
        <f>IFERROR(IF(데이터입력!$AE$2="추경",VLOOKUP($A125,보수일람표!$A:$M,9,FALSE),""),"")</f>
        <v>0</v>
      </c>
      <c r="AH125" s="237">
        <f>IFERROR(IF(데이터입력!$AE$2="추경",VLOOKUP($A125,보수일람표!$A:$M,10,FALSE),""),"")</f>
        <v>0</v>
      </c>
      <c r="AI125" s="237">
        <f>IFERROR(IF(데이터입력!$AE$2="추경",VLOOKUP($A125,보수일람표!$A:$M,11,FALSE),""),"")</f>
        <v>0</v>
      </c>
      <c r="AJ125" s="237">
        <f>IFERROR(IF(데이터입력!$AE$2="추경",VLOOKUP($A125,보수일람표!$A:$M,12,FALSE),""),"")</f>
        <v>0</v>
      </c>
      <c r="AK125" s="237">
        <f>IFERROR(IF(데이터입력!$AE$2="추경",VLOOKUP($A125,보수일람표!$A:$M,13,FALSE),""),"")</f>
        <v>0</v>
      </c>
    </row>
    <row r="126" spans="1:37">
      <c r="A126" s="233">
        <v>124</v>
      </c>
      <c r="B126" s="719" t="str">
        <f>IFERROR(IF(F126="06",데이터입력!$AB$8,IF(F126="07",데이터입력!$AD$8,IF(F126="05",데이터입력!$AF$8,데이터입력!$AB$8))),데이터입력!$AB$8)</f>
        <v>00</v>
      </c>
      <c r="C126" s="720" t="str">
        <f>데이터입력!$AC$9</f>
        <v>일반사업[일반]</v>
      </c>
      <c r="D126" s="721" t="str">
        <f>IFERROR(IF(AND(데이터입력!$AE$2="추경",데이터입력!$AM$2=TRUE),VLOOKUP($A126,데이터입력!$A:$H,4,FALSE),""),"")</f>
        <v/>
      </c>
      <c r="E126" s="721" t="str">
        <f>IFERROR(IF(AND(데이터입력!$AE$2="추경",데이터입력!$AM$2=TRUE),VLOOKUP($A126,데이터입력!$A:$H,2,FALSE),""),"")</f>
        <v/>
      </c>
      <c r="F126" s="721" t="str">
        <f>IFERROR(IF(AND(데이터입력!$AE$2="추경",데이터입력!$AM$2=TRUE),VLOOKUP($A126,데이터입력!$A:$H,5,FALSE),""),"")</f>
        <v/>
      </c>
      <c r="G126" s="721" t="str">
        <f>IFERROR(IF(AND(데이터입력!$AE$2="추경",데이터입력!$AM$2=TRUE),VLOOKUP($A126,데이터입력!$A:$H,6,FALSE),""),"")</f>
        <v/>
      </c>
      <c r="H126" s="722" t="str">
        <f>IFERROR(IF(AND(데이터입력!$AE$2="추경",데이터입력!$AM$2=TRUE),VLOOKUP($A126,데이터입력!$A:$L,7,FALSE),""),"")</f>
        <v/>
      </c>
      <c r="I126" s="722" t="str">
        <f>IFERROR(IF(AND(데이터입력!$AE$2="추경",데이터입력!$AM$2=TRUE),VLOOKUP($A126,데이터입력!$A:$L,8,FALSE)+VLOOKUP($A126,데이터입력!$A:$L,9,FALSE)+VLOOKUP($A126,데이터입력!$A:$L,10,FALSE),""),"")</f>
        <v/>
      </c>
      <c r="J126" s="723" t="s">
        <v>136</v>
      </c>
      <c r="K126" s="723" t="s">
        <v>136</v>
      </c>
      <c r="L126" s="723" t="s">
        <v>136</v>
      </c>
      <c r="M126" s="715"/>
      <c r="N126" s="233">
        <v>324</v>
      </c>
      <c r="O126" s="727" t="str">
        <f>IFERROR(IF(S126="06",데이터입력!$AB$8,IF(S126="07",데이터입력!$AD$8,IF(S126="05",데이터입력!$AF$8,데이터입력!$AB$8))),데이터입력!$AB$8)</f>
        <v>00</v>
      </c>
      <c r="P126" s="728" t="str">
        <f>데이터입력!$AC$9</f>
        <v>일반사업[일반]</v>
      </c>
      <c r="Q126" s="729" t="str">
        <f>IFERROR(IF(데이터입력!$AE$2="추경",VLOOKUP($N126,데이터입력!$A:$H,4,FALSE),""),"")</f>
        <v/>
      </c>
      <c r="R126" s="729" t="str">
        <f>IFERROR(IF(데이터입력!$AE$2="추경",VLOOKUP($N126,데이터입력!$A:$H,2,FALSE),""),"")</f>
        <v/>
      </c>
      <c r="S126" s="729" t="str">
        <f>IFERROR(IF(데이터입력!$AE$2="추경",VLOOKUP($N126,데이터입력!$A:$H,5,FALSE),""),"")</f>
        <v/>
      </c>
      <c r="T126" s="729" t="str">
        <f>IFERROR(IF(데이터입력!$AE$2="추경",VLOOKUP($N126,데이터입력!$A:$H,6,FALSE),""),"")</f>
        <v/>
      </c>
      <c r="U126" s="730" t="str">
        <f>IFERROR(IF(데이터입력!$AE$2="추경",VLOOKUP($N126,데이터입력!$A:$L,8,FALSE)+VLOOKUP($N126,데이터입력!$A:$L,9,FALSE)+VLOOKUP($N126,데이터입력!$A:$L,10,FALSE),""),"")</f>
        <v/>
      </c>
      <c r="V126" s="731" t="s">
        <v>136</v>
      </c>
      <c r="W126" s="731" t="s">
        <v>136</v>
      </c>
      <c r="X126" s="731" t="s">
        <v>136</v>
      </c>
      <c r="Y126" s="712"/>
      <c r="Z126" s="235" t="str">
        <f>데이터입력!$AB$8</f>
        <v>00</v>
      </c>
      <c r="AA126" s="238" t="str">
        <f>데이터입력!$AC$9</f>
        <v>일반사업[일반]</v>
      </c>
      <c r="AB126" s="236" t="str">
        <f>IFERROR(IF(데이터입력!$AE$2="추경",VLOOKUP($A126,보수일람표!$A:$M,4,FALSE),""),"")</f>
        <v/>
      </c>
      <c r="AC126" s="236" t="str">
        <f>IFERROR(IF(데이터입력!$AE$2="추경",VLOOKUP($A126,보수일람표!$A:$M,5,FALSE),""),"")</f>
        <v/>
      </c>
      <c r="AD126" s="236" t="str">
        <f>IFERROR(IF(데이터입력!$AE$2="추경",VLOOKUP($A126,보수일람표!$A:$M,6,FALSE),""),"")</f>
        <v/>
      </c>
      <c r="AE126" s="236" t="str">
        <f>IFERROR(IF(데이터입력!$AE$2="추경",VLOOKUP($A126,보수일람표!$A:$M,7,FALSE),""),"")</f>
        <v>직접</v>
      </c>
      <c r="AF126" s="236"/>
      <c r="AG126" s="237">
        <f>IFERROR(IF(데이터입력!$AE$2="추경",VLOOKUP($A126,보수일람표!$A:$M,9,FALSE),""),"")</f>
        <v>0</v>
      </c>
      <c r="AH126" s="237">
        <f>IFERROR(IF(데이터입력!$AE$2="추경",VLOOKUP($A126,보수일람표!$A:$M,10,FALSE),""),"")</f>
        <v>0</v>
      </c>
      <c r="AI126" s="237">
        <f>IFERROR(IF(데이터입력!$AE$2="추경",VLOOKUP($A126,보수일람표!$A:$M,11,FALSE),""),"")</f>
        <v>0</v>
      </c>
      <c r="AJ126" s="237">
        <f>IFERROR(IF(데이터입력!$AE$2="추경",VLOOKUP($A126,보수일람표!$A:$M,12,FALSE),""),"")</f>
        <v>0</v>
      </c>
      <c r="AK126" s="237">
        <f>IFERROR(IF(데이터입력!$AE$2="추경",VLOOKUP($A126,보수일람표!$A:$M,13,FALSE),""),"")</f>
        <v>0</v>
      </c>
    </row>
    <row r="127" spans="1:37">
      <c r="A127" s="233">
        <v>125</v>
      </c>
      <c r="B127" s="719" t="str">
        <f>IFERROR(IF(F127="06",데이터입력!$AB$8,IF(F127="07",데이터입력!$AD$8,IF(F127="05",데이터입력!$AF$8,데이터입력!$AB$8))),데이터입력!$AB$8)</f>
        <v>00</v>
      </c>
      <c r="C127" s="720" t="str">
        <f>데이터입력!$AC$9</f>
        <v>일반사업[일반]</v>
      </c>
      <c r="D127" s="721" t="str">
        <f>IFERROR(IF(AND(데이터입력!$AE$2="추경",데이터입력!$AM$2=TRUE),VLOOKUP($A127,데이터입력!$A:$H,4,FALSE),""),"")</f>
        <v/>
      </c>
      <c r="E127" s="721" t="str">
        <f>IFERROR(IF(AND(데이터입력!$AE$2="추경",데이터입력!$AM$2=TRUE),VLOOKUP($A127,데이터입력!$A:$H,2,FALSE),""),"")</f>
        <v/>
      </c>
      <c r="F127" s="721" t="str">
        <f>IFERROR(IF(AND(데이터입력!$AE$2="추경",데이터입력!$AM$2=TRUE),VLOOKUP($A127,데이터입력!$A:$H,5,FALSE),""),"")</f>
        <v/>
      </c>
      <c r="G127" s="721" t="str">
        <f>IFERROR(IF(AND(데이터입력!$AE$2="추경",데이터입력!$AM$2=TRUE),VLOOKUP($A127,데이터입력!$A:$H,6,FALSE),""),"")</f>
        <v/>
      </c>
      <c r="H127" s="722" t="str">
        <f>IFERROR(IF(AND(데이터입력!$AE$2="추경",데이터입력!$AM$2=TRUE),VLOOKUP($A127,데이터입력!$A:$L,7,FALSE),""),"")</f>
        <v/>
      </c>
      <c r="I127" s="722" t="str">
        <f>IFERROR(IF(AND(데이터입력!$AE$2="추경",데이터입력!$AM$2=TRUE),VLOOKUP($A127,데이터입력!$A:$L,8,FALSE)+VLOOKUP($A127,데이터입력!$A:$L,9,FALSE)+VLOOKUP($A127,데이터입력!$A:$L,10,FALSE),""),"")</f>
        <v/>
      </c>
      <c r="J127" s="723" t="s">
        <v>136</v>
      </c>
      <c r="K127" s="723" t="s">
        <v>136</v>
      </c>
      <c r="L127" s="723" t="s">
        <v>136</v>
      </c>
      <c r="M127" s="715"/>
      <c r="N127" s="233">
        <v>325</v>
      </c>
      <c r="O127" s="727" t="str">
        <f>IFERROR(IF(S127="06",데이터입력!$AB$8,IF(S127="07",데이터입력!$AD$8,IF(S127="05",데이터입력!$AF$8,데이터입력!$AB$8))),데이터입력!$AB$8)</f>
        <v>00</v>
      </c>
      <c r="P127" s="728" t="str">
        <f>데이터입력!$AC$9</f>
        <v>일반사업[일반]</v>
      </c>
      <c r="Q127" s="729" t="str">
        <f>IFERROR(IF(데이터입력!$AE$2="추경",VLOOKUP($N127,데이터입력!$A:$H,4,FALSE),""),"")</f>
        <v/>
      </c>
      <c r="R127" s="729" t="str">
        <f>IFERROR(IF(데이터입력!$AE$2="추경",VLOOKUP($N127,데이터입력!$A:$H,2,FALSE),""),"")</f>
        <v/>
      </c>
      <c r="S127" s="729" t="str">
        <f>IFERROR(IF(데이터입력!$AE$2="추경",VLOOKUP($N127,데이터입력!$A:$H,5,FALSE),""),"")</f>
        <v/>
      </c>
      <c r="T127" s="729" t="str">
        <f>IFERROR(IF(데이터입력!$AE$2="추경",VLOOKUP($N127,데이터입력!$A:$H,6,FALSE),""),"")</f>
        <v/>
      </c>
      <c r="U127" s="730" t="str">
        <f>IFERROR(IF(데이터입력!$AE$2="추경",VLOOKUP($N127,데이터입력!$A:$L,8,FALSE)+VLOOKUP($N127,데이터입력!$A:$L,9,FALSE)+VLOOKUP($N127,데이터입력!$A:$L,10,FALSE),""),"")</f>
        <v/>
      </c>
      <c r="V127" s="731" t="s">
        <v>136</v>
      </c>
      <c r="W127" s="731" t="s">
        <v>136</v>
      </c>
      <c r="X127" s="731" t="s">
        <v>136</v>
      </c>
      <c r="Y127" s="712"/>
      <c r="Z127" s="235" t="str">
        <f>데이터입력!$AB$8</f>
        <v>00</v>
      </c>
      <c r="AA127" s="238" t="str">
        <f>데이터입력!$AC$9</f>
        <v>일반사업[일반]</v>
      </c>
      <c r="AB127" s="236" t="str">
        <f>IFERROR(IF(데이터입력!$AE$2="추경",VLOOKUP($A127,보수일람표!$A:$M,4,FALSE),""),"")</f>
        <v/>
      </c>
      <c r="AC127" s="236" t="str">
        <f>IFERROR(IF(데이터입력!$AE$2="추경",VLOOKUP($A127,보수일람표!$A:$M,5,FALSE),""),"")</f>
        <v/>
      </c>
      <c r="AD127" s="236" t="str">
        <f>IFERROR(IF(데이터입력!$AE$2="추경",VLOOKUP($A127,보수일람표!$A:$M,6,FALSE),""),"")</f>
        <v/>
      </c>
      <c r="AE127" s="236" t="str">
        <f>IFERROR(IF(데이터입력!$AE$2="추경",VLOOKUP($A127,보수일람표!$A:$M,7,FALSE),""),"")</f>
        <v>직접</v>
      </c>
      <c r="AF127" s="236"/>
      <c r="AG127" s="237">
        <f>IFERROR(IF(데이터입력!$AE$2="추경",VLOOKUP($A127,보수일람표!$A:$M,9,FALSE),""),"")</f>
        <v>0</v>
      </c>
      <c r="AH127" s="237">
        <f>IFERROR(IF(데이터입력!$AE$2="추경",VLOOKUP($A127,보수일람표!$A:$M,10,FALSE),""),"")</f>
        <v>0</v>
      </c>
      <c r="AI127" s="237">
        <f>IFERROR(IF(데이터입력!$AE$2="추경",VLOOKUP($A127,보수일람표!$A:$M,11,FALSE),""),"")</f>
        <v>0</v>
      </c>
      <c r="AJ127" s="237">
        <f>IFERROR(IF(데이터입력!$AE$2="추경",VLOOKUP($A127,보수일람표!$A:$M,12,FALSE),""),"")</f>
        <v>0</v>
      </c>
      <c r="AK127" s="237">
        <f>IFERROR(IF(데이터입력!$AE$2="추경",VLOOKUP($A127,보수일람표!$A:$M,13,FALSE),""),"")</f>
        <v>0</v>
      </c>
    </row>
    <row r="128" spans="1:37">
      <c r="A128" s="233">
        <v>126</v>
      </c>
      <c r="B128" s="719" t="str">
        <f>IFERROR(IF(F128="06",데이터입력!$AB$8,IF(F128="07",데이터입력!$AD$8,IF(F128="05",데이터입력!$AF$8,데이터입력!$AB$8))),데이터입력!$AB$8)</f>
        <v>00</v>
      </c>
      <c r="C128" s="720" t="str">
        <f>데이터입력!$AC$9</f>
        <v>일반사업[일반]</v>
      </c>
      <c r="D128" s="721" t="str">
        <f>IFERROR(IF(AND(데이터입력!$AE$2="추경",데이터입력!$AM$2=TRUE),VLOOKUP($A128,데이터입력!$A:$H,4,FALSE),""),"")</f>
        <v/>
      </c>
      <c r="E128" s="721" t="str">
        <f>IFERROR(IF(AND(데이터입력!$AE$2="추경",데이터입력!$AM$2=TRUE),VLOOKUP($A128,데이터입력!$A:$H,2,FALSE),""),"")</f>
        <v/>
      </c>
      <c r="F128" s="721" t="str">
        <f>IFERROR(IF(AND(데이터입력!$AE$2="추경",데이터입력!$AM$2=TRUE),VLOOKUP($A128,데이터입력!$A:$H,5,FALSE),""),"")</f>
        <v/>
      </c>
      <c r="G128" s="721" t="str">
        <f>IFERROR(IF(AND(데이터입력!$AE$2="추경",데이터입력!$AM$2=TRUE),VLOOKUP($A128,데이터입력!$A:$H,6,FALSE),""),"")</f>
        <v/>
      </c>
      <c r="H128" s="722" t="str">
        <f>IFERROR(IF(AND(데이터입력!$AE$2="추경",데이터입력!$AM$2=TRUE),VLOOKUP($A128,데이터입력!$A:$L,7,FALSE),""),"")</f>
        <v/>
      </c>
      <c r="I128" s="722" t="str">
        <f>IFERROR(IF(AND(데이터입력!$AE$2="추경",데이터입력!$AM$2=TRUE),VLOOKUP($A128,데이터입력!$A:$L,8,FALSE)+VLOOKUP($A128,데이터입력!$A:$L,9,FALSE)+VLOOKUP($A128,데이터입력!$A:$L,10,FALSE),""),"")</f>
        <v/>
      </c>
      <c r="J128" s="723" t="s">
        <v>136</v>
      </c>
      <c r="K128" s="723" t="s">
        <v>136</v>
      </c>
      <c r="L128" s="723" t="s">
        <v>136</v>
      </c>
      <c r="M128" s="715"/>
      <c r="N128" s="233">
        <v>326</v>
      </c>
      <c r="O128" s="727" t="str">
        <f>IFERROR(IF(S128="06",데이터입력!$AB$8,IF(S128="07",데이터입력!$AD$8,IF(S128="05",데이터입력!$AF$8,데이터입력!$AB$8))),데이터입력!$AB$8)</f>
        <v>00</v>
      </c>
      <c r="P128" s="728" t="str">
        <f>데이터입력!$AC$9</f>
        <v>일반사업[일반]</v>
      </c>
      <c r="Q128" s="729" t="str">
        <f>IFERROR(IF(데이터입력!$AE$2="추경",VLOOKUP($N128,데이터입력!$A:$H,4,FALSE),""),"")</f>
        <v/>
      </c>
      <c r="R128" s="729" t="str">
        <f>IFERROR(IF(데이터입력!$AE$2="추경",VLOOKUP($N128,데이터입력!$A:$H,2,FALSE),""),"")</f>
        <v/>
      </c>
      <c r="S128" s="729" t="str">
        <f>IFERROR(IF(데이터입력!$AE$2="추경",VLOOKUP($N128,데이터입력!$A:$H,5,FALSE),""),"")</f>
        <v/>
      </c>
      <c r="T128" s="729" t="str">
        <f>IFERROR(IF(데이터입력!$AE$2="추경",VLOOKUP($N128,데이터입력!$A:$H,6,FALSE),""),"")</f>
        <v/>
      </c>
      <c r="U128" s="730" t="str">
        <f>IFERROR(IF(데이터입력!$AE$2="추경",VLOOKUP($N128,데이터입력!$A:$L,8,FALSE)+VLOOKUP($N128,데이터입력!$A:$L,9,FALSE)+VLOOKUP($N128,데이터입력!$A:$L,10,FALSE),""),"")</f>
        <v/>
      </c>
      <c r="V128" s="731" t="s">
        <v>136</v>
      </c>
      <c r="W128" s="731" t="s">
        <v>136</v>
      </c>
      <c r="X128" s="731" t="s">
        <v>136</v>
      </c>
      <c r="Y128" s="712"/>
      <c r="Z128" s="235" t="str">
        <f>데이터입력!$AB$8</f>
        <v>00</v>
      </c>
      <c r="AA128" s="238" t="str">
        <f>데이터입력!$AC$9</f>
        <v>일반사업[일반]</v>
      </c>
      <c r="AB128" s="236" t="str">
        <f>IFERROR(IF(데이터입력!$AE$2="추경",VLOOKUP($A128,보수일람표!$A:$M,4,FALSE),""),"")</f>
        <v/>
      </c>
      <c r="AC128" s="236" t="str">
        <f>IFERROR(IF(데이터입력!$AE$2="추경",VLOOKUP($A128,보수일람표!$A:$M,5,FALSE),""),"")</f>
        <v/>
      </c>
      <c r="AD128" s="236" t="str">
        <f>IFERROR(IF(데이터입력!$AE$2="추경",VLOOKUP($A128,보수일람표!$A:$M,6,FALSE),""),"")</f>
        <v/>
      </c>
      <c r="AE128" s="236" t="str">
        <f>IFERROR(IF(데이터입력!$AE$2="추경",VLOOKUP($A128,보수일람표!$A:$M,7,FALSE),""),"")</f>
        <v>직접</v>
      </c>
      <c r="AF128" s="236"/>
      <c r="AG128" s="237">
        <f>IFERROR(IF(데이터입력!$AE$2="추경",VLOOKUP($A128,보수일람표!$A:$M,9,FALSE),""),"")</f>
        <v>0</v>
      </c>
      <c r="AH128" s="237">
        <f>IFERROR(IF(데이터입력!$AE$2="추경",VLOOKUP($A128,보수일람표!$A:$M,10,FALSE),""),"")</f>
        <v>0</v>
      </c>
      <c r="AI128" s="237">
        <f>IFERROR(IF(데이터입력!$AE$2="추경",VLOOKUP($A128,보수일람표!$A:$M,11,FALSE),""),"")</f>
        <v>0</v>
      </c>
      <c r="AJ128" s="237">
        <f>IFERROR(IF(데이터입력!$AE$2="추경",VLOOKUP($A128,보수일람표!$A:$M,12,FALSE),""),"")</f>
        <v>0</v>
      </c>
      <c r="AK128" s="237">
        <f>IFERROR(IF(데이터입력!$AE$2="추경",VLOOKUP($A128,보수일람표!$A:$M,13,FALSE),""),"")</f>
        <v>0</v>
      </c>
    </row>
    <row r="129" spans="1:37">
      <c r="A129" s="233">
        <v>127</v>
      </c>
      <c r="B129" s="719" t="str">
        <f>IFERROR(IF(F129="06",데이터입력!$AB$8,IF(F129="07",데이터입력!$AD$8,IF(F129="05",데이터입력!$AF$8,데이터입력!$AB$8))),데이터입력!$AB$8)</f>
        <v>00</v>
      </c>
      <c r="C129" s="720" t="str">
        <f>데이터입력!$AC$9</f>
        <v>일반사업[일반]</v>
      </c>
      <c r="D129" s="721" t="str">
        <f>IFERROR(IF(AND(데이터입력!$AE$2="추경",데이터입력!$AM$2=TRUE),VLOOKUP($A129,데이터입력!$A:$H,4,FALSE),""),"")</f>
        <v/>
      </c>
      <c r="E129" s="721" t="str">
        <f>IFERROR(IF(AND(데이터입력!$AE$2="추경",데이터입력!$AM$2=TRUE),VLOOKUP($A129,데이터입력!$A:$H,2,FALSE),""),"")</f>
        <v/>
      </c>
      <c r="F129" s="721" t="str">
        <f>IFERROR(IF(AND(데이터입력!$AE$2="추경",데이터입력!$AM$2=TRUE),VLOOKUP($A129,데이터입력!$A:$H,5,FALSE),""),"")</f>
        <v/>
      </c>
      <c r="G129" s="721" t="str">
        <f>IFERROR(IF(AND(데이터입력!$AE$2="추경",데이터입력!$AM$2=TRUE),VLOOKUP($A129,데이터입력!$A:$H,6,FALSE),""),"")</f>
        <v/>
      </c>
      <c r="H129" s="722" t="str">
        <f>IFERROR(IF(AND(데이터입력!$AE$2="추경",데이터입력!$AM$2=TRUE),VLOOKUP($A129,데이터입력!$A:$L,7,FALSE),""),"")</f>
        <v/>
      </c>
      <c r="I129" s="722" t="str">
        <f>IFERROR(IF(AND(데이터입력!$AE$2="추경",데이터입력!$AM$2=TRUE),VLOOKUP($A129,데이터입력!$A:$L,8,FALSE)+VLOOKUP($A129,데이터입력!$A:$L,9,FALSE)+VLOOKUP($A129,데이터입력!$A:$L,10,FALSE),""),"")</f>
        <v/>
      </c>
      <c r="J129" s="723" t="s">
        <v>136</v>
      </c>
      <c r="K129" s="723" t="s">
        <v>136</v>
      </c>
      <c r="L129" s="723" t="s">
        <v>136</v>
      </c>
      <c r="M129" s="715"/>
      <c r="N129" s="233">
        <v>327</v>
      </c>
      <c r="O129" s="727" t="str">
        <f>IFERROR(IF(S129="06",데이터입력!$AB$8,IF(S129="07",데이터입력!$AD$8,IF(S129="05",데이터입력!$AF$8,데이터입력!$AB$8))),데이터입력!$AB$8)</f>
        <v>00</v>
      </c>
      <c r="P129" s="728" t="str">
        <f>데이터입력!$AC$9</f>
        <v>일반사업[일반]</v>
      </c>
      <c r="Q129" s="729" t="str">
        <f>IFERROR(IF(데이터입력!$AE$2="추경",VLOOKUP($N129,데이터입력!$A:$H,4,FALSE),""),"")</f>
        <v/>
      </c>
      <c r="R129" s="729" t="str">
        <f>IFERROR(IF(데이터입력!$AE$2="추경",VLOOKUP($N129,데이터입력!$A:$H,2,FALSE),""),"")</f>
        <v/>
      </c>
      <c r="S129" s="729" t="str">
        <f>IFERROR(IF(데이터입력!$AE$2="추경",VLOOKUP($N129,데이터입력!$A:$H,5,FALSE),""),"")</f>
        <v/>
      </c>
      <c r="T129" s="729" t="str">
        <f>IFERROR(IF(데이터입력!$AE$2="추경",VLOOKUP($N129,데이터입력!$A:$H,6,FALSE),""),"")</f>
        <v/>
      </c>
      <c r="U129" s="730" t="str">
        <f>IFERROR(IF(데이터입력!$AE$2="추경",VLOOKUP($N129,데이터입력!$A:$L,8,FALSE)+VLOOKUP($N129,데이터입력!$A:$L,9,FALSE)+VLOOKUP($N129,데이터입력!$A:$L,10,FALSE),""),"")</f>
        <v/>
      </c>
      <c r="V129" s="731" t="s">
        <v>136</v>
      </c>
      <c r="W129" s="731" t="s">
        <v>136</v>
      </c>
      <c r="X129" s="731" t="s">
        <v>136</v>
      </c>
      <c r="Y129" s="712"/>
      <c r="Z129" s="235" t="str">
        <f>데이터입력!$AB$8</f>
        <v>00</v>
      </c>
      <c r="AA129" s="238" t="str">
        <f>데이터입력!$AC$9</f>
        <v>일반사업[일반]</v>
      </c>
      <c r="AB129" s="236" t="str">
        <f>IFERROR(IF(데이터입력!$AE$2="추경",VLOOKUP($A129,보수일람표!$A:$M,4,FALSE),""),"")</f>
        <v/>
      </c>
      <c r="AC129" s="236" t="str">
        <f>IFERROR(IF(데이터입력!$AE$2="추경",VLOOKUP($A129,보수일람표!$A:$M,5,FALSE),""),"")</f>
        <v/>
      </c>
      <c r="AD129" s="236" t="str">
        <f>IFERROR(IF(데이터입력!$AE$2="추경",VLOOKUP($A129,보수일람표!$A:$M,6,FALSE),""),"")</f>
        <v/>
      </c>
      <c r="AE129" s="236" t="str">
        <f>IFERROR(IF(데이터입력!$AE$2="추경",VLOOKUP($A129,보수일람표!$A:$M,7,FALSE),""),"")</f>
        <v>직접</v>
      </c>
      <c r="AF129" s="236"/>
      <c r="AG129" s="237">
        <f>IFERROR(IF(데이터입력!$AE$2="추경",VLOOKUP($A129,보수일람표!$A:$M,9,FALSE),""),"")</f>
        <v>0</v>
      </c>
      <c r="AH129" s="237">
        <f>IFERROR(IF(데이터입력!$AE$2="추경",VLOOKUP($A129,보수일람표!$A:$M,10,FALSE),""),"")</f>
        <v>0</v>
      </c>
      <c r="AI129" s="237">
        <f>IFERROR(IF(데이터입력!$AE$2="추경",VLOOKUP($A129,보수일람표!$A:$M,11,FALSE),""),"")</f>
        <v>0</v>
      </c>
      <c r="AJ129" s="237">
        <f>IFERROR(IF(데이터입력!$AE$2="추경",VLOOKUP($A129,보수일람표!$A:$M,12,FALSE),""),"")</f>
        <v>0</v>
      </c>
      <c r="AK129" s="237">
        <f>IFERROR(IF(데이터입력!$AE$2="추경",VLOOKUP($A129,보수일람표!$A:$M,13,FALSE),""),"")</f>
        <v>0</v>
      </c>
    </row>
    <row r="130" spans="1:37">
      <c r="A130" s="233">
        <v>128</v>
      </c>
      <c r="B130" s="719" t="str">
        <f>IFERROR(IF(F130="06",데이터입력!$AB$8,IF(F130="07",데이터입력!$AD$8,IF(F130="05",데이터입력!$AF$8,데이터입력!$AB$8))),데이터입력!$AB$8)</f>
        <v>00</v>
      </c>
      <c r="C130" s="720" t="str">
        <f>데이터입력!$AC$9</f>
        <v>일반사업[일반]</v>
      </c>
      <c r="D130" s="721" t="str">
        <f>IFERROR(IF(AND(데이터입력!$AE$2="추경",데이터입력!$AM$2=TRUE),VLOOKUP($A130,데이터입력!$A:$H,4,FALSE),""),"")</f>
        <v/>
      </c>
      <c r="E130" s="721" t="str">
        <f>IFERROR(IF(AND(데이터입력!$AE$2="추경",데이터입력!$AM$2=TRUE),VLOOKUP($A130,데이터입력!$A:$H,2,FALSE),""),"")</f>
        <v/>
      </c>
      <c r="F130" s="721" t="str">
        <f>IFERROR(IF(AND(데이터입력!$AE$2="추경",데이터입력!$AM$2=TRUE),VLOOKUP($A130,데이터입력!$A:$H,5,FALSE),""),"")</f>
        <v/>
      </c>
      <c r="G130" s="721" t="str">
        <f>IFERROR(IF(AND(데이터입력!$AE$2="추경",데이터입력!$AM$2=TRUE),VLOOKUP($A130,데이터입력!$A:$H,6,FALSE),""),"")</f>
        <v/>
      </c>
      <c r="H130" s="722" t="str">
        <f>IFERROR(IF(AND(데이터입력!$AE$2="추경",데이터입력!$AM$2=TRUE),VLOOKUP($A130,데이터입력!$A:$L,7,FALSE),""),"")</f>
        <v/>
      </c>
      <c r="I130" s="722" t="str">
        <f>IFERROR(IF(AND(데이터입력!$AE$2="추경",데이터입력!$AM$2=TRUE),VLOOKUP($A130,데이터입력!$A:$L,8,FALSE)+VLOOKUP($A130,데이터입력!$A:$L,9,FALSE)+VLOOKUP($A130,데이터입력!$A:$L,10,FALSE),""),"")</f>
        <v/>
      </c>
      <c r="J130" s="723" t="s">
        <v>136</v>
      </c>
      <c r="K130" s="723" t="s">
        <v>136</v>
      </c>
      <c r="L130" s="723" t="s">
        <v>136</v>
      </c>
      <c r="M130" s="715"/>
      <c r="N130" s="233">
        <v>328</v>
      </c>
      <c r="O130" s="727" t="str">
        <f>IFERROR(IF(S130="06",데이터입력!$AB$8,IF(S130="07",데이터입력!$AD$8,IF(S130="05",데이터입력!$AF$8,데이터입력!$AB$8))),데이터입력!$AB$8)</f>
        <v>00</v>
      </c>
      <c r="P130" s="728" t="str">
        <f>데이터입력!$AC$9</f>
        <v>일반사업[일반]</v>
      </c>
      <c r="Q130" s="729" t="str">
        <f>IFERROR(IF(데이터입력!$AE$2="추경",VLOOKUP($N130,데이터입력!$A:$H,4,FALSE),""),"")</f>
        <v/>
      </c>
      <c r="R130" s="729" t="str">
        <f>IFERROR(IF(데이터입력!$AE$2="추경",VLOOKUP($N130,데이터입력!$A:$H,2,FALSE),""),"")</f>
        <v/>
      </c>
      <c r="S130" s="729" t="str">
        <f>IFERROR(IF(데이터입력!$AE$2="추경",VLOOKUP($N130,데이터입력!$A:$H,5,FALSE),""),"")</f>
        <v/>
      </c>
      <c r="T130" s="729" t="str">
        <f>IFERROR(IF(데이터입력!$AE$2="추경",VLOOKUP($N130,데이터입력!$A:$H,6,FALSE),""),"")</f>
        <v/>
      </c>
      <c r="U130" s="730" t="str">
        <f>IFERROR(IF(데이터입력!$AE$2="추경",VLOOKUP($N130,데이터입력!$A:$L,8,FALSE)+VLOOKUP($N130,데이터입력!$A:$L,9,FALSE)+VLOOKUP($N130,데이터입력!$A:$L,10,FALSE),""),"")</f>
        <v/>
      </c>
      <c r="V130" s="731" t="s">
        <v>136</v>
      </c>
      <c r="W130" s="731" t="s">
        <v>136</v>
      </c>
      <c r="X130" s="731" t="s">
        <v>136</v>
      </c>
      <c r="Y130" s="712"/>
      <c r="Z130" s="235" t="str">
        <f>데이터입력!$AB$8</f>
        <v>00</v>
      </c>
      <c r="AA130" s="238" t="str">
        <f>데이터입력!$AC$9</f>
        <v>일반사업[일반]</v>
      </c>
      <c r="AB130" s="236" t="str">
        <f>IFERROR(IF(데이터입력!$AE$2="추경",VLOOKUP($A130,보수일람표!$A:$M,4,FALSE),""),"")</f>
        <v/>
      </c>
      <c r="AC130" s="236" t="str">
        <f>IFERROR(IF(데이터입력!$AE$2="추경",VLOOKUP($A130,보수일람표!$A:$M,5,FALSE),""),"")</f>
        <v/>
      </c>
      <c r="AD130" s="236" t="str">
        <f>IFERROR(IF(데이터입력!$AE$2="추경",VLOOKUP($A130,보수일람표!$A:$M,6,FALSE),""),"")</f>
        <v/>
      </c>
      <c r="AE130" s="236" t="str">
        <f>IFERROR(IF(데이터입력!$AE$2="추경",VLOOKUP($A130,보수일람표!$A:$M,7,FALSE),""),"")</f>
        <v>직접</v>
      </c>
      <c r="AF130" s="236"/>
      <c r="AG130" s="237">
        <f>IFERROR(IF(데이터입력!$AE$2="추경",VLOOKUP($A130,보수일람표!$A:$M,9,FALSE),""),"")</f>
        <v>0</v>
      </c>
      <c r="AH130" s="237">
        <f>IFERROR(IF(데이터입력!$AE$2="추경",VLOOKUP($A130,보수일람표!$A:$M,10,FALSE),""),"")</f>
        <v>0</v>
      </c>
      <c r="AI130" s="237">
        <f>IFERROR(IF(데이터입력!$AE$2="추경",VLOOKUP($A130,보수일람표!$A:$M,11,FALSE),""),"")</f>
        <v>0</v>
      </c>
      <c r="AJ130" s="237">
        <f>IFERROR(IF(데이터입력!$AE$2="추경",VLOOKUP($A130,보수일람표!$A:$M,12,FALSE),""),"")</f>
        <v>0</v>
      </c>
      <c r="AK130" s="237">
        <f>IFERROR(IF(데이터입력!$AE$2="추경",VLOOKUP($A130,보수일람표!$A:$M,13,FALSE),""),"")</f>
        <v>0</v>
      </c>
    </row>
    <row r="131" spans="1:37">
      <c r="A131" s="233">
        <v>129</v>
      </c>
      <c r="B131" s="719" t="str">
        <f>IFERROR(IF(F131="06",데이터입력!$AB$8,IF(F131="07",데이터입력!$AD$8,IF(F131="05",데이터입력!$AF$8,데이터입력!$AB$8))),데이터입력!$AB$8)</f>
        <v>00</v>
      </c>
      <c r="C131" s="720" t="str">
        <f>데이터입력!$AC$9</f>
        <v>일반사업[일반]</v>
      </c>
      <c r="D131" s="721" t="str">
        <f>IFERROR(IF(AND(데이터입력!$AE$2="추경",데이터입력!$AM$2=TRUE),VLOOKUP($A131,데이터입력!$A:$H,4,FALSE),""),"")</f>
        <v/>
      </c>
      <c r="E131" s="721" t="str">
        <f>IFERROR(IF(AND(데이터입력!$AE$2="추경",데이터입력!$AM$2=TRUE),VLOOKUP($A131,데이터입력!$A:$H,2,FALSE),""),"")</f>
        <v/>
      </c>
      <c r="F131" s="721" t="str">
        <f>IFERROR(IF(AND(데이터입력!$AE$2="추경",데이터입력!$AM$2=TRUE),VLOOKUP($A131,데이터입력!$A:$H,5,FALSE),""),"")</f>
        <v/>
      </c>
      <c r="G131" s="721" t="str">
        <f>IFERROR(IF(AND(데이터입력!$AE$2="추경",데이터입력!$AM$2=TRUE),VLOOKUP($A131,데이터입력!$A:$H,6,FALSE),""),"")</f>
        <v/>
      </c>
      <c r="H131" s="722" t="str">
        <f>IFERROR(IF(AND(데이터입력!$AE$2="추경",데이터입력!$AM$2=TRUE),VLOOKUP($A131,데이터입력!$A:$L,7,FALSE),""),"")</f>
        <v/>
      </c>
      <c r="I131" s="722" t="str">
        <f>IFERROR(IF(AND(데이터입력!$AE$2="추경",데이터입력!$AM$2=TRUE),VLOOKUP($A131,데이터입력!$A:$L,8,FALSE)+VLOOKUP($A131,데이터입력!$A:$L,9,FALSE)+VLOOKUP($A131,데이터입력!$A:$L,10,FALSE),""),"")</f>
        <v/>
      </c>
      <c r="J131" s="723" t="s">
        <v>136</v>
      </c>
      <c r="K131" s="723" t="s">
        <v>136</v>
      </c>
      <c r="L131" s="723" t="s">
        <v>136</v>
      </c>
      <c r="M131" s="715"/>
      <c r="N131" s="233">
        <v>329</v>
      </c>
      <c r="O131" s="727" t="str">
        <f>IFERROR(IF(S131="06",데이터입력!$AB$8,IF(S131="07",데이터입력!$AD$8,IF(S131="05",데이터입력!$AF$8,데이터입력!$AB$8))),데이터입력!$AB$8)</f>
        <v>00</v>
      </c>
      <c r="P131" s="728" t="str">
        <f>데이터입력!$AC$9</f>
        <v>일반사업[일반]</v>
      </c>
      <c r="Q131" s="729" t="str">
        <f>IFERROR(IF(데이터입력!$AE$2="추경",VLOOKUP($N131,데이터입력!$A:$H,4,FALSE),""),"")</f>
        <v/>
      </c>
      <c r="R131" s="729" t="str">
        <f>IFERROR(IF(데이터입력!$AE$2="추경",VLOOKUP($N131,데이터입력!$A:$H,2,FALSE),""),"")</f>
        <v/>
      </c>
      <c r="S131" s="729" t="str">
        <f>IFERROR(IF(데이터입력!$AE$2="추경",VLOOKUP($N131,데이터입력!$A:$H,5,FALSE),""),"")</f>
        <v/>
      </c>
      <c r="T131" s="729" t="str">
        <f>IFERROR(IF(데이터입력!$AE$2="추경",VLOOKUP($N131,데이터입력!$A:$H,6,FALSE),""),"")</f>
        <v/>
      </c>
      <c r="U131" s="730" t="str">
        <f>IFERROR(IF(데이터입력!$AE$2="추경",VLOOKUP($N131,데이터입력!$A:$L,8,FALSE)+VLOOKUP($N131,데이터입력!$A:$L,9,FALSE)+VLOOKUP($N131,데이터입력!$A:$L,10,FALSE),""),"")</f>
        <v/>
      </c>
      <c r="V131" s="731" t="s">
        <v>136</v>
      </c>
      <c r="W131" s="731" t="s">
        <v>136</v>
      </c>
      <c r="X131" s="731" t="s">
        <v>136</v>
      </c>
      <c r="Y131" s="712"/>
      <c r="Z131" s="235" t="str">
        <f>데이터입력!$AB$8</f>
        <v>00</v>
      </c>
      <c r="AA131" s="238" t="str">
        <f>데이터입력!$AC$9</f>
        <v>일반사업[일반]</v>
      </c>
      <c r="AB131" s="236" t="str">
        <f>IFERROR(IF(데이터입력!$AE$2="추경",VLOOKUP($A131,보수일람표!$A:$M,4,FALSE),""),"")</f>
        <v/>
      </c>
      <c r="AC131" s="236" t="str">
        <f>IFERROR(IF(데이터입력!$AE$2="추경",VLOOKUP($A131,보수일람표!$A:$M,5,FALSE),""),"")</f>
        <v/>
      </c>
      <c r="AD131" s="236" t="str">
        <f>IFERROR(IF(데이터입력!$AE$2="추경",VLOOKUP($A131,보수일람표!$A:$M,6,FALSE),""),"")</f>
        <v/>
      </c>
      <c r="AE131" s="236" t="str">
        <f>IFERROR(IF(데이터입력!$AE$2="추경",VLOOKUP($A131,보수일람표!$A:$M,7,FALSE),""),"")</f>
        <v>직접</v>
      </c>
      <c r="AF131" s="236"/>
      <c r="AG131" s="237">
        <f>IFERROR(IF(데이터입력!$AE$2="추경",VLOOKUP($A131,보수일람표!$A:$M,9,FALSE),""),"")</f>
        <v>0</v>
      </c>
      <c r="AH131" s="237">
        <f>IFERROR(IF(데이터입력!$AE$2="추경",VLOOKUP($A131,보수일람표!$A:$M,10,FALSE),""),"")</f>
        <v>0</v>
      </c>
      <c r="AI131" s="237">
        <f>IFERROR(IF(데이터입력!$AE$2="추경",VLOOKUP($A131,보수일람표!$A:$M,11,FALSE),""),"")</f>
        <v>0</v>
      </c>
      <c r="AJ131" s="237">
        <f>IFERROR(IF(데이터입력!$AE$2="추경",VLOOKUP($A131,보수일람표!$A:$M,12,FALSE),""),"")</f>
        <v>0</v>
      </c>
      <c r="AK131" s="237">
        <f>IFERROR(IF(데이터입력!$AE$2="추경",VLOOKUP($A131,보수일람표!$A:$M,13,FALSE),""),"")</f>
        <v>0</v>
      </c>
    </row>
    <row r="132" spans="1:37">
      <c r="A132" s="233">
        <v>130</v>
      </c>
      <c r="B132" s="719" t="str">
        <f>IFERROR(IF(F132="06",데이터입력!$AB$8,IF(F132="07",데이터입력!$AD$8,IF(F132="05",데이터입력!$AF$8,데이터입력!$AB$8))),데이터입력!$AB$8)</f>
        <v>00</v>
      </c>
      <c r="C132" s="720" t="str">
        <f>데이터입력!$AC$9</f>
        <v>일반사업[일반]</v>
      </c>
      <c r="D132" s="721" t="str">
        <f>IFERROR(IF(AND(데이터입력!$AE$2="추경",데이터입력!$AM$2=TRUE),VLOOKUP($A132,데이터입력!$A:$H,4,FALSE),""),"")</f>
        <v/>
      </c>
      <c r="E132" s="721" t="str">
        <f>IFERROR(IF(AND(데이터입력!$AE$2="추경",데이터입력!$AM$2=TRUE),VLOOKUP($A132,데이터입력!$A:$H,2,FALSE),""),"")</f>
        <v/>
      </c>
      <c r="F132" s="721" t="str">
        <f>IFERROR(IF(AND(데이터입력!$AE$2="추경",데이터입력!$AM$2=TRUE),VLOOKUP($A132,데이터입력!$A:$H,5,FALSE),""),"")</f>
        <v/>
      </c>
      <c r="G132" s="721" t="str">
        <f>IFERROR(IF(AND(데이터입력!$AE$2="추경",데이터입력!$AM$2=TRUE),VLOOKUP($A132,데이터입력!$A:$H,6,FALSE),""),"")</f>
        <v/>
      </c>
      <c r="H132" s="722" t="str">
        <f>IFERROR(IF(AND(데이터입력!$AE$2="추경",데이터입력!$AM$2=TRUE),VLOOKUP($A132,데이터입력!$A:$L,7,FALSE),""),"")</f>
        <v/>
      </c>
      <c r="I132" s="722" t="str">
        <f>IFERROR(IF(AND(데이터입력!$AE$2="추경",데이터입력!$AM$2=TRUE),VLOOKUP($A132,데이터입력!$A:$L,8,FALSE)+VLOOKUP($A132,데이터입력!$A:$L,9,FALSE)+VLOOKUP($A132,데이터입력!$A:$L,10,FALSE),""),"")</f>
        <v/>
      </c>
      <c r="J132" s="723" t="s">
        <v>136</v>
      </c>
      <c r="K132" s="723" t="s">
        <v>136</v>
      </c>
      <c r="L132" s="723" t="s">
        <v>136</v>
      </c>
      <c r="M132" s="715"/>
      <c r="N132" s="233">
        <v>330</v>
      </c>
      <c r="O132" s="727" t="str">
        <f>IFERROR(IF(S132="06",데이터입력!$AB$8,IF(S132="07",데이터입력!$AD$8,IF(S132="05",데이터입력!$AF$8,데이터입력!$AB$8))),데이터입력!$AB$8)</f>
        <v>00</v>
      </c>
      <c r="P132" s="728" t="str">
        <f>데이터입력!$AC$9</f>
        <v>일반사업[일반]</v>
      </c>
      <c r="Q132" s="729" t="str">
        <f>IFERROR(IF(데이터입력!$AE$2="추경",VLOOKUP($N132,데이터입력!$A:$H,4,FALSE),""),"")</f>
        <v/>
      </c>
      <c r="R132" s="729" t="str">
        <f>IFERROR(IF(데이터입력!$AE$2="추경",VLOOKUP($N132,데이터입력!$A:$H,2,FALSE),""),"")</f>
        <v/>
      </c>
      <c r="S132" s="729" t="str">
        <f>IFERROR(IF(데이터입력!$AE$2="추경",VLOOKUP($N132,데이터입력!$A:$H,5,FALSE),""),"")</f>
        <v/>
      </c>
      <c r="T132" s="729" t="str">
        <f>IFERROR(IF(데이터입력!$AE$2="추경",VLOOKUP($N132,데이터입력!$A:$H,6,FALSE),""),"")</f>
        <v/>
      </c>
      <c r="U132" s="730" t="str">
        <f>IFERROR(IF(데이터입력!$AE$2="추경",VLOOKUP($N132,데이터입력!$A:$L,8,FALSE)+VLOOKUP($N132,데이터입력!$A:$L,9,FALSE)+VLOOKUP($N132,데이터입력!$A:$L,10,FALSE),""),"")</f>
        <v/>
      </c>
      <c r="V132" s="731" t="s">
        <v>136</v>
      </c>
      <c r="W132" s="731" t="s">
        <v>136</v>
      </c>
      <c r="X132" s="731" t="s">
        <v>136</v>
      </c>
      <c r="Y132" s="712"/>
      <c r="Z132" s="235" t="str">
        <f>데이터입력!$AB$8</f>
        <v>00</v>
      </c>
      <c r="AA132" s="238" t="str">
        <f>데이터입력!$AC$9</f>
        <v>일반사업[일반]</v>
      </c>
      <c r="AB132" s="236" t="str">
        <f>IFERROR(IF(데이터입력!$AE$2="추경",VLOOKUP($A132,보수일람표!$A:$M,4,FALSE),""),"")</f>
        <v/>
      </c>
      <c r="AC132" s="236" t="str">
        <f>IFERROR(IF(데이터입력!$AE$2="추경",VLOOKUP($A132,보수일람표!$A:$M,5,FALSE),""),"")</f>
        <v/>
      </c>
      <c r="AD132" s="236" t="str">
        <f>IFERROR(IF(데이터입력!$AE$2="추경",VLOOKUP($A132,보수일람표!$A:$M,6,FALSE),""),"")</f>
        <v/>
      </c>
      <c r="AE132" s="236" t="str">
        <f>IFERROR(IF(데이터입력!$AE$2="추경",VLOOKUP($A132,보수일람표!$A:$M,7,FALSE),""),"")</f>
        <v>직접</v>
      </c>
      <c r="AF132" s="236"/>
      <c r="AG132" s="237">
        <f>IFERROR(IF(데이터입력!$AE$2="추경",VLOOKUP($A132,보수일람표!$A:$M,9,FALSE),""),"")</f>
        <v>0</v>
      </c>
      <c r="AH132" s="237">
        <f>IFERROR(IF(데이터입력!$AE$2="추경",VLOOKUP($A132,보수일람표!$A:$M,10,FALSE),""),"")</f>
        <v>0</v>
      </c>
      <c r="AI132" s="237">
        <f>IFERROR(IF(데이터입력!$AE$2="추경",VLOOKUP($A132,보수일람표!$A:$M,11,FALSE),""),"")</f>
        <v>0</v>
      </c>
      <c r="AJ132" s="237">
        <f>IFERROR(IF(데이터입력!$AE$2="추경",VLOOKUP($A132,보수일람표!$A:$M,12,FALSE),""),"")</f>
        <v>0</v>
      </c>
      <c r="AK132" s="237">
        <f>IFERROR(IF(데이터입력!$AE$2="추경",VLOOKUP($A132,보수일람표!$A:$M,13,FALSE),""),"")</f>
        <v>0</v>
      </c>
    </row>
    <row r="133" spans="1:37">
      <c r="A133" s="233">
        <v>131</v>
      </c>
      <c r="B133" s="719" t="str">
        <f>IFERROR(IF(F133="06",데이터입력!$AB$8,IF(F133="07",데이터입력!$AD$8,IF(F133="05",데이터입력!$AF$8,데이터입력!$AB$8))),데이터입력!$AB$8)</f>
        <v>00</v>
      </c>
      <c r="C133" s="720" t="str">
        <f>데이터입력!$AC$9</f>
        <v>일반사업[일반]</v>
      </c>
      <c r="D133" s="721" t="str">
        <f>IFERROR(IF(AND(데이터입력!$AE$2="추경",데이터입력!$AM$2=TRUE),VLOOKUP($A133,데이터입력!$A:$H,4,FALSE),""),"")</f>
        <v/>
      </c>
      <c r="E133" s="721" t="str">
        <f>IFERROR(IF(AND(데이터입력!$AE$2="추경",데이터입력!$AM$2=TRUE),VLOOKUP($A133,데이터입력!$A:$H,2,FALSE),""),"")</f>
        <v/>
      </c>
      <c r="F133" s="721" t="str">
        <f>IFERROR(IF(AND(데이터입력!$AE$2="추경",데이터입력!$AM$2=TRUE),VLOOKUP($A133,데이터입력!$A:$H,5,FALSE),""),"")</f>
        <v/>
      </c>
      <c r="G133" s="721" t="str">
        <f>IFERROR(IF(AND(데이터입력!$AE$2="추경",데이터입력!$AM$2=TRUE),VLOOKUP($A133,데이터입력!$A:$H,6,FALSE),""),"")</f>
        <v/>
      </c>
      <c r="H133" s="722" t="str">
        <f>IFERROR(IF(AND(데이터입력!$AE$2="추경",데이터입력!$AM$2=TRUE),VLOOKUP($A133,데이터입력!$A:$L,7,FALSE),""),"")</f>
        <v/>
      </c>
      <c r="I133" s="722" t="str">
        <f>IFERROR(IF(AND(데이터입력!$AE$2="추경",데이터입력!$AM$2=TRUE),VLOOKUP($A133,데이터입력!$A:$L,8,FALSE)+VLOOKUP($A133,데이터입력!$A:$L,9,FALSE)+VLOOKUP($A133,데이터입력!$A:$L,10,FALSE),""),"")</f>
        <v/>
      </c>
      <c r="J133" s="723" t="s">
        <v>136</v>
      </c>
      <c r="K133" s="723" t="s">
        <v>136</v>
      </c>
      <c r="L133" s="723" t="s">
        <v>136</v>
      </c>
      <c r="M133" s="715"/>
      <c r="N133" s="233">
        <v>331</v>
      </c>
      <c r="O133" s="727" t="str">
        <f>IFERROR(IF(S133="06",데이터입력!$AB$8,IF(S133="07",데이터입력!$AD$8,IF(S133="05",데이터입력!$AF$8,데이터입력!$AB$8))),데이터입력!$AB$8)</f>
        <v>00</v>
      </c>
      <c r="P133" s="728" t="str">
        <f>데이터입력!$AC$9</f>
        <v>일반사업[일반]</v>
      </c>
      <c r="Q133" s="729" t="str">
        <f>IFERROR(IF(데이터입력!$AE$2="추경",VLOOKUP($N133,데이터입력!$A:$H,4,FALSE),""),"")</f>
        <v/>
      </c>
      <c r="R133" s="729" t="str">
        <f>IFERROR(IF(데이터입력!$AE$2="추경",VLOOKUP($N133,데이터입력!$A:$H,2,FALSE),""),"")</f>
        <v/>
      </c>
      <c r="S133" s="729" t="str">
        <f>IFERROR(IF(데이터입력!$AE$2="추경",VLOOKUP($N133,데이터입력!$A:$H,5,FALSE),""),"")</f>
        <v/>
      </c>
      <c r="T133" s="729" t="str">
        <f>IFERROR(IF(데이터입력!$AE$2="추경",VLOOKUP($N133,데이터입력!$A:$H,6,FALSE),""),"")</f>
        <v/>
      </c>
      <c r="U133" s="730" t="str">
        <f>IFERROR(IF(데이터입력!$AE$2="추경",VLOOKUP($N133,데이터입력!$A:$L,8,FALSE)+VLOOKUP($N133,데이터입력!$A:$L,9,FALSE)+VLOOKUP($N133,데이터입력!$A:$L,10,FALSE),""),"")</f>
        <v/>
      </c>
      <c r="V133" s="731" t="s">
        <v>136</v>
      </c>
      <c r="W133" s="731" t="s">
        <v>136</v>
      </c>
      <c r="X133" s="731" t="s">
        <v>136</v>
      </c>
      <c r="Y133" s="712"/>
      <c r="Z133" s="235" t="str">
        <f>데이터입력!$AB$8</f>
        <v>00</v>
      </c>
      <c r="AA133" s="238" t="str">
        <f>데이터입력!$AC$9</f>
        <v>일반사업[일반]</v>
      </c>
      <c r="AB133" s="236" t="str">
        <f>IFERROR(IF(데이터입력!$AE$2="추경",VLOOKUP($A133,보수일람표!$A:$M,4,FALSE),""),"")</f>
        <v/>
      </c>
      <c r="AC133" s="236" t="str">
        <f>IFERROR(IF(데이터입력!$AE$2="추경",VLOOKUP($A133,보수일람표!$A:$M,5,FALSE),""),"")</f>
        <v/>
      </c>
      <c r="AD133" s="236" t="str">
        <f>IFERROR(IF(데이터입력!$AE$2="추경",VLOOKUP($A133,보수일람표!$A:$M,6,FALSE),""),"")</f>
        <v/>
      </c>
      <c r="AE133" s="236" t="str">
        <f>IFERROR(IF(데이터입력!$AE$2="추경",VLOOKUP($A133,보수일람표!$A:$M,7,FALSE),""),"")</f>
        <v>직접</v>
      </c>
      <c r="AF133" s="236"/>
      <c r="AG133" s="237">
        <f>IFERROR(IF(데이터입력!$AE$2="추경",VLOOKUP($A133,보수일람표!$A:$M,9,FALSE),""),"")</f>
        <v>0</v>
      </c>
      <c r="AH133" s="237">
        <f>IFERROR(IF(데이터입력!$AE$2="추경",VLOOKUP($A133,보수일람표!$A:$M,10,FALSE),""),"")</f>
        <v>0</v>
      </c>
      <c r="AI133" s="237">
        <f>IFERROR(IF(데이터입력!$AE$2="추경",VLOOKUP($A133,보수일람표!$A:$M,11,FALSE),""),"")</f>
        <v>0</v>
      </c>
      <c r="AJ133" s="237">
        <f>IFERROR(IF(데이터입력!$AE$2="추경",VLOOKUP($A133,보수일람표!$A:$M,12,FALSE),""),"")</f>
        <v>0</v>
      </c>
      <c r="AK133" s="237">
        <f>IFERROR(IF(데이터입력!$AE$2="추경",VLOOKUP($A133,보수일람표!$A:$M,13,FALSE),""),"")</f>
        <v>0</v>
      </c>
    </row>
    <row r="134" spans="1:37">
      <c r="A134" s="233">
        <v>132</v>
      </c>
      <c r="B134" s="719" t="str">
        <f>IFERROR(IF(F134="06",데이터입력!$AB$8,IF(F134="07",데이터입력!$AD$8,IF(F134="05",데이터입력!$AF$8,데이터입력!$AB$8))),데이터입력!$AB$8)</f>
        <v>00</v>
      </c>
      <c r="C134" s="720" t="str">
        <f>데이터입력!$AC$9</f>
        <v>일반사업[일반]</v>
      </c>
      <c r="D134" s="721" t="str">
        <f>IFERROR(IF(AND(데이터입력!$AE$2="추경",데이터입력!$AM$2=TRUE),VLOOKUP($A134,데이터입력!$A:$H,4,FALSE),""),"")</f>
        <v/>
      </c>
      <c r="E134" s="721" t="str">
        <f>IFERROR(IF(AND(데이터입력!$AE$2="추경",데이터입력!$AM$2=TRUE),VLOOKUP($A134,데이터입력!$A:$H,2,FALSE),""),"")</f>
        <v/>
      </c>
      <c r="F134" s="721" t="str">
        <f>IFERROR(IF(AND(데이터입력!$AE$2="추경",데이터입력!$AM$2=TRUE),VLOOKUP($A134,데이터입력!$A:$H,5,FALSE),""),"")</f>
        <v/>
      </c>
      <c r="G134" s="721" t="str">
        <f>IFERROR(IF(AND(데이터입력!$AE$2="추경",데이터입력!$AM$2=TRUE),VLOOKUP($A134,데이터입력!$A:$H,6,FALSE),""),"")</f>
        <v/>
      </c>
      <c r="H134" s="722" t="str">
        <f>IFERROR(IF(AND(데이터입력!$AE$2="추경",데이터입력!$AM$2=TRUE),VLOOKUP($A134,데이터입력!$A:$L,7,FALSE),""),"")</f>
        <v/>
      </c>
      <c r="I134" s="722" t="str">
        <f>IFERROR(IF(AND(데이터입력!$AE$2="추경",데이터입력!$AM$2=TRUE),VLOOKUP($A134,데이터입력!$A:$L,8,FALSE)+VLOOKUP($A134,데이터입력!$A:$L,9,FALSE)+VLOOKUP($A134,데이터입력!$A:$L,10,FALSE),""),"")</f>
        <v/>
      </c>
      <c r="J134" s="723" t="s">
        <v>136</v>
      </c>
      <c r="K134" s="723" t="s">
        <v>136</v>
      </c>
      <c r="L134" s="723" t="s">
        <v>136</v>
      </c>
      <c r="M134" s="715"/>
      <c r="N134" s="233">
        <v>332</v>
      </c>
      <c r="O134" s="727" t="str">
        <f>IFERROR(IF(S134="06",데이터입력!$AB$8,IF(S134="07",데이터입력!$AD$8,IF(S134="05",데이터입력!$AF$8,데이터입력!$AB$8))),데이터입력!$AB$8)</f>
        <v>00</v>
      </c>
      <c r="P134" s="728" t="str">
        <f>데이터입력!$AC$9</f>
        <v>일반사업[일반]</v>
      </c>
      <c r="Q134" s="729" t="str">
        <f>IFERROR(IF(데이터입력!$AE$2="추경",VLOOKUP($N134,데이터입력!$A:$H,4,FALSE),""),"")</f>
        <v/>
      </c>
      <c r="R134" s="729" t="str">
        <f>IFERROR(IF(데이터입력!$AE$2="추경",VLOOKUP($N134,데이터입력!$A:$H,2,FALSE),""),"")</f>
        <v/>
      </c>
      <c r="S134" s="729" t="str">
        <f>IFERROR(IF(데이터입력!$AE$2="추경",VLOOKUP($N134,데이터입력!$A:$H,5,FALSE),""),"")</f>
        <v/>
      </c>
      <c r="T134" s="729" t="str">
        <f>IFERROR(IF(데이터입력!$AE$2="추경",VLOOKUP($N134,데이터입력!$A:$H,6,FALSE),""),"")</f>
        <v/>
      </c>
      <c r="U134" s="730" t="str">
        <f>IFERROR(IF(데이터입력!$AE$2="추경",VLOOKUP($N134,데이터입력!$A:$L,8,FALSE)+VLOOKUP($N134,데이터입력!$A:$L,9,FALSE)+VLOOKUP($N134,데이터입력!$A:$L,10,FALSE),""),"")</f>
        <v/>
      </c>
      <c r="V134" s="731" t="s">
        <v>136</v>
      </c>
      <c r="W134" s="731" t="s">
        <v>136</v>
      </c>
      <c r="X134" s="731" t="s">
        <v>136</v>
      </c>
      <c r="Y134" s="712"/>
      <c r="Z134" s="235" t="str">
        <f>데이터입력!$AB$8</f>
        <v>00</v>
      </c>
      <c r="AA134" s="238" t="str">
        <f>데이터입력!$AC$9</f>
        <v>일반사업[일반]</v>
      </c>
      <c r="AB134" s="236" t="str">
        <f>IFERROR(IF(데이터입력!$AE$2="추경",VLOOKUP($A134,보수일람표!$A:$M,4,FALSE),""),"")</f>
        <v/>
      </c>
      <c r="AC134" s="236" t="str">
        <f>IFERROR(IF(데이터입력!$AE$2="추경",VLOOKUP($A134,보수일람표!$A:$M,5,FALSE),""),"")</f>
        <v/>
      </c>
      <c r="AD134" s="236" t="str">
        <f>IFERROR(IF(데이터입력!$AE$2="추경",VLOOKUP($A134,보수일람표!$A:$M,6,FALSE),""),"")</f>
        <v/>
      </c>
      <c r="AE134" s="236" t="str">
        <f>IFERROR(IF(데이터입력!$AE$2="추경",VLOOKUP($A134,보수일람표!$A:$M,7,FALSE),""),"")</f>
        <v>직접</v>
      </c>
      <c r="AF134" s="236"/>
      <c r="AG134" s="237">
        <f>IFERROR(IF(데이터입력!$AE$2="추경",VLOOKUP($A134,보수일람표!$A:$M,9,FALSE),""),"")</f>
        <v>0</v>
      </c>
      <c r="AH134" s="237">
        <f>IFERROR(IF(데이터입력!$AE$2="추경",VLOOKUP($A134,보수일람표!$A:$M,10,FALSE),""),"")</f>
        <v>0</v>
      </c>
      <c r="AI134" s="237">
        <f>IFERROR(IF(데이터입력!$AE$2="추경",VLOOKUP($A134,보수일람표!$A:$M,11,FALSE),""),"")</f>
        <v>0</v>
      </c>
      <c r="AJ134" s="237">
        <f>IFERROR(IF(데이터입력!$AE$2="추경",VLOOKUP($A134,보수일람표!$A:$M,12,FALSE),""),"")</f>
        <v>0</v>
      </c>
      <c r="AK134" s="237">
        <f>IFERROR(IF(데이터입력!$AE$2="추경",VLOOKUP($A134,보수일람표!$A:$M,13,FALSE),""),"")</f>
        <v>0</v>
      </c>
    </row>
    <row r="135" spans="1:37">
      <c r="A135" s="233">
        <v>133</v>
      </c>
      <c r="B135" s="719" t="str">
        <f>IFERROR(IF(F135="06",데이터입력!$AB$8,IF(F135="07",데이터입력!$AD$8,IF(F135="05",데이터입력!$AF$8,데이터입력!$AB$8))),데이터입력!$AB$8)</f>
        <v>00</v>
      </c>
      <c r="C135" s="720" t="str">
        <f>데이터입력!$AC$9</f>
        <v>일반사업[일반]</v>
      </c>
      <c r="D135" s="721" t="str">
        <f>IFERROR(IF(AND(데이터입력!$AE$2="추경",데이터입력!$AM$2=TRUE),VLOOKUP($A135,데이터입력!$A:$H,4,FALSE),""),"")</f>
        <v/>
      </c>
      <c r="E135" s="721" t="str">
        <f>IFERROR(IF(AND(데이터입력!$AE$2="추경",데이터입력!$AM$2=TRUE),VLOOKUP($A135,데이터입력!$A:$H,2,FALSE),""),"")</f>
        <v/>
      </c>
      <c r="F135" s="721" t="str">
        <f>IFERROR(IF(AND(데이터입력!$AE$2="추경",데이터입력!$AM$2=TRUE),VLOOKUP($A135,데이터입력!$A:$H,5,FALSE),""),"")</f>
        <v/>
      </c>
      <c r="G135" s="721" t="str">
        <f>IFERROR(IF(AND(데이터입력!$AE$2="추경",데이터입력!$AM$2=TRUE),VLOOKUP($A135,데이터입력!$A:$H,6,FALSE),""),"")</f>
        <v/>
      </c>
      <c r="H135" s="722" t="str">
        <f>IFERROR(IF(AND(데이터입력!$AE$2="추경",데이터입력!$AM$2=TRUE),VLOOKUP($A135,데이터입력!$A:$L,7,FALSE),""),"")</f>
        <v/>
      </c>
      <c r="I135" s="722" t="str">
        <f>IFERROR(IF(AND(데이터입력!$AE$2="추경",데이터입력!$AM$2=TRUE),VLOOKUP($A135,데이터입력!$A:$L,8,FALSE)+VLOOKUP($A135,데이터입력!$A:$L,9,FALSE)+VLOOKUP($A135,데이터입력!$A:$L,10,FALSE),""),"")</f>
        <v/>
      </c>
      <c r="J135" s="723" t="s">
        <v>136</v>
      </c>
      <c r="K135" s="723" t="s">
        <v>136</v>
      </c>
      <c r="L135" s="723" t="s">
        <v>136</v>
      </c>
      <c r="M135" s="715"/>
      <c r="N135" s="233">
        <v>333</v>
      </c>
      <c r="O135" s="727" t="str">
        <f>IFERROR(IF(S135="06",데이터입력!$AB$8,IF(S135="07",데이터입력!$AD$8,IF(S135="05",데이터입력!$AF$8,데이터입력!$AB$8))),데이터입력!$AB$8)</f>
        <v>00</v>
      </c>
      <c r="P135" s="728" t="str">
        <f>데이터입력!$AC$9</f>
        <v>일반사업[일반]</v>
      </c>
      <c r="Q135" s="729" t="str">
        <f>IFERROR(IF(데이터입력!$AE$2="추경",VLOOKUP($N135,데이터입력!$A:$H,4,FALSE),""),"")</f>
        <v/>
      </c>
      <c r="R135" s="729" t="str">
        <f>IFERROR(IF(데이터입력!$AE$2="추경",VLOOKUP($N135,데이터입력!$A:$H,2,FALSE),""),"")</f>
        <v/>
      </c>
      <c r="S135" s="729" t="str">
        <f>IFERROR(IF(데이터입력!$AE$2="추경",VLOOKUP($N135,데이터입력!$A:$H,5,FALSE),""),"")</f>
        <v/>
      </c>
      <c r="T135" s="729" t="str">
        <f>IFERROR(IF(데이터입력!$AE$2="추경",VLOOKUP($N135,데이터입력!$A:$H,6,FALSE),""),"")</f>
        <v/>
      </c>
      <c r="U135" s="730" t="str">
        <f>IFERROR(IF(데이터입력!$AE$2="추경",VLOOKUP($N135,데이터입력!$A:$L,8,FALSE)+VLOOKUP($N135,데이터입력!$A:$L,9,FALSE)+VLOOKUP($N135,데이터입력!$A:$L,10,FALSE),""),"")</f>
        <v/>
      </c>
      <c r="V135" s="731" t="s">
        <v>136</v>
      </c>
      <c r="W135" s="731" t="s">
        <v>136</v>
      </c>
      <c r="X135" s="731" t="s">
        <v>136</v>
      </c>
      <c r="Y135" s="712"/>
      <c r="Z135" s="235" t="str">
        <f>데이터입력!$AB$8</f>
        <v>00</v>
      </c>
      <c r="AA135" s="238" t="str">
        <f>데이터입력!$AC$9</f>
        <v>일반사업[일반]</v>
      </c>
      <c r="AB135" s="236" t="str">
        <f>IFERROR(IF(데이터입력!$AE$2="추경",VLOOKUP($A135,보수일람표!$A:$M,4,FALSE),""),"")</f>
        <v/>
      </c>
      <c r="AC135" s="236" t="str">
        <f>IFERROR(IF(데이터입력!$AE$2="추경",VLOOKUP($A135,보수일람표!$A:$M,5,FALSE),""),"")</f>
        <v/>
      </c>
      <c r="AD135" s="236" t="str">
        <f>IFERROR(IF(데이터입력!$AE$2="추경",VLOOKUP($A135,보수일람표!$A:$M,6,FALSE),""),"")</f>
        <v/>
      </c>
      <c r="AE135" s="236" t="str">
        <f>IFERROR(IF(데이터입력!$AE$2="추경",VLOOKUP($A135,보수일람표!$A:$M,7,FALSE),""),"")</f>
        <v>직접</v>
      </c>
      <c r="AF135" s="236"/>
      <c r="AG135" s="237">
        <f>IFERROR(IF(데이터입력!$AE$2="추경",VLOOKUP($A135,보수일람표!$A:$M,9,FALSE),""),"")</f>
        <v>0</v>
      </c>
      <c r="AH135" s="237">
        <f>IFERROR(IF(데이터입력!$AE$2="추경",VLOOKUP($A135,보수일람표!$A:$M,10,FALSE),""),"")</f>
        <v>0</v>
      </c>
      <c r="AI135" s="237">
        <f>IFERROR(IF(데이터입력!$AE$2="추경",VLOOKUP($A135,보수일람표!$A:$M,11,FALSE),""),"")</f>
        <v>0</v>
      </c>
      <c r="AJ135" s="237">
        <f>IFERROR(IF(데이터입력!$AE$2="추경",VLOOKUP($A135,보수일람표!$A:$M,12,FALSE),""),"")</f>
        <v>0</v>
      </c>
      <c r="AK135" s="237">
        <f>IFERROR(IF(데이터입력!$AE$2="추경",VLOOKUP($A135,보수일람표!$A:$M,13,FALSE),""),"")</f>
        <v>0</v>
      </c>
    </row>
    <row r="136" spans="1:37">
      <c r="A136" s="233">
        <v>134</v>
      </c>
      <c r="B136" s="719" t="str">
        <f>IFERROR(IF(F136="06",데이터입력!$AB$8,IF(F136="07",데이터입력!$AD$8,IF(F136="05",데이터입력!$AF$8,데이터입력!$AB$8))),데이터입력!$AB$8)</f>
        <v>00</v>
      </c>
      <c r="C136" s="720" t="str">
        <f>데이터입력!$AC$9</f>
        <v>일반사업[일반]</v>
      </c>
      <c r="D136" s="721" t="str">
        <f>IFERROR(IF(AND(데이터입력!$AE$2="추경",데이터입력!$AM$2=TRUE),VLOOKUP($A136,데이터입력!$A:$H,4,FALSE),""),"")</f>
        <v/>
      </c>
      <c r="E136" s="721" t="str">
        <f>IFERROR(IF(AND(데이터입력!$AE$2="추경",데이터입력!$AM$2=TRUE),VLOOKUP($A136,데이터입력!$A:$H,2,FALSE),""),"")</f>
        <v/>
      </c>
      <c r="F136" s="721" t="str">
        <f>IFERROR(IF(AND(데이터입력!$AE$2="추경",데이터입력!$AM$2=TRUE),VLOOKUP($A136,데이터입력!$A:$H,5,FALSE),""),"")</f>
        <v/>
      </c>
      <c r="G136" s="721" t="str">
        <f>IFERROR(IF(AND(데이터입력!$AE$2="추경",데이터입력!$AM$2=TRUE),VLOOKUP($A136,데이터입력!$A:$H,6,FALSE),""),"")</f>
        <v/>
      </c>
      <c r="H136" s="722" t="str">
        <f>IFERROR(IF(AND(데이터입력!$AE$2="추경",데이터입력!$AM$2=TRUE),VLOOKUP($A136,데이터입력!$A:$L,7,FALSE),""),"")</f>
        <v/>
      </c>
      <c r="I136" s="722" t="str">
        <f>IFERROR(IF(AND(데이터입력!$AE$2="추경",데이터입력!$AM$2=TRUE),VLOOKUP($A136,데이터입력!$A:$L,8,FALSE)+VLOOKUP($A136,데이터입력!$A:$L,9,FALSE)+VLOOKUP($A136,데이터입력!$A:$L,10,FALSE),""),"")</f>
        <v/>
      </c>
      <c r="J136" s="723" t="s">
        <v>136</v>
      </c>
      <c r="K136" s="723" t="s">
        <v>136</v>
      </c>
      <c r="L136" s="723" t="s">
        <v>136</v>
      </c>
      <c r="M136" s="715"/>
      <c r="N136" s="233">
        <v>334</v>
      </c>
      <c r="O136" s="727" t="str">
        <f>IFERROR(IF(S136="06",데이터입력!$AB$8,IF(S136="07",데이터입력!$AD$8,IF(S136="05",데이터입력!$AF$8,데이터입력!$AB$8))),데이터입력!$AB$8)</f>
        <v>00</v>
      </c>
      <c r="P136" s="728" t="str">
        <f>데이터입력!$AC$9</f>
        <v>일반사업[일반]</v>
      </c>
      <c r="Q136" s="729" t="str">
        <f>IFERROR(IF(데이터입력!$AE$2="추경",VLOOKUP($N136,데이터입력!$A:$H,4,FALSE),""),"")</f>
        <v/>
      </c>
      <c r="R136" s="729" t="str">
        <f>IFERROR(IF(데이터입력!$AE$2="추경",VLOOKUP($N136,데이터입력!$A:$H,2,FALSE),""),"")</f>
        <v/>
      </c>
      <c r="S136" s="729" t="str">
        <f>IFERROR(IF(데이터입력!$AE$2="추경",VLOOKUP($N136,데이터입력!$A:$H,5,FALSE),""),"")</f>
        <v/>
      </c>
      <c r="T136" s="729" t="str">
        <f>IFERROR(IF(데이터입력!$AE$2="추경",VLOOKUP($N136,데이터입력!$A:$H,6,FALSE),""),"")</f>
        <v/>
      </c>
      <c r="U136" s="730" t="str">
        <f>IFERROR(IF(데이터입력!$AE$2="추경",VLOOKUP($N136,데이터입력!$A:$L,8,FALSE)+VLOOKUP($N136,데이터입력!$A:$L,9,FALSE)+VLOOKUP($N136,데이터입력!$A:$L,10,FALSE),""),"")</f>
        <v/>
      </c>
      <c r="V136" s="731" t="s">
        <v>136</v>
      </c>
      <c r="W136" s="731" t="s">
        <v>136</v>
      </c>
      <c r="X136" s="731" t="s">
        <v>136</v>
      </c>
      <c r="Y136" s="712"/>
      <c r="Z136" s="235" t="str">
        <f>데이터입력!$AB$8</f>
        <v>00</v>
      </c>
      <c r="AA136" s="238" t="str">
        <f>데이터입력!$AC$9</f>
        <v>일반사업[일반]</v>
      </c>
      <c r="AB136" s="236" t="str">
        <f>IFERROR(IF(데이터입력!$AE$2="추경",VLOOKUP($A136,보수일람표!$A:$M,4,FALSE),""),"")</f>
        <v/>
      </c>
      <c r="AC136" s="236" t="str">
        <f>IFERROR(IF(데이터입력!$AE$2="추경",VLOOKUP($A136,보수일람표!$A:$M,5,FALSE),""),"")</f>
        <v/>
      </c>
      <c r="AD136" s="236" t="str">
        <f>IFERROR(IF(데이터입력!$AE$2="추경",VLOOKUP($A136,보수일람표!$A:$M,6,FALSE),""),"")</f>
        <v/>
      </c>
      <c r="AE136" s="236" t="str">
        <f>IFERROR(IF(데이터입력!$AE$2="추경",VLOOKUP($A136,보수일람표!$A:$M,7,FALSE),""),"")</f>
        <v>직접</v>
      </c>
      <c r="AF136" s="236"/>
      <c r="AG136" s="237">
        <f>IFERROR(IF(데이터입력!$AE$2="추경",VLOOKUP($A136,보수일람표!$A:$M,9,FALSE),""),"")</f>
        <v>0</v>
      </c>
      <c r="AH136" s="237">
        <f>IFERROR(IF(데이터입력!$AE$2="추경",VLOOKUP($A136,보수일람표!$A:$M,10,FALSE),""),"")</f>
        <v>0</v>
      </c>
      <c r="AI136" s="237">
        <f>IFERROR(IF(데이터입력!$AE$2="추경",VLOOKUP($A136,보수일람표!$A:$M,11,FALSE),""),"")</f>
        <v>0</v>
      </c>
      <c r="AJ136" s="237">
        <f>IFERROR(IF(데이터입력!$AE$2="추경",VLOOKUP($A136,보수일람표!$A:$M,12,FALSE),""),"")</f>
        <v>0</v>
      </c>
      <c r="AK136" s="237">
        <f>IFERROR(IF(데이터입력!$AE$2="추경",VLOOKUP($A136,보수일람표!$A:$M,13,FALSE),""),"")</f>
        <v>0</v>
      </c>
    </row>
    <row r="137" spans="1:37">
      <c r="A137" s="233">
        <v>135</v>
      </c>
      <c r="B137" s="719" t="str">
        <f>IFERROR(IF(F137="06",데이터입력!$AB$8,IF(F137="07",데이터입력!$AD$8,IF(F137="05",데이터입력!$AF$8,데이터입력!$AB$8))),데이터입력!$AB$8)</f>
        <v>00</v>
      </c>
      <c r="C137" s="720" t="str">
        <f>데이터입력!$AC$9</f>
        <v>일반사업[일반]</v>
      </c>
      <c r="D137" s="721" t="str">
        <f>IFERROR(IF(AND(데이터입력!$AE$2="추경",데이터입력!$AM$2=TRUE),VLOOKUP($A137,데이터입력!$A:$H,4,FALSE),""),"")</f>
        <v/>
      </c>
      <c r="E137" s="721" t="str">
        <f>IFERROR(IF(AND(데이터입력!$AE$2="추경",데이터입력!$AM$2=TRUE),VLOOKUP($A137,데이터입력!$A:$H,2,FALSE),""),"")</f>
        <v/>
      </c>
      <c r="F137" s="721" t="str">
        <f>IFERROR(IF(AND(데이터입력!$AE$2="추경",데이터입력!$AM$2=TRUE),VLOOKUP($A137,데이터입력!$A:$H,5,FALSE),""),"")</f>
        <v/>
      </c>
      <c r="G137" s="721" t="str">
        <f>IFERROR(IF(AND(데이터입력!$AE$2="추경",데이터입력!$AM$2=TRUE),VLOOKUP($A137,데이터입력!$A:$H,6,FALSE),""),"")</f>
        <v/>
      </c>
      <c r="H137" s="722" t="str">
        <f>IFERROR(IF(AND(데이터입력!$AE$2="추경",데이터입력!$AM$2=TRUE),VLOOKUP($A137,데이터입력!$A:$L,7,FALSE),""),"")</f>
        <v/>
      </c>
      <c r="I137" s="722" t="str">
        <f>IFERROR(IF(AND(데이터입력!$AE$2="추경",데이터입력!$AM$2=TRUE),VLOOKUP($A137,데이터입력!$A:$L,8,FALSE)+VLOOKUP($A137,데이터입력!$A:$L,9,FALSE)+VLOOKUP($A137,데이터입력!$A:$L,10,FALSE),""),"")</f>
        <v/>
      </c>
      <c r="J137" s="723" t="s">
        <v>136</v>
      </c>
      <c r="K137" s="723" t="s">
        <v>136</v>
      </c>
      <c r="L137" s="723" t="s">
        <v>136</v>
      </c>
      <c r="M137" s="715"/>
      <c r="N137" s="233">
        <v>335</v>
      </c>
      <c r="O137" s="727" t="str">
        <f>IFERROR(IF(S137="06",데이터입력!$AB$8,IF(S137="07",데이터입력!$AD$8,IF(S137="05",데이터입력!$AF$8,데이터입력!$AB$8))),데이터입력!$AB$8)</f>
        <v>00</v>
      </c>
      <c r="P137" s="728" t="str">
        <f>데이터입력!$AC$9</f>
        <v>일반사업[일반]</v>
      </c>
      <c r="Q137" s="729" t="str">
        <f>IFERROR(IF(데이터입력!$AE$2="추경",VLOOKUP($N137,데이터입력!$A:$H,4,FALSE),""),"")</f>
        <v/>
      </c>
      <c r="R137" s="729" t="str">
        <f>IFERROR(IF(데이터입력!$AE$2="추경",VLOOKUP($N137,데이터입력!$A:$H,2,FALSE),""),"")</f>
        <v/>
      </c>
      <c r="S137" s="729" t="str">
        <f>IFERROR(IF(데이터입력!$AE$2="추경",VLOOKUP($N137,데이터입력!$A:$H,5,FALSE),""),"")</f>
        <v/>
      </c>
      <c r="T137" s="729" t="str">
        <f>IFERROR(IF(데이터입력!$AE$2="추경",VLOOKUP($N137,데이터입력!$A:$H,6,FALSE),""),"")</f>
        <v/>
      </c>
      <c r="U137" s="730" t="str">
        <f>IFERROR(IF(데이터입력!$AE$2="추경",VLOOKUP($N137,데이터입력!$A:$L,8,FALSE)+VLOOKUP($N137,데이터입력!$A:$L,9,FALSE)+VLOOKUP($N137,데이터입력!$A:$L,10,FALSE),""),"")</f>
        <v/>
      </c>
      <c r="V137" s="731" t="s">
        <v>136</v>
      </c>
      <c r="W137" s="731" t="s">
        <v>136</v>
      </c>
      <c r="X137" s="731" t="s">
        <v>136</v>
      </c>
      <c r="Y137" s="712"/>
      <c r="Z137" s="235" t="str">
        <f>데이터입력!$AB$8</f>
        <v>00</v>
      </c>
      <c r="AA137" s="238" t="str">
        <f>데이터입력!$AC$9</f>
        <v>일반사업[일반]</v>
      </c>
      <c r="AB137" s="236" t="str">
        <f>IFERROR(IF(데이터입력!$AE$2="추경",VLOOKUP($A137,보수일람표!$A:$M,4,FALSE),""),"")</f>
        <v/>
      </c>
      <c r="AC137" s="236" t="str">
        <f>IFERROR(IF(데이터입력!$AE$2="추경",VLOOKUP($A137,보수일람표!$A:$M,5,FALSE),""),"")</f>
        <v/>
      </c>
      <c r="AD137" s="236" t="str">
        <f>IFERROR(IF(데이터입력!$AE$2="추경",VLOOKUP($A137,보수일람표!$A:$M,6,FALSE),""),"")</f>
        <v/>
      </c>
      <c r="AE137" s="236" t="str">
        <f>IFERROR(IF(데이터입력!$AE$2="추경",VLOOKUP($A137,보수일람표!$A:$M,7,FALSE),""),"")</f>
        <v>직접</v>
      </c>
      <c r="AF137" s="236"/>
      <c r="AG137" s="237">
        <f>IFERROR(IF(데이터입력!$AE$2="추경",VLOOKUP($A137,보수일람표!$A:$M,9,FALSE),""),"")</f>
        <v>0</v>
      </c>
      <c r="AH137" s="237">
        <f>IFERROR(IF(데이터입력!$AE$2="추경",VLOOKUP($A137,보수일람표!$A:$M,10,FALSE),""),"")</f>
        <v>0</v>
      </c>
      <c r="AI137" s="237">
        <f>IFERROR(IF(데이터입력!$AE$2="추경",VLOOKUP($A137,보수일람표!$A:$M,11,FALSE),""),"")</f>
        <v>0</v>
      </c>
      <c r="AJ137" s="237">
        <f>IFERROR(IF(데이터입력!$AE$2="추경",VLOOKUP($A137,보수일람표!$A:$M,12,FALSE),""),"")</f>
        <v>0</v>
      </c>
      <c r="AK137" s="237">
        <f>IFERROR(IF(데이터입력!$AE$2="추경",VLOOKUP($A137,보수일람표!$A:$M,13,FALSE),""),"")</f>
        <v>0</v>
      </c>
    </row>
    <row r="138" spans="1:37">
      <c r="A138" s="233">
        <v>136</v>
      </c>
      <c r="B138" s="719" t="str">
        <f>IFERROR(IF(F138="06",데이터입력!$AB$8,IF(F138="07",데이터입력!$AD$8,IF(F138="05",데이터입력!$AF$8,데이터입력!$AB$8))),데이터입력!$AB$8)</f>
        <v>00</v>
      </c>
      <c r="C138" s="720" t="str">
        <f>데이터입력!$AC$9</f>
        <v>일반사업[일반]</v>
      </c>
      <c r="D138" s="721" t="str">
        <f>IFERROR(IF(AND(데이터입력!$AE$2="추경",데이터입력!$AM$2=TRUE),VLOOKUP($A138,데이터입력!$A:$H,4,FALSE),""),"")</f>
        <v/>
      </c>
      <c r="E138" s="721" t="str">
        <f>IFERROR(IF(AND(데이터입력!$AE$2="추경",데이터입력!$AM$2=TRUE),VLOOKUP($A138,데이터입력!$A:$H,2,FALSE),""),"")</f>
        <v/>
      </c>
      <c r="F138" s="721" t="str">
        <f>IFERROR(IF(AND(데이터입력!$AE$2="추경",데이터입력!$AM$2=TRUE),VLOOKUP($A138,데이터입력!$A:$H,5,FALSE),""),"")</f>
        <v/>
      </c>
      <c r="G138" s="721" t="str">
        <f>IFERROR(IF(AND(데이터입력!$AE$2="추경",데이터입력!$AM$2=TRUE),VLOOKUP($A138,데이터입력!$A:$H,6,FALSE),""),"")</f>
        <v/>
      </c>
      <c r="H138" s="722" t="str">
        <f>IFERROR(IF(AND(데이터입력!$AE$2="추경",데이터입력!$AM$2=TRUE),VLOOKUP($A138,데이터입력!$A:$L,7,FALSE),""),"")</f>
        <v/>
      </c>
      <c r="I138" s="722" t="str">
        <f>IFERROR(IF(AND(데이터입력!$AE$2="추경",데이터입력!$AM$2=TRUE),VLOOKUP($A138,데이터입력!$A:$L,8,FALSE)+VLOOKUP($A138,데이터입력!$A:$L,9,FALSE)+VLOOKUP($A138,데이터입력!$A:$L,10,FALSE),""),"")</f>
        <v/>
      </c>
      <c r="J138" s="723" t="s">
        <v>136</v>
      </c>
      <c r="K138" s="723" t="s">
        <v>136</v>
      </c>
      <c r="L138" s="723" t="s">
        <v>136</v>
      </c>
      <c r="M138" s="715"/>
      <c r="N138" s="233">
        <v>336</v>
      </c>
      <c r="O138" s="727" t="str">
        <f>IFERROR(IF(S138="06",데이터입력!$AB$8,IF(S138="07",데이터입력!$AD$8,IF(S138="05",데이터입력!$AF$8,데이터입력!$AB$8))),데이터입력!$AB$8)</f>
        <v>00</v>
      </c>
      <c r="P138" s="728" t="str">
        <f>데이터입력!$AC$9</f>
        <v>일반사업[일반]</v>
      </c>
      <c r="Q138" s="729" t="str">
        <f>IFERROR(IF(데이터입력!$AE$2="추경",VLOOKUP($N138,데이터입력!$A:$H,4,FALSE),""),"")</f>
        <v/>
      </c>
      <c r="R138" s="729" t="str">
        <f>IFERROR(IF(데이터입력!$AE$2="추경",VLOOKUP($N138,데이터입력!$A:$H,2,FALSE),""),"")</f>
        <v/>
      </c>
      <c r="S138" s="729" t="str">
        <f>IFERROR(IF(데이터입력!$AE$2="추경",VLOOKUP($N138,데이터입력!$A:$H,5,FALSE),""),"")</f>
        <v/>
      </c>
      <c r="T138" s="729" t="str">
        <f>IFERROR(IF(데이터입력!$AE$2="추경",VLOOKUP($N138,데이터입력!$A:$H,6,FALSE),""),"")</f>
        <v/>
      </c>
      <c r="U138" s="730" t="str">
        <f>IFERROR(IF(데이터입력!$AE$2="추경",VLOOKUP($N138,데이터입력!$A:$L,8,FALSE)+VLOOKUP($N138,데이터입력!$A:$L,9,FALSE)+VLOOKUP($N138,데이터입력!$A:$L,10,FALSE),""),"")</f>
        <v/>
      </c>
      <c r="V138" s="731" t="s">
        <v>136</v>
      </c>
      <c r="W138" s="731" t="s">
        <v>136</v>
      </c>
      <c r="X138" s="731" t="s">
        <v>136</v>
      </c>
      <c r="Y138" s="712"/>
      <c r="Z138" s="235" t="str">
        <f>데이터입력!$AB$8</f>
        <v>00</v>
      </c>
      <c r="AA138" s="238" t="str">
        <f>데이터입력!$AC$9</f>
        <v>일반사업[일반]</v>
      </c>
      <c r="AB138" s="236" t="str">
        <f>IFERROR(IF(데이터입력!$AE$2="추경",VLOOKUP($A138,보수일람표!$A:$M,4,FALSE),""),"")</f>
        <v/>
      </c>
      <c r="AC138" s="236" t="str">
        <f>IFERROR(IF(데이터입력!$AE$2="추경",VLOOKUP($A138,보수일람표!$A:$M,5,FALSE),""),"")</f>
        <v/>
      </c>
      <c r="AD138" s="236" t="str">
        <f>IFERROR(IF(데이터입력!$AE$2="추경",VLOOKUP($A138,보수일람표!$A:$M,6,FALSE),""),"")</f>
        <v/>
      </c>
      <c r="AE138" s="236" t="str">
        <f>IFERROR(IF(데이터입력!$AE$2="추경",VLOOKUP($A138,보수일람표!$A:$M,7,FALSE),""),"")</f>
        <v>직접</v>
      </c>
      <c r="AF138" s="236"/>
      <c r="AG138" s="237">
        <f>IFERROR(IF(데이터입력!$AE$2="추경",VLOOKUP($A138,보수일람표!$A:$M,9,FALSE),""),"")</f>
        <v>0</v>
      </c>
      <c r="AH138" s="237">
        <f>IFERROR(IF(데이터입력!$AE$2="추경",VLOOKUP($A138,보수일람표!$A:$M,10,FALSE),""),"")</f>
        <v>0</v>
      </c>
      <c r="AI138" s="237">
        <f>IFERROR(IF(데이터입력!$AE$2="추경",VLOOKUP($A138,보수일람표!$A:$M,11,FALSE),""),"")</f>
        <v>0</v>
      </c>
      <c r="AJ138" s="237">
        <f>IFERROR(IF(데이터입력!$AE$2="추경",VLOOKUP($A138,보수일람표!$A:$M,12,FALSE),""),"")</f>
        <v>0</v>
      </c>
      <c r="AK138" s="237">
        <f>IFERROR(IF(데이터입력!$AE$2="추경",VLOOKUP($A138,보수일람표!$A:$M,13,FALSE),""),"")</f>
        <v>0</v>
      </c>
    </row>
    <row r="139" spans="1:37">
      <c r="A139" s="233">
        <v>137</v>
      </c>
      <c r="B139" s="719" t="str">
        <f>IFERROR(IF(F139="06",데이터입력!$AB$8,IF(F139="07",데이터입력!$AD$8,IF(F139="05",데이터입력!$AF$8,데이터입력!$AB$8))),데이터입력!$AB$8)</f>
        <v>00</v>
      </c>
      <c r="C139" s="720" t="str">
        <f>데이터입력!$AC$9</f>
        <v>일반사업[일반]</v>
      </c>
      <c r="D139" s="721" t="str">
        <f>IFERROR(IF(AND(데이터입력!$AE$2="추경",데이터입력!$AM$2=TRUE),VLOOKUP($A139,데이터입력!$A:$H,4,FALSE),""),"")</f>
        <v/>
      </c>
      <c r="E139" s="721" t="str">
        <f>IFERROR(IF(AND(데이터입력!$AE$2="추경",데이터입력!$AM$2=TRUE),VLOOKUP($A139,데이터입력!$A:$H,2,FALSE),""),"")</f>
        <v/>
      </c>
      <c r="F139" s="721" t="str">
        <f>IFERROR(IF(AND(데이터입력!$AE$2="추경",데이터입력!$AM$2=TRUE),VLOOKUP($A139,데이터입력!$A:$H,5,FALSE),""),"")</f>
        <v/>
      </c>
      <c r="G139" s="721" t="str">
        <f>IFERROR(IF(AND(데이터입력!$AE$2="추경",데이터입력!$AM$2=TRUE),VLOOKUP($A139,데이터입력!$A:$H,6,FALSE),""),"")</f>
        <v/>
      </c>
      <c r="H139" s="722" t="str">
        <f>IFERROR(IF(AND(데이터입력!$AE$2="추경",데이터입력!$AM$2=TRUE),VLOOKUP($A139,데이터입력!$A:$L,7,FALSE),""),"")</f>
        <v/>
      </c>
      <c r="I139" s="722" t="str">
        <f>IFERROR(IF(AND(데이터입력!$AE$2="추경",데이터입력!$AM$2=TRUE),VLOOKUP($A139,데이터입력!$A:$L,8,FALSE)+VLOOKUP($A139,데이터입력!$A:$L,9,FALSE)+VLOOKUP($A139,데이터입력!$A:$L,10,FALSE),""),"")</f>
        <v/>
      </c>
      <c r="J139" s="723" t="s">
        <v>136</v>
      </c>
      <c r="K139" s="723" t="s">
        <v>136</v>
      </c>
      <c r="L139" s="723" t="s">
        <v>136</v>
      </c>
      <c r="M139" s="715"/>
      <c r="N139" s="233">
        <v>337</v>
      </c>
      <c r="O139" s="727" t="str">
        <f>IFERROR(IF(S139="06",데이터입력!$AB$8,IF(S139="07",데이터입력!$AD$8,IF(S139="05",데이터입력!$AF$8,데이터입력!$AB$8))),데이터입력!$AB$8)</f>
        <v>00</v>
      </c>
      <c r="P139" s="728" t="str">
        <f>데이터입력!$AC$9</f>
        <v>일반사업[일반]</v>
      </c>
      <c r="Q139" s="729" t="str">
        <f>IFERROR(IF(데이터입력!$AE$2="추경",VLOOKUP($N139,데이터입력!$A:$H,4,FALSE),""),"")</f>
        <v/>
      </c>
      <c r="R139" s="729" t="str">
        <f>IFERROR(IF(데이터입력!$AE$2="추경",VLOOKUP($N139,데이터입력!$A:$H,2,FALSE),""),"")</f>
        <v/>
      </c>
      <c r="S139" s="729" t="str">
        <f>IFERROR(IF(데이터입력!$AE$2="추경",VLOOKUP($N139,데이터입력!$A:$H,5,FALSE),""),"")</f>
        <v/>
      </c>
      <c r="T139" s="729" t="str">
        <f>IFERROR(IF(데이터입력!$AE$2="추경",VLOOKUP($N139,데이터입력!$A:$H,6,FALSE),""),"")</f>
        <v/>
      </c>
      <c r="U139" s="730" t="str">
        <f>IFERROR(IF(데이터입력!$AE$2="추경",VLOOKUP($N139,데이터입력!$A:$L,8,FALSE)+VLOOKUP($N139,데이터입력!$A:$L,9,FALSE)+VLOOKUP($N139,데이터입력!$A:$L,10,FALSE),""),"")</f>
        <v/>
      </c>
      <c r="V139" s="731" t="s">
        <v>136</v>
      </c>
      <c r="W139" s="731" t="s">
        <v>136</v>
      </c>
      <c r="X139" s="731" t="s">
        <v>136</v>
      </c>
      <c r="Y139" s="712"/>
      <c r="Z139" s="235" t="str">
        <f>데이터입력!$AB$8</f>
        <v>00</v>
      </c>
      <c r="AA139" s="238" t="str">
        <f>데이터입력!$AC$9</f>
        <v>일반사업[일반]</v>
      </c>
      <c r="AB139" s="236" t="str">
        <f>IFERROR(IF(데이터입력!$AE$2="추경",VLOOKUP($A139,보수일람표!$A:$M,4,FALSE),""),"")</f>
        <v/>
      </c>
      <c r="AC139" s="236" t="str">
        <f>IFERROR(IF(데이터입력!$AE$2="추경",VLOOKUP($A139,보수일람표!$A:$M,5,FALSE),""),"")</f>
        <v/>
      </c>
      <c r="AD139" s="236" t="str">
        <f>IFERROR(IF(데이터입력!$AE$2="추경",VLOOKUP($A139,보수일람표!$A:$M,6,FALSE),""),"")</f>
        <v/>
      </c>
      <c r="AE139" s="236" t="str">
        <f>IFERROR(IF(데이터입력!$AE$2="추경",VLOOKUP($A139,보수일람표!$A:$M,7,FALSE),""),"")</f>
        <v>직접</v>
      </c>
      <c r="AF139" s="236"/>
      <c r="AG139" s="237">
        <f>IFERROR(IF(데이터입력!$AE$2="추경",VLOOKUP($A139,보수일람표!$A:$M,9,FALSE),""),"")</f>
        <v>0</v>
      </c>
      <c r="AH139" s="237">
        <f>IFERROR(IF(데이터입력!$AE$2="추경",VLOOKUP($A139,보수일람표!$A:$M,10,FALSE),""),"")</f>
        <v>0</v>
      </c>
      <c r="AI139" s="237">
        <f>IFERROR(IF(데이터입력!$AE$2="추경",VLOOKUP($A139,보수일람표!$A:$M,11,FALSE),""),"")</f>
        <v>0</v>
      </c>
      <c r="AJ139" s="237">
        <f>IFERROR(IF(데이터입력!$AE$2="추경",VLOOKUP($A139,보수일람표!$A:$M,12,FALSE),""),"")</f>
        <v>0</v>
      </c>
      <c r="AK139" s="237">
        <f>IFERROR(IF(데이터입력!$AE$2="추경",VLOOKUP($A139,보수일람표!$A:$M,13,FALSE),""),"")</f>
        <v>0</v>
      </c>
    </row>
    <row r="140" spans="1:37">
      <c r="A140" s="233">
        <v>138</v>
      </c>
      <c r="B140" s="719" t="str">
        <f>IFERROR(IF(F140="06",데이터입력!$AB$8,IF(F140="07",데이터입력!$AD$8,IF(F140="05",데이터입력!$AF$8,데이터입력!$AB$8))),데이터입력!$AB$8)</f>
        <v>00</v>
      </c>
      <c r="C140" s="720" t="str">
        <f>데이터입력!$AC$9</f>
        <v>일반사업[일반]</v>
      </c>
      <c r="D140" s="721" t="str">
        <f>IFERROR(IF(AND(데이터입력!$AE$2="추경",데이터입력!$AM$2=TRUE),VLOOKUP($A140,데이터입력!$A:$H,4,FALSE),""),"")</f>
        <v/>
      </c>
      <c r="E140" s="721" t="str">
        <f>IFERROR(IF(AND(데이터입력!$AE$2="추경",데이터입력!$AM$2=TRUE),VLOOKUP($A140,데이터입력!$A:$H,2,FALSE),""),"")</f>
        <v/>
      </c>
      <c r="F140" s="721" t="str">
        <f>IFERROR(IF(AND(데이터입력!$AE$2="추경",데이터입력!$AM$2=TRUE),VLOOKUP($A140,데이터입력!$A:$H,5,FALSE),""),"")</f>
        <v/>
      </c>
      <c r="G140" s="721" t="str">
        <f>IFERROR(IF(AND(데이터입력!$AE$2="추경",데이터입력!$AM$2=TRUE),VLOOKUP($A140,데이터입력!$A:$H,6,FALSE),""),"")</f>
        <v/>
      </c>
      <c r="H140" s="722" t="str">
        <f>IFERROR(IF(AND(데이터입력!$AE$2="추경",데이터입력!$AM$2=TRUE),VLOOKUP($A140,데이터입력!$A:$L,7,FALSE),""),"")</f>
        <v/>
      </c>
      <c r="I140" s="722" t="str">
        <f>IFERROR(IF(AND(데이터입력!$AE$2="추경",데이터입력!$AM$2=TRUE),VLOOKUP($A140,데이터입력!$A:$L,8,FALSE)+VLOOKUP($A140,데이터입력!$A:$L,9,FALSE)+VLOOKUP($A140,데이터입력!$A:$L,10,FALSE),""),"")</f>
        <v/>
      </c>
      <c r="J140" s="723" t="s">
        <v>136</v>
      </c>
      <c r="K140" s="723" t="s">
        <v>136</v>
      </c>
      <c r="L140" s="723" t="s">
        <v>136</v>
      </c>
      <c r="M140" s="715"/>
      <c r="N140" s="233">
        <v>338</v>
      </c>
      <c r="O140" s="727" t="str">
        <f>IFERROR(IF(S140="06",데이터입력!$AB$8,IF(S140="07",데이터입력!$AD$8,IF(S140="05",데이터입력!$AF$8,데이터입력!$AB$8))),데이터입력!$AB$8)</f>
        <v>00</v>
      </c>
      <c r="P140" s="728" t="str">
        <f>데이터입력!$AC$9</f>
        <v>일반사업[일반]</v>
      </c>
      <c r="Q140" s="729" t="str">
        <f>IFERROR(IF(데이터입력!$AE$2="추경",VLOOKUP($N140,데이터입력!$A:$H,4,FALSE),""),"")</f>
        <v/>
      </c>
      <c r="R140" s="729" t="str">
        <f>IFERROR(IF(데이터입력!$AE$2="추경",VLOOKUP($N140,데이터입력!$A:$H,2,FALSE),""),"")</f>
        <v/>
      </c>
      <c r="S140" s="729" t="str">
        <f>IFERROR(IF(데이터입력!$AE$2="추경",VLOOKUP($N140,데이터입력!$A:$H,5,FALSE),""),"")</f>
        <v/>
      </c>
      <c r="T140" s="729" t="str">
        <f>IFERROR(IF(데이터입력!$AE$2="추경",VLOOKUP($N140,데이터입력!$A:$H,6,FALSE),""),"")</f>
        <v/>
      </c>
      <c r="U140" s="730" t="str">
        <f>IFERROR(IF(데이터입력!$AE$2="추경",VLOOKUP($N140,데이터입력!$A:$L,8,FALSE)+VLOOKUP($N140,데이터입력!$A:$L,9,FALSE)+VLOOKUP($N140,데이터입력!$A:$L,10,FALSE),""),"")</f>
        <v/>
      </c>
      <c r="V140" s="731" t="s">
        <v>136</v>
      </c>
      <c r="W140" s="731" t="s">
        <v>136</v>
      </c>
      <c r="X140" s="731" t="s">
        <v>136</v>
      </c>
      <c r="Y140" s="712"/>
      <c r="Z140" s="235" t="str">
        <f>데이터입력!$AB$8</f>
        <v>00</v>
      </c>
      <c r="AA140" s="238" t="str">
        <f>데이터입력!$AC$9</f>
        <v>일반사업[일반]</v>
      </c>
      <c r="AB140" s="236" t="str">
        <f>IFERROR(IF(데이터입력!$AE$2="추경",VLOOKUP($A140,보수일람표!$A:$M,4,FALSE),""),"")</f>
        <v/>
      </c>
      <c r="AC140" s="236" t="str">
        <f>IFERROR(IF(데이터입력!$AE$2="추경",VLOOKUP($A140,보수일람표!$A:$M,5,FALSE),""),"")</f>
        <v/>
      </c>
      <c r="AD140" s="236" t="str">
        <f>IFERROR(IF(데이터입력!$AE$2="추경",VLOOKUP($A140,보수일람표!$A:$M,6,FALSE),""),"")</f>
        <v/>
      </c>
      <c r="AE140" s="236" t="str">
        <f>IFERROR(IF(데이터입력!$AE$2="추경",VLOOKUP($A140,보수일람표!$A:$M,7,FALSE),""),"")</f>
        <v>직접</v>
      </c>
      <c r="AF140" s="236"/>
      <c r="AG140" s="237">
        <f>IFERROR(IF(데이터입력!$AE$2="추경",VLOOKUP($A140,보수일람표!$A:$M,9,FALSE),""),"")</f>
        <v>0</v>
      </c>
      <c r="AH140" s="237">
        <f>IFERROR(IF(데이터입력!$AE$2="추경",VLOOKUP($A140,보수일람표!$A:$M,10,FALSE),""),"")</f>
        <v>0</v>
      </c>
      <c r="AI140" s="237">
        <f>IFERROR(IF(데이터입력!$AE$2="추경",VLOOKUP($A140,보수일람표!$A:$M,11,FALSE),""),"")</f>
        <v>0</v>
      </c>
      <c r="AJ140" s="237">
        <f>IFERROR(IF(데이터입력!$AE$2="추경",VLOOKUP($A140,보수일람표!$A:$M,12,FALSE),""),"")</f>
        <v>0</v>
      </c>
      <c r="AK140" s="237">
        <f>IFERROR(IF(데이터입력!$AE$2="추경",VLOOKUP($A140,보수일람표!$A:$M,13,FALSE),""),"")</f>
        <v>0</v>
      </c>
    </row>
    <row r="141" spans="1:37">
      <c r="A141" s="233">
        <v>139</v>
      </c>
      <c r="B141" s="719" t="str">
        <f>IFERROR(IF(F141="06",데이터입력!$AB$8,IF(F141="07",데이터입력!$AD$8,IF(F141="05",데이터입력!$AF$8,데이터입력!$AB$8))),데이터입력!$AB$8)</f>
        <v>00</v>
      </c>
      <c r="C141" s="720" t="str">
        <f>데이터입력!$AC$9</f>
        <v>일반사업[일반]</v>
      </c>
      <c r="D141" s="721" t="str">
        <f>IFERROR(IF(AND(데이터입력!$AE$2="추경",데이터입력!$AM$2=TRUE),VLOOKUP($A141,데이터입력!$A:$H,4,FALSE),""),"")</f>
        <v/>
      </c>
      <c r="E141" s="721" t="str">
        <f>IFERROR(IF(AND(데이터입력!$AE$2="추경",데이터입력!$AM$2=TRUE),VLOOKUP($A141,데이터입력!$A:$H,2,FALSE),""),"")</f>
        <v/>
      </c>
      <c r="F141" s="721" t="str">
        <f>IFERROR(IF(AND(데이터입력!$AE$2="추경",데이터입력!$AM$2=TRUE),VLOOKUP($A141,데이터입력!$A:$H,5,FALSE),""),"")</f>
        <v/>
      </c>
      <c r="G141" s="721" t="str">
        <f>IFERROR(IF(AND(데이터입력!$AE$2="추경",데이터입력!$AM$2=TRUE),VLOOKUP($A141,데이터입력!$A:$H,6,FALSE),""),"")</f>
        <v/>
      </c>
      <c r="H141" s="722" t="str">
        <f>IFERROR(IF(AND(데이터입력!$AE$2="추경",데이터입력!$AM$2=TRUE),VLOOKUP($A141,데이터입력!$A:$L,7,FALSE),""),"")</f>
        <v/>
      </c>
      <c r="I141" s="722" t="str">
        <f>IFERROR(IF(AND(데이터입력!$AE$2="추경",데이터입력!$AM$2=TRUE),VLOOKUP($A141,데이터입력!$A:$L,8,FALSE)+VLOOKUP($A141,데이터입력!$A:$L,9,FALSE)+VLOOKUP($A141,데이터입력!$A:$L,10,FALSE),""),"")</f>
        <v/>
      </c>
      <c r="J141" s="723" t="s">
        <v>136</v>
      </c>
      <c r="K141" s="723" t="s">
        <v>136</v>
      </c>
      <c r="L141" s="723" t="s">
        <v>136</v>
      </c>
      <c r="M141" s="715"/>
      <c r="N141" s="233">
        <v>339</v>
      </c>
      <c r="O141" s="727" t="str">
        <f>IFERROR(IF(S141="06",데이터입력!$AB$8,IF(S141="07",데이터입력!$AD$8,IF(S141="05",데이터입력!$AF$8,데이터입력!$AB$8))),데이터입력!$AB$8)</f>
        <v>00</v>
      </c>
      <c r="P141" s="728" t="str">
        <f>데이터입력!$AC$9</f>
        <v>일반사업[일반]</v>
      </c>
      <c r="Q141" s="729" t="str">
        <f>IFERROR(IF(데이터입력!$AE$2="추경",VLOOKUP($N141,데이터입력!$A:$H,4,FALSE),""),"")</f>
        <v/>
      </c>
      <c r="R141" s="729" t="str">
        <f>IFERROR(IF(데이터입력!$AE$2="추경",VLOOKUP($N141,데이터입력!$A:$H,2,FALSE),""),"")</f>
        <v/>
      </c>
      <c r="S141" s="729" t="str">
        <f>IFERROR(IF(데이터입력!$AE$2="추경",VLOOKUP($N141,데이터입력!$A:$H,5,FALSE),""),"")</f>
        <v/>
      </c>
      <c r="T141" s="729" t="str">
        <f>IFERROR(IF(데이터입력!$AE$2="추경",VLOOKUP($N141,데이터입력!$A:$H,6,FALSE),""),"")</f>
        <v/>
      </c>
      <c r="U141" s="730" t="str">
        <f>IFERROR(IF(데이터입력!$AE$2="추경",VLOOKUP($N141,데이터입력!$A:$L,8,FALSE)+VLOOKUP($N141,데이터입력!$A:$L,9,FALSE)+VLOOKUP($N141,데이터입력!$A:$L,10,FALSE),""),"")</f>
        <v/>
      </c>
      <c r="V141" s="731" t="s">
        <v>136</v>
      </c>
      <c r="W141" s="731" t="s">
        <v>136</v>
      </c>
      <c r="X141" s="731" t="s">
        <v>136</v>
      </c>
      <c r="Y141" s="712"/>
      <c r="Z141" s="235" t="str">
        <f>데이터입력!$AB$8</f>
        <v>00</v>
      </c>
      <c r="AA141" s="238" t="str">
        <f>데이터입력!$AC$9</f>
        <v>일반사업[일반]</v>
      </c>
      <c r="AB141" s="236" t="str">
        <f>IFERROR(IF(데이터입력!$AE$2="추경",VLOOKUP($A141,보수일람표!$A:$M,4,FALSE),""),"")</f>
        <v/>
      </c>
      <c r="AC141" s="236" t="str">
        <f>IFERROR(IF(데이터입력!$AE$2="추경",VLOOKUP($A141,보수일람표!$A:$M,5,FALSE),""),"")</f>
        <v/>
      </c>
      <c r="AD141" s="236" t="str">
        <f>IFERROR(IF(데이터입력!$AE$2="추경",VLOOKUP($A141,보수일람표!$A:$M,6,FALSE),""),"")</f>
        <v/>
      </c>
      <c r="AE141" s="236" t="str">
        <f>IFERROR(IF(데이터입력!$AE$2="추경",VLOOKUP($A141,보수일람표!$A:$M,7,FALSE),""),"")</f>
        <v>직접</v>
      </c>
      <c r="AF141" s="236"/>
      <c r="AG141" s="237">
        <f>IFERROR(IF(데이터입력!$AE$2="추경",VLOOKUP($A141,보수일람표!$A:$M,9,FALSE),""),"")</f>
        <v>0</v>
      </c>
      <c r="AH141" s="237">
        <f>IFERROR(IF(데이터입력!$AE$2="추경",VLOOKUP($A141,보수일람표!$A:$M,10,FALSE),""),"")</f>
        <v>0</v>
      </c>
      <c r="AI141" s="237">
        <f>IFERROR(IF(데이터입력!$AE$2="추경",VLOOKUP($A141,보수일람표!$A:$M,11,FALSE),""),"")</f>
        <v>0</v>
      </c>
      <c r="AJ141" s="237">
        <f>IFERROR(IF(데이터입력!$AE$2="추경",VLOOKUP($A141,보수일람표!$A:$M,12,FALSE),""),"")</f>
        <v>0</v>
      </c>
      <c r="AK141" s="237">
        <f>IFERROR(IF(데이터입력!$AE$2="추경",VLOOKUP($A141,보수일람표!$A:$M,13,FALSE),""),"")</f>
        <v>0</v>
      </c>
    </row>
    <row r="142" spans="1:37">
      <c r="A142" s="233">
        <v>140</v>
      </c>
      <c r="B142" s="719" t="str">
        <f>IFERROR(IF(F142="06",데이터입력!$AB$8,IF(F142="07",데이터입력!$AD$8,IF(F142="05",데이터입력!$AF$8,데이터입력!$AB$8))),데이터입력!$AB$8)</f>
        <v>00</v>
      </c>
      <c r="C142" s="720" t="str">
        <f>데이터입력!$AC$9</f>
        <v>일반사업[일반]</v>
      </c>
      <c r="D142" s="721" t="str">
        <f>IFERROR(IF(AND(데이터입력!$AE$2="추경",데이터입력!$AM$2=TRUE),VLOOKUP($A142,데이터입력!$A:$H,4,FALSE),""),"")</f>
        <v/>
      </c>
      <c r="E142" s="721" t="str">
        <f>IFERROR(IF(AND(데이터입력!$AE$2="추경",데이터입력!$AM$2=TRUE),VLOOKUP($A142,데이터입력!$A:$H,2,FALSE),""),"")</f>
        <v/>
      </c>
      <c r="F142" s="721" t="str">
        <f>IFERROR(IF(AND(데이터입력!$AE$2="추경",데이터입력!$AM$2=TRUE),VLOOKUP($A142,데이터입력!$A:$H,5,FALSE),""),"")</f>
        <v/>
      </c>
      <c r="G142" s="721" t="str">
        <f>IFERROR(IF(AND(데이터입력!$AE$2="추경",데이터입력!$AM$2=TRUE),VLOOKUP($A142,데이터입력!$A:$H,6,FALSE),""),"")</f>
        <v/>
      </c>
      <c r="H142" s="722" t="str">
        <f>IFERROR(IF(AND(데이터입력!$AE$2="추경",데이터입력!$AM$2=TRUE),VLOOKUP($A142,데이터입력!$A:$L,7,FALSE),""),"")</f>
        <v/>
      </c>
      <c r="I142" s="722" t="str">
        <f>IFERROR(IF(AND(데이터입력!$AE$2="추경",데이터입력!$AM$2=TRUE),VLOOKUP($A142,데이터입력!$A:$L,8,FALSE)+VLOOKUP($A142,데이터입력!$A:$L,9,FALSE)+VLOOKUP($A142,데이터입력!$A:$L,10,FALSE),""),"")</f>
        <v/>
      </c>
      <c r="J142" s="723" t="s">
        <v>136</v>
      </c>
      <c r="K142" s="723" t="s">
        <v>136</v>
      </c>
      <c r="L142" s="723" t="s">
        <v>136</v>
      </c>
      <c r="M142" s="715"/>
      <c r="N142" s="233">
        <v>340</v>
      </c>
      <c r="O142" s="727" t="str">
        <f>IFERROR(IF(S142="06",데이터입력!$AB$8,IF(S142="07",데이터입력!$AD$8,IF(S142="05",데이터입력!$AF$8,데이터입력!$AB$8))),데이터입력!$AB$8)</f>
        <v>00</v>
      </c>
      <c r="P142" s="728" t="str">
        <f>데이터입력!$AC$9</f>
        <v>일반사업[일반]</v>
      </c>
      <c r="Q142" s="729" t="str">
        <f>IFERROR(IF(데이터입력!$AE$2="추경",VLOOKUP($N142,데이터입력!$A:$H,4,FALSE),""),"")</f>
        <v/>
      </c>
      <c r="R142" s="729" t="str">
        <f>IFERROR(IF(데이터입력!$AE$2="추경",VLOOKUP($N142,데이터입력!$A:$H,2,FALSE),""),"")</f>
        <v/>
      </c>
      <c r="S142" s="729" t="str">
        <f>IFERROR(IF(데이터입력!$AE$2="추경",VLOOKUP($N142,데이터입력!$A:$H,5,FALSE),""),"")</f>
        <v/>
      </c>
      <c r="T142" s="729" t="str">
        <f>IFERROR(IF(데이터입력!$AE$2="추경",VLOOKUP($N142,데이터입력!$A:$H,6,FALSE),""),"")</f>
        <v/>
      </c>
      <c r="U142" s="730" t="str">
        <f>IFERROR(IF(데이터입력!$AE$2="추경",VLOOKUP($N142,데이터입력!$A:$L,8,FALSE)+VLOOKUP($N142,데이터입력!$A:$L,9,FALSE)+VLOOKUP($N142,데이터입력!$A:$L,10,FALSE),""),"")</f>
        <v/>
      </c>
      <c r="V142" s="731" t="s">
        <v>136</v>
      </c>
      <c r="W142" s="731" t="s">
        <v>136</v>
      </c>
      <c r="X142" s="731" t="s">
        <v>136</v>
      </c>
      <c r="Y142" s="712"/>
      <c r="Z142" s="235" t="str">
        <f>데이터입력!$AB$8</f>
        <v>00</v>
      </c>
      <c r="AA142" s="238" t="str">
        <f>데이터입력!$AC$9</f>
        <v>일반사업[일반]</v>
      </c>
      <c r="AB142" s="236" t="str">
        <f>IFERROR(IF(데이터입력!$AE$2="추경",VLOOKUP($A142,보수일람표!$A:$M,4,FALSE),""),"")</f>
        <v/>
      </c>
      <c r="AC142" s="236" t="str">
        <f>IFERROR(IF(데이터입력!$AE$2="추경",VLOOKUP($A142,보수일람표!$A:$M,5,FALSE),""),"")</f>
        <v/>
      </c>
      <c r="AD142" s="236" t="str">
        <f>IFERROR(IF(데이터입력!$AE$2="추경",VLOOKUP($A142,보수일람표!$A:$M,6,FALSE),""),"")</f>
        <v/>
      </c>
      <c r="AE142" s="236" t="str">
        <f>IFERROR(IF(데이터입력!$AE$2="추경",VLOOKUP($A142,보수일람표!$A:$M,7,FALSE),""),"")</f>
        <v>직접</v>
      </c>
      <c r="AF142" s="236"/>
      <c r="AG142" s="237">
        <f>IFERROR(IF(데이터입력!$AE$2="추경",VLOOKUP($A142,보수일람표!$A:$M,9,FALSE),""),"")</f>
        <v>0</v>
      </c>
      <c r="AH142" s="237">
        <f>IFERROR(IF(데이터입력!$AE$2="추경",VLOOKUP($A142,보수일람표!$A:$M,10,FALSE),""),"")</f>
        <v>0</v>
      </c>
      <c r="AI142" s="237">
        <f>IFERROR(IF(데이터입력!$AE$2="추경",VLOOKUP($A142,보수일람표!$A:$M,11,FALSE),""),"")</f>
        <v>0</v>
      </c>
      <c r="AJ142" s="237">
        <f>IFERROR(IF(데이터입력!$AE$2="추경",VLOOKUP($A142,보수일람표!$A:$M,12,FALSE),""),"")</f>
        <v>0</v>
      </c>
      <c r="AK142" s="237">
        <f>IFERROR(IF(데이터입력!$AE$2="추경",VLOOKUP($A142,보수일람표!$A:$M,13,FALSE),""),"")</f>
        <v>0</v>
      </c>
    </row>
    <row r="143" spans="1:37">
      <c r="A143" s="233">
        <v>141</v>
      </c>
      <c r="B143" s="719" t="str">
        <f>IFERROR(IF(F143="06",데이터입력!$AB$8,IF(F143="07",데이터입력!$AD$8,IF(F143="05",데이터입력!$AF$8,데이터입력!$AB$8))),데이터입력!$AB$8)</f>
        <v>00</v>
      </c>
      <c r="C143" s="720" t="str">
        <f>데이터입력!$AC$9</f>
        <v>일반사업[일반]</v>
      </c>
      <c r="D143" s="721" t="str">
        <f>IFERROR(IF(AND(데이터입력!$AE$2="추경",데이터입력!$AM$2=TRUE),VLOOKUP($A143,데이터입력!$A:$H,4,FALSE),""),"")</f>
        <v/>
      </c>
      <c r="E143" s="721" t="str">
        <f>IFERROR(IF(AND(데이터입력!$AE$2="추경",데이터입력!$AM$2=TRUE),VLOOKUP($A143,데이터입력!$A:$H,2,FALSE),""),"")</f>
        <v/>
      </c>
      <c r="F143" s="721" t="str">
        <f>IFERROR(IF(AND(데이터입력!$AE$2="추경",데이터입력!$AM$2=TRUE),VLOOKUP($A143,데이터입력!$A:$H,5,FALSE),""),"")</f>
        <v/>
      </c>
      <c r="G143" s="721" t="str">
        <f>IFERROR(IF(AND(데이터입력!$AE$2="추경",데이터입력!$AM$2=TRUE),VLOOKUP($A143,데이터입력!$A:$H,6,FALSE),""),"")</f>
        <v/>
      </c>
      <c r="H143" s="722" t="str">
        <f>IFERROR(IF(AND(데이터입력!$AE$2="추경",데이터입력!$AM$2=TRUE),VLOOKUP($A143,데이터입력!$A:$L,7,FALSE),""),"")</f>
        <v/>
      </c>
      <c r="I143" s="722" t="str">
        <f>IFERROR(IF(AND(데이터입력!$AE$2="추경",데이터입력!$AM$2=TRUE),VLOOKUP($A143,데이터입력!$A:$L,8,FALSE)+VLOOKUP($A143,데이터입력!$A:$L,9,FALSE)+VLOOKUP($A143,데이터입력!$A:$L,10,FALSE),""),"")</f>
        <v/>
      </c>
      <c r="J143" s="723" t="s">
        <v>136</v>
      </c>
      <c r="K143" s="723" t="s">
        <v>136</v>
      </c>
      <c r="L143" s="723" t="s">
        <v>136</v>
      </c>
      <c r="M143" s="715"/>
      <c r="N143" s="233">
        <v>341</v>
      </c>
      <c r="O143" s="727" t="str">
        <f>IFERROR(IF(S143="06",데이터입력!$AB$8,IF(S143="07",데이터입력!$AD$8,IF(S143="05",데이터입력!$AF$8,데이터입력!$AB$8))),데이터입력!$AB$8)</f>
        <v>00</v>
      </c>
      <c r="P143" s="728" t="str">
        <f>데이터입력!$AC$9</f>
        <v>일반사업[일반]</v>
      </c>
      <c r="Q143" s="729" t="str">
        <f>IFERROR(IF(데이터입력!$AE$2="추경",VLOOKUP($N143,데이터입력!$A:$H,4,FALSE),""),"")</f>
        <v/>
      </c>
      <c r="R143" s="729" t="str">
        <f>IFERROR(IF(데이터입력!$AE$2="추경",VLOOKUP($N143,데이터입력!$A:$H,2,FALSE),""),"")</f>
        <v/>
      </c>
      <c r="S143" s="729" t="str">
        <f>IFERROR(IF(데이터입력!$AE$2="추경",VLOOKUP($N143,데이터입력!$A:$H,5,FALSE),""),"")</f>
        <v/>
      </c>
      <c r="T143" s="729" t="str">
        <f>IFERROR(IF(데이터입력!$AE$2="추경",VLOOKUP($N143,데이터입력!$A:$H,6,FALSE),""),"")</f>
        <v/>
      </c>
      <c r="U143" s="730" t="str">
        <f>IFERROR(IF(데이터입력!$AE$2="추경",VLOOKUP($N143,데이터입력!$A:$L,8,FALSE)+VLOOKUP($N143,데이터입력!$A:$L,9,FALSE)+VLOOKUP($N143,데이터입력!$A:$L,10,FALSE),""),"")</f>
        <v/>
      </c>
      <c r="V143" s="731" t="s">
        <v>136</v>
      </c>
      <c r="W143" s="731" t="s">
        <v>136</v>
      </c>
      <c r="X143" s="731" t="s">
        <v>136</v>
      </c>
      <c r="Y143" s="712"/>
      <c r="Z143" s="235" t="str">
        <f>데이터입력!$AB$8</f>
        <v>00</v>
      </c>
      <c r="AA143" s="238" t="str">
        <f>데이터입력!$AC$9</f>
        <v>일반사업[일반]</v>
      </c>
      <c r="AB143" s="236" t="str">
        <f>IFERROR(IF(데이터입력!$AE$2="추경",VLOOKUP($A143,보수일람표!$A:$M,4,FALSE),""),"")</f>
        <v/>
      </c>
      <c r="AC143" s="236" t="str">
        <f>IFERROR(IF(데이터입력!$AE$2="추경",VLOOKUP($A143,보수일람표!$A:$M,5,FALSE),""),"")</f>
        <v/>
      </c>
      <c r="AD143" s="236" t="str">
        <f>IFERROR(IF(데이터입력!$AE$2="추경",VLOOKUP($A143,보수일람표!$A:$M,6,FALSE),""),"")</f>
        <v/>
      </c>
      <c r="AE143" s="236" t="str">
        <f>IFERROR(IF(데이터입력!$AE$2="추경",VLOOKUP($A143,보수일람표!$A:$M,7,FALSE),""),"")</f>
        <v>직접</v>
      </c>
      <c r="AF143" s="236"/>
      <c r="AG143" s="237">
        <f>IFERROR(IF(데이터입력!$AE$2="추경",VLOOKUP($A143,보수일람표!$A:$M,9,FALSE),""),"")</f>
        <v>0</v>
      </c>
      <c r="AH143" s="237">
        <f>IFERROR(IF(데이터입력!$AE$2="추경",VLOOKUP($A143,보수일람표!$A:$M,10,FALSE),""),"")</f>
        <v>0</v>
      </c>
      <c r="AI143" s="237">
        <f>IFERROR(IF(데이터입력!$AE$2="추경",VLOOKUP($A143,보수일람표!$A:$M,11,FALSE),""),"")</f>
        <v>0</v>
      </c>
      <c r="AJ143" s="237">
        <f>IFERROR(IF(데이터입력!$AE$2="추경",VLOOKUP($A143,보수일람표!$A:$M,12,FALSE),""),"")</f>
        <v>0</v>
      </c>
      <c r="AK143" s="237">
        <f>IFERROR(IF(데이터입력!$AE$2="추경",VLOOKUP($A143,보수일람표!$A:$M,13,FALSE),""),"")</f>
        <v>0</v>
      </c>
    </row>
    <row r="144" spans="1:37">
      <c r="A144" s="233">
        <v>142</v>
      </c>
      <c r="B144" s="719" t="str">
        <f>IFERROR(IF(F144="06",데이터입력!$AB$8,IF(F144="07",데이터입력!$AD$8,IF(F144="05",데이터입력!$AF$8,데이터입력!$AB$8))),데이터입력!$AB$8)</f>
        <v>00</v>
      </c>
      <c r="C144" s="720" t="str">
        <f>데이터입력!$AC$9</f>
        <v>일반사업[일반]</v>
      </c>
      <c r="D144" s="721" t="str">
        <f>IFERROR(IF(AND(데이터입력!$AE$2="추경",데이터입력!$AM$2=TRUE),VLOOKUP($A144,데이터입력!$A:$H,4,FALSE),""),"")</f>
        <v/>
      </c>
      <c r="E144" s="721" t="str">
        <f>IFERROR(IF(AND(데이터입력!$AE$2="추경",데이터입력!$AM$2=TRUE),VLOOKUP($A144,데이터입력!$A:$H,2,FALSE),""),"")</f>
        <v/>
      </c>
      <c r="F144" s="721" t="str">
        <f>IFERROR(IF(AND(데이터입력!$AE$2="추경",데이터입력!$AM$2=TRUE),VLOOKUP($A144,데이터입력!$A:$H,5,FALSE),""),"")</f>
        <v/>
      </c>
      <c r="G144" s="721" t="str">
        <f>IFERROR(IF(AND(데이터입력!$AE$2="추경",데이터입력!$AM$2=TRUE),VLOOKUP($A144,데이터입력!$A:$H,6,FALSE),""),"")</f>
        <v/>
      </c>
      <c r="H144" s="722" t="str">
        <f>IFERROR(IF(AND(데이터입력!$AE$2="추경",데이터입력!$AM$2=TRUE),VLOOKUP($A144,데이터입력!$A:$L,7,FALSE),""),"")</f>
        <v/>
      </c>
      <c r="I144" s="722" t="str">
        <f>IFERROR(IF(AND(데이터입력!$AE$2="추경",데이터입력!$AM$2=TRUE),VLOOKUP($A144,데이터입력!$A:$L,8,FALSE)+VLOOKUP($A144,데이터입력!$A:$L,9,FALSE)+VLOOKUP($A144,데이터입력!$A:$L,10,FALSE),""),"")</f>
        <v/>
      </c>
      <c r="J144" s="723" t="s">
        <v>136</v>
      </c>
      <c r="K144" s="723" t="s">
        <v>136</v>
      </c>
      <c r="L144" s="723" t="s">
        <v>136</v>
      </c>
      <c r="M144" s="715"/>
      <c r="N144" s="233">
        <v>342</v>
      </c>
      <c r="O144" s="727" t="str">
        <f>IFERROR(IF(S144="06",데이터입력!$AB$8,IF(S144="07",데이터입력!$AD$8,IF(S144="05",데이터입력!$AF$8,데이터입력!$AB$8))),데이터입력!$AB$8)</f>
        <v>00</v>
      </c>
      <c r="P144" s="728" t="str">
        <f>데이터입력!$AC$9</f>
        <v>일반사업[일반]</v>
      </c>
      <c r="Q144" s="729" t="str">
        <f>IFERROR(IF(데이터입력!$AE$2="추경",VLOOKUP($N144,데이터입력!$A:$H,4,FALSE),""),"")</f>
        <v/>
      </c>
      <c r="R144" s="729" t="str">
        <f>IFERROR(IF(데이터입력!$AE$2="추경",VLOOKUP($N144,데이터입력!$A:$H,2,FALSE),""),"")</f>
        <v/>
      </c>
      <c r="S144" s="729" t="str">
        <f>IFERROR(IF(데이터입력!$AE$2="추경",VLOOKUP($N144,데이터입력!$A:$H,5,FALSE),""),"")</f>
        <v/>
      </c>
      <c r="T144" s="729" t="str">
        <f>IFERROR(IF(데이터입력!$AE$2="추경",VLOOKUP($N144,데이터입력!$A:$H,6,FALSE),""),"")</f>
        <v/>
      </c>
      <c r="U144" s="730" t="str">
        <f>IFERROR(IF(데이터입력!$AE$2="추경",VLOOKUP($N144,데이터입력!$A:$L,8,FALSE)+VLOOKUP($N144,데이터입력!$A:$L,9,FALSE)+VLOOKUP($N144,데이터입력!$A:$L,10,FALSE),""),"")</f>
        <v/>
      </c>
      <c r="V144" s="731" t="s">
        <v>136</v>
      </c>
      <c r="W144" s="731" t="s">
        <v>136</v>
      </c>
      <c r="X144" s="731" t="s">
        <v>136</v>
      </c>
      <c r="Y144" s="712"/>
      <c r="Z144" s="235" t="str">
        <f>데이터입력!$AB$8</f>
        <v>00</v>
      </c>
      <c r="AA144" s="238" t="str">
        <f>데이터입력!$AC$9</f>
        <v>일반사업[일반]</v>
      </c>
      <c r="AB144" s="236" t="str">
        <f>IFERROR(IF(데이터입력!$AE$2="추경",VLOOKUP($A144,보수일람표!$A:$M,4,FALSE),""),"")</f>
        <v/>
      </c>
      <c r="AC144" s="236" t="str">
        <f>IFERROR(IF(데이터입력!$AE$2="추경",VLOOKUP($A144,보수일람표!$A:$M,5,FALSE),""),"")</f>
        <v/>
      </c>
      <c r="AD144" s="236" t="str">
        <f>IFERROR(IF(데이터입력!$AE$2="추경",VLOOKUP($A144,보수일람표!$A:$M,6,FALSE),""),"")</f>
        <v/>
      </c>
      <c r="AE144" s="236" t="str">
        <f>IFERROR(IF(데이터입력!$AE$2="추경",VLOOKUP($A144,보수일람표!$A:$M,7,FALSE),""),"")</f>
        <v>직접</v>
      </c>
      <c r="AF144" s="236"/>
      <c r="AG144" s="237">
        <f>IFERROR(IF(데이터입력!$AE$2="추경",VLOOKUP($A144,보수일람표!$A:$M,9,FALSE),""),"")</f>
        <v>0</v>
      </c>
      <c r="AH144" s="237">
        <f>IFERROR(IF(데이터입력!$AE$2="추경",VLOOKUP($A144,보수일람표!$A:$M,10,FALSE),""),"")</f>
        <v>0</v>
      </c>
      <c r="AI144" s="237">
        <f>IFERROR(IF(데이터입력!$AE$2="추경",VLOOKUP($A144,보수일람표!$A:$M,11,FALSE),""),"")</f>
        <v>0</v>
      </c>
      <c r="AJ144" s="237">
        <f>IFERROR(IF(데이터입력!$AE$2="추경",VLOOKUP($A144,보수일람표!$A:$M,12,FALSE),""),"")</f>
        <v>0</v>
      </c>
      <c r="AK144" s="237">
        <f>IFERROR(IF(데이터입력!$AE$2="추경",VLOOKUP($A144,보수일람표!$A:$M,13,FALSE),""),"")</f>
        <v>0</v>
      </c>
    </row>
    <row r="145" spans="1:37">
      <c r="A145" s="233">
        <v>143</v>
      </c>
      <c r="B145" s="719" t="str">
        <f>IFERROR(IF(F145="06",데이터입력!$AB$8,IF(F145="07",데이터입력!$AD$8,IF(F145="05",데이터입력!$AF$8,데이터입력!$AB$8))),데이터입력!$AB$8)</f>
        <v>00</v>
      </c>
      <c r="C145" s="720" t="str">
        <f>데이터입력!$AC$9</f>
        <v>일반사업[일반]</v>
      </c>
      <c r="D145" s="721" t="str">
        <f>IFERROR(IF(AND(데이터입력!$AE$2="추경",데이터입력!$AM$2=TRUE),VLOOKUP($A145,데이터입력!$A:$H,4,FALSE),""),"")</f>
        <v/>
      </c>
      <c r="E145" s="721" t="str">
        <f>IFERROR(IF(AND(데이터입력!$AE$2="추경",데이터입력!$AM$2=TRUE),VLOOKUP($A145,데이터입력!$A:$H,2,FALSE),""),"")</f>
        <v/>
      </c>
      <c r="F145" s="721" t="str">
        <f>IFERROR(IF(AND(데이터입력!$AE$2="추경",데이터입력!$AM$2=TRUE),VLOOKUP($A145,데이터입력!$A:$H,5,FALSE),""),"")</f>
        <v/>
      </c>
      <c r="G145" s="721" t="str">
        <f>IFERROR(IF(AND(데이터입력!$AE$2="추경",데이터입력!$AM$2=TRUE),VLOOKUP($A145,데이터입력!$A:$H,6,FALSE),""),"")</f>
        <v/>
      </c>
      <c r="H145" s="722" t="str">
        <f>IFERROR(IF(AND(데이터입력!$AE$2="추경",데이터입력!$AM$2=TRUE),VLOOKUP($A145,데이터입력!$A:$L,7,FALSE),""),"")</f>
        <v/>
      </c>
      <c r="I145" s="722" t="str">
        <f>IFERROR(IF(AND(데이터입력!$AE$2="추경",데이터입력!$AM$2=TRUE),VLOOKUP($A145,데이터입력!$A:$L,8,FALSE)+VLOOKUP($A145,데이터입력!$A:$L,9,FALSE)+VLOOKUP($A145,데이터입력!$A:$L,10,FALSE),""),"")</f>
        <v/>
      </c>
      <c r="J145" s="723" t="s">
        <v>136</v>
      </c>
      <c r="K145" s="723" t="s">
        <v>136</v>
      </c>
      <c r="L145" s="723" t="s">
        <v>136</v>
      </c>
      <c r="M145" s="715"/>
      <c r="N145" s="233">
        <v>343</v>
      </c>
      <c r="O145" s="727" t="str">
        <f>IFERROR(IF(S145="06",데이터입력!$AB$8,IF(S145="07",데이터입력!$AD$8,IF(S145="05",데이터입력!$AF$8,데이터입력!$AB$8))),데이터입력!$AB$8)</f>
        <v>00</v>
      </c>
      <c r="P145" s="728" t="str">
        <f>데이터입력!$AC$9</f>
        <v>일반사업[일반]</v>
      </c>
      <c r="Q145" s="729" t="str">
        <f>IFERROR(IF(데이터입력!$AE$2="추경",VLOOKUP($N145,데이터입력!$A:$H,4,FALSE),""),"")</f>
        <v/>
      </c>
      <c r="R145" s="729" t="str">
        <f>IFERROR(IF(데이터입력!$AE$2="추경",VLOOKUP($N145,데이터입력!$A:$H,2,FALSE),""),"")</f>
        <v/>
      </c>
      <c r="S145" s="729" t="str">
        <f>IFERROR(IF(데이터입력!$AE$2="추경",VLOOKUP($N145,데이터입력!$A:$H,5,FALSE),""),"")</f>
        <v/>
      </c>
      <c r="T145" s="729" t="str">
        <f>IFERROR(IF(데이터입력!$AE$2="추경",VLOOKUP($N145,데이터입력!$A:$H,6,FALSE),""),"")</f>
        <v/>
      </c>
      <c r="U145" s="730" t="str">
        <f>IFERROR(IF(데이터입력!$AE$2="추경",VLOOKUP($N145,데이터입력!$A:$L,8,FALSE)+VLOOKUP($N145,데이터입력!$A:$L,9,FALSE)+VLOOKUP($N145,데이터입력!$A:$L,10,FALSE),""),"")</f>
        <v/>
      </c>
      <c r="V145" s="731" t="s">
        <v>136</v>
      </c>
      <c r="W145" s="731" t="s">
        <v>136</v>
      </c>
      <c r="X145" s="731" t="s">
        <v>136</v>
      </c>
      <c r="Y145" s="712"/>
      <c r="Z145" s="235" t="str">
        <f>데이터입력!$AB$8</f>
        <v>00</v>
      </c>
      <c r="AA145" s="238" t="str">
        <f>데이터입력!$AC$9</f>
        <v>일반사업[일반]</v>
      </c>
      <c r="AB145" s="236" t="str">
        <f>IFERROR(IF(데이터입력!$AE$2="추경",VLOOKUP($A145,보수일람표!$A:$M,4,FALSE),""),"")</f>
        <v/>
      </c>
      <c r="AC145" s="236" t="str">
        <f>IFERROR(IF(데이터입력!$AE$2="추경",VLOOKUP($A145,보수일람표!$A:$M,5,FALSE),""),"")</f>
        <v/>
      </c>
      <c r="AD145" s="236" t="str">
        <f>IFERROR(IF(데이터입력!$AE$2="추경",VLOOKUP($A145,보수일람표!$A:$M,6,FALSE),""),"")</f>
        <v/>
      </c>
      <c r="AE145" s="236" t="str">
        <f>IFERROR(IF(데이터입력!$AE$2="추경",VLOOKUP($A145,보수일람표!$A:$M,7,FALSE),""),"")</f>
        <v>직접</v>
      </c>
      <c r="AF145" s="236"/>
      <c r="AG145" s="237">
        <f>IFERROR(IF(데이터입력!$AE$2="추경",VLOOKUP($A145,보수일람표!$A:$M,9,FALSE),""),"")</f>
        <v>0</v>
      </c>
      <c r="AH145" s="237">
        <f>IFERROR(IF(데이터입력!$AE$2="추경",VLOOKUP($A145,보수일람표!$A:$M,10,FALSE),""),"")</f>
        <v>0</v>
      </c>
      <c r="AI145" s="237">
        <f>IFERROR(IF(데이터입력!$AE$2="추경",VLOOKUP($A145,보수일람표!$A:$M,11,FALSE),""),"")</f>
        <v>0</v>
      </c>
      <c r="AJ145" s="237">
        <f>IFERROR(IF(데이터입력!$AE$2="추경",VLOOKUP($A145,보수일람표!$A:$M,12,FALSE),""),"")</f>
        <v>0</v>
      </c>
      <c r="AK145" s="237">
        <f>IFERROR(IF(데이터입력!$AE$2="추경",VLOOKUP($A145,보수일람표!$A:$M,13,FALSE),""),"")</f>
        <v>0</v>
      </c>
    </row>
    <row r="146" spans="1:37">
      <c r="A146" s="233">
        <v>144</v>
      </c>
      <c r="B146" s="719" t="str">
        <f>IFERROR(IF(F146="06",데이터입력!$AB$8,IF(F146="07",데이터입력!$AD$8,IF(F146="05",데이터입력!$AF$8,데이터입력!$AB$8))),데이터입력!$AB$8)</f>
        <v>00</v>
      </c>
      <c r="C146" s="720" t="str">
        <f>데이터입력!$AC$9</f>
        <v>일반사업[일반]</v>
      </c>
      <c r="D146" s="721" t="str">
        <f>IFERROR(IF(AND(데이터입력!$AE$2="추경",데이터입력!$AM$2=TRUE),VLOOKUP($A146,데이터입력!$A:$H,4,FALSE),""),"")</f>
        <v/>
      </c>
      <c r="E146" s="721" t="str">
        <f>IFERROR(IF(AND(데이터입력!$AE$2="추경",데이터입력!$AM$2=TRUE),VLOOKUP($A146,데이터입력!$A:$H,2,FALSE),""),"")</f>
        <v/>
      </c>
      <c r="F146" s="721" t="str">
        <f>IFERROR(IF(AND(데이터입력!$AE$2="추경",데이터입력!$AM$2=TRUE),VLOOKUP($A146,데이터입력!$A:$H,5,FALSE),""),"")</f>
        <v/>
      </c>
      <c r="G146" s="721" t="str">
        <f>IFERROR(IF(AND(데이터입력!$AE$2="추경",데이터입력!$AM$2=TRUE),VLOOKUP($A146,데이터입력!$A:$H,6,FALSE),""),"")</f>
        <v/>
      </c>
      <c r="H146" s="722" t="str">
        <f>IFERROR(IF(AND(데이터입력!$AE$2="추경",데이터입력!$AM$2=TRUE),VLOOKUP($A146,데이터입력!$A:$L,7,FALSE),""),"")</f>
        <v/>
      </c>
      <c r="I146" s="722" t="str">
        <f>IFERROR(IF(AND(데이터입력!$AE$2="추경",데이터입력!$AM$2=TRUE),VLOOKUP($A146,데이터입력!$A:$L,8,FALSE)+VLOOKUP($A146,데이터입력!$A:$L,9,FALSE)+VLOOKUP($A146,데이터입력!$A:$L,10,FALSE),""),"")</f>
        <v/>
      </c>
      <c r="J146" s="723" t="s">
        <v>136</v>
      </c>
      <c r="K146" s="723" t="s">
        <v>136</v>
      </c>
      <c r="L146" s="723" t="s">
        <v>136</v>
      </c>
      <c r="M146" s="715"/>
      <c r="N146" s="233">
        <v>344</v>
      </c>
      <c r="O146" s="727" t="str">
        <f>IFERROR(IF(S146="06",데이터입력!$AB$8,IF(S146="07",데이터입력!$AD$8,IF(S146="05",데이터입력!$AF$8,데이터입력!$AB$8))),데이터입력!$AB$8)</f>
        <v>00</v>
      </c>
      <c r="P146" s="728" t="str">
        <f>데이터입력!$AC$9</f>
        <v>일반사업[일반]</v>
      </c>
      <c r="Q146" s="729" t="str">
        <f>IFERROR(IF(데이터입력!$AE$2="추경",VLOOKUP($N146,데이터입력!$A:$H,4,FALSE),""),"")</f>
        <v/>
      </c>
      <c r="R146" s="729" t="str">
        <f>IFERROR(IF(데이터입력!$AE$2="추경",VLOOKUP($N146,데이터입력!$A:$H,2,FALSE),""),"")</f>
        <v/>
      </c>
      <c r="S146" s="729" t="str">
        <f>IFERROR(IF(데이터입력!$AE$2="추경",VLOOKUP($N146,데이터입력!$A:$H,5,FALSE),""),"")</f>
        <v/>
      </c>
      <c r="T146" s="729" t="str">
        <f>IFERROR(IF(데이터입력!$AE$2="추경",VLOOKUP($N146,데이터입력!$A:$H,6,FALSE),""),"")</f>
        <v/>
      </c>
      <c r="U146" s="730" t="str">
        <f>IFERROR(IF(데이터입력!$AE$2="추경",VLOOKUP($N146,데이터입력!$A:$L,8,FALSE)+VLOOKUP($N146,데이터입력!$A:$L,9,FALSE)+VLOOKUP($N146,데이터입력!$A:$L,10,FALSE),""),"")</f>
        <v/>
      </c>
      <c r="V146" s="731" t="s">
        <v>136</v>
      </c>
      <c r="W146" s="731" t="s">
        <v>136</v>
      </c>
      <c r="X146" s="731" t="s">
        <v>136</v>
      </c>
      <c r="Y146" s="712"/>
      <c r="Z146" s="235" t="str">
        <f>데이터입력!$AB$8</f>
        <v>00</v>
      </c>
      <c r="AA146" s="238" t="str">
        <f>데이터입력!$AC$9</f>
        <v>일반사업[일반]</v>
      </c>
      <c r="AB146" s="236" t="str">
        <f>IFERROR(IF(데이터입력!$AE$2="추경",VLOOKUP($A146,보수일람표!$A:$M,4,FALSE),""),"")</f>
        <v/>
      </c>
      <c r="AC146" s="236" t="str">
        <f>IFERROR(IF(데이터입력!$AE$2="추경",VLOOKUP($A146,보수일람표!$A:$M,5,FALSE),""),"")</f>
        <v/>
      </c>
      <c r="AD146" s="236" t="str">
        <f>IFERROR(IF(데이터입력!$AE$2="추경",VLOOKUP($A146,보수일람표!$A:$M,6,FALSE),""),"")</f>
        <v/>
      </c>
      <c r="AE146" s="236" t="str">
        <f>IFERROR(IF(데이터입력!$AE$2="추경",VLOOKUP($A146,보수일람표!$A:$M,7,FALSE),""),"")</f>
        <v>직접</v>
      </c>
      <c r="AF146" s="236"/>
      <c r="AG146" s="237">
        <f>IFERROR(IF(데이터입력!$AE$2="추경",VLOOKUP($A146,보수일람표!$A:$M,9,FALSE),""),"")</f>
        <v>0</v>
      </c>
      <c r="AH146" s="237">
        <f>IFERROR(IF(데이터입력!$AE$2="추경",VLOOKUP($A146,보수일람표!$A:$M,10,FALSE),""),"")</f>
        <v>0</v>
      </c>
      <c r="AI146" s="237">
        <f>IFERROR(IF(데이터입력!$AE$2="추경",VLOOKUP($A146,보수일람표!$A:$M,11,FALSE),""),"")</f>
        <v>0</v>
      </c>
      <c r="AJ146" s="237">
        <f>IFERROR(IF(데이터입력!$AE$2="추경",VLOOKUP($A146,보수일람표!$A:$M,12,FALSE),""),"")</f>
        <v>0</v>
      </c>
      <c r="AK146" s="237">
        <f>IFERROR(IF(데이터입력!$AE$2="추경",VLOOKUP($A146,보수일람표!$A:$M,13,FALSE),""),"")</f>
        <v>0</v>
      </c>
    </row>
    <row r="147" spans="1:37">
      <c r="A147" s="233">
        <v>145</v>
      </c>
      <c r="B147" s="719" t="str">
        <f>IFERROR(IF(F147="06",데이터입력!$AB$8,IF(F147="07",데이터입력!$AD$8,IF(F147="05",데이터입력!$AF$8,데이터입력!$AB$8))),데이터입력!$AB$8)</f>
        <v>00</v>
      </c>
      <c r="C147" s="720" t="str">
        <f>데이터입력!$AC$9</f>
        <v>일반사업[일반]</v>
      </c>
      <c r="D147" s="721" t="str">
        <f>IFERROR(IF(AND(데이터입력!$AE$2="추경",데이터입력!$AM$2=TRUE),VLOOKUP($A147,데이터입력!$A:$H,4,FALSE),""),"")</f>
        <v/>
      </c>
      <c r="E147" s="721" t="str">
        <f>IFERROR(IF(AND(데이터입력!$AE$2="추경",데이터입력!$AM$2=TRUE),VLOOKUP($A147,데이터입력!$A:$H,2,FALSE),""),"")</f>
        <v/>
      </c>
      <c r="F147" s="721" t="str">
        <f>IFERROR(IF(AND(데이터입력!$AE$2="추경",데이터입력!$AM$2=TRUE),VLOOKUP($A147,데이터입력!$A:$H,5,FALSE),""),"")</f>
        <v/>
      </c>
      <c r="G147" s="721" t="str">
        <f>IFERROR(IF(AND(데이터입력!$AE$2="추경",데이터입력!$AM$2=TRUE),VLOOKUP($A147,데이터입력!$A:$H,6,FALSE),""),"")</f>
        <v/>
      </c>
      <c r="H147" s="722" t="str">
        <f>IFERROR(IF(AND(데이터입력!$AE$2="추경",데이터입력!$AM$2=TRUE),VLOOKUP($A147,데이터입력!$A:$L,7,FALSE),""),"")</f>
        <v/>
      </c>
      <c r="I147" s="722" t="str">
        <f>IFERROR(IF(AND(데이터입력!$AE$2="추경",데이터입력!$AM$2=TRUE),VLOOKUP($A147,데이터입력!$A:$L,8,FALSE)+VLOOKUP($A147,데이터입력!$A:$L,9,FALSE)+VLOOKUP($A147,데이터입력!$A:$L,10,FALSE),""),"")</f>
        <v/>
      </c>
      <c r="J147" s="723" t="s">
        <v>136</v>
      </c>
      <c r="K147" s="723" t="s">
        <v>136</v>
      </c>
      <c r="L147" s="723" t="s">
        <v>136</v>
      </c>
      <c r="M147" s="715"/>
      <c r="N147" s="233">
        <v>345</v>
      </c>
      <c r="O147" s="727" t="str">
        <f>IFERROR(IF(S147="06",데이터입력!$AB$8,IF(S147="07",데이터입력!$AD$8,IF(S147="05",데이터입력!$AF$8,데이터입력!$AB$8))),데이터입력!$AB$8)</f>
        <v>00</v>
      </c>
      <c r="P147" s="728" t="str">
        <f>데이터입력!$AC$9</f>
        <v>일반사업[일반]</v>
      </c>
      <c r="Q147" s="729" t="str">
        <f>IFERROR(IF(데이터입력!$AE$2="추경",VLOOKUP($N147,데이터입력!$A:$H,4,FALSE),""),"")</f>
        <v/>
      </c>
      <c r="R147" s="729" t="str">
        <f>IFERROR(IF(데이터입력!$AE$2="추경",VLOOKUP($N147,데이터입력!$A:$H,2,FALSE),""),"")</f>
        <v/>
      </c>
      <c r="S147" s="729" t="str">
        <f>IFERROR(IF(데이터입력!$AE$2="추경",VLOOKUP($N147,데이터입력!$A:$H,5,FALSE),""),"")</f>
        <v/>
      </c>
      <c r="T147" s="729" t="str">
        <f>IFERROR(IF(데이터입력!$AE$2="추경",VLOOKUP($N147,데이터입력!$A:$H,6,FALSE),""),"")</f>
        <v/>
      </c>
      <c r="U147" s="730" t="str">
        <f>IFERROR(IF(데이터입력!$AE$2="추경",VLOOKUP($N147,데이터입력!$A:$L,8,FALSE)+VLOOKUP($N147,데이터입력!$A:$L,9,FALSE)+VLOOKUP($N147,데이터입력!$A:$L,10,FALSE),""),"")</f>
        <v/>
      </c>
      <c r="V147" s="731" t="s">
        <v>136</v>
      </c>
      <c r="W147" s="731" t="s">
        <v>136</v>
      </c>
      <c r="X147" s="731" t="s">
        <v>136</v>
      </c>
      <c r="Y147" s="712"/>
      <c r="Z147" s="235" t="str">
        <f>데이터입력!$AB$8</f>
        <v>00</v>
      </c>
      <c r="AA147" s="238" t="str">
        <f>데이터입력!$AC$9</f>
        <v>일반사업[일반]</v>
      </c>
      <c r="AB147" s="236" t="str">
        <f>IFERROR(IF(데이터입력!$AE$2="추경",VLOOKUP($A147,보수일람표!$A:$M,4,FALSE),""),"")</f>
        <v/>
      </c>
      <c r="AC147" s="236" t="str">
        <f>IFERROR(IF(데이터입력!$AE$2="추경",VLOOKUP($A147,보수일람표!$A:$M,5,FALSE),""),"")</f>
        <v/>
      </c>
      <c r="AD147" s="236" t="str">
        <f>IFERROR(IF(데이터입력!$AE$2="추경",VLOOKUP($A147,보수일람표!$A:$M,6,FALSE),""),"")</f>
        <v/>
      </c>
      <c r="AE147" s="236" t="str">
        <f>IFERROR(IF(데이터입력!$AE$2="추경",VLOOKUP($A147,보수일람표!$A:$M,7,FALSE),""),"")</f>
        <v>직접</v>
      </c>
      <c r="AF147" s="236"/>
      <c r="AG147" s="237">
        <f>IFERROR(IF(데이터입력!$AE$2="추경",VLOOKUP($A147,보수일람표!$A:$M,9,FALSE),""),"")</f>
        <v>0</v>
      </c>
      <c r="AH147" s="237">
        <f>IFERROR(IF(데이터입력!$AE$2="추경",VLOOKUP($A147,보수일람표!$A:$M,10,FALSE),""),"")</f>
        <v>0</v>
      </c>
      <c r="AI147" s="237">
        <f>IFERROR(IF(데이터입력!$AE$2="추경",VLOOKUP($A147,보수일람표!$A:$M,11,FALSE),""),"")</f>
        <v>0</v>
      </c>
      <c r="AJ147" s="237">
        <f>IFERROR(IF(데이터입력!$AE$2="추경",VLOOKUP($A147,보수일람표!$A:$M,12,FALSE),""),"")</f>
        <v>0</v>
      </c>
      <c r="AK147" s="237">
        <f>IFERROR(IF(데이터입력!$AE$2="추경",VLOOKUP($A147,보수일람표!$A:$M,13,FALSE),""),"")</f>
        <v>0</v>
      </c>
    </row>
    <row r="148" spans="1:37">
      <c r="A148" s="233">
        <v>146</v>
      </c>
      <c r="B148" s="719" t="str">
        <f>IFERROR(IF(F148="06",데이터입력!$AB$8,IF(F148="07",데이터입력!$AD$8,IF(F148="05",데이터입력!$AF$8,데이터입력!$AB$8))),데이터입력!$AB$8)</f>
        <v>00</v>
      </c>
      <c r="C148" s="720" t="str">
        <f>데이터입력!$AC$9</f>
        <v>일반사업[일반]</v>
      </c>
      <c r="D148" s="721" t="str">
        <f>IFERROR(IF(AND(데이터입력!$AE$2="추경",데이터입력!$AM$2=TRUE),VLOOKUP($A148,데이터입력!$A:$H,4,FALSE),""),"")</f>
        <v/>
      </c>
      <c r="E148" s="721" t="str">
        <f>IFERROR(IF(AND(데이터입력!$AE$2="추경",데이터입력!$AM$2=TRUE),VLOOKUP($A148,데이터입력!$A:$H,2,FALSE),""),"")</f>
        <v/>
      </c>
      <c r="F148" s="721" t="str">
        <f>IFERROR(IF(AND(데이터입력!$AE$2="추경",데이터입력!$AM$2=TRUE),VLOOKUP($A148,데이터입력!$A:$H,5,FALSE),""),"")</f>
        <v/>
      </c>
      <c r="G148" s="721" t="str">
        <f>IFERROR(IF(AND(데이터입력!$AE$2="추경",데이터입력!$AM$2=TRUE),VLOOKUP($A148,데이터입력!$A:$H,6,FALSE),""),"")</f>
        <v/>
      </c>
      <c r="H148" s="722" t="str">
        <f>IFERROR(IF(AND(데이터입력!$AE$2="추경",데이터입력!$AM$2=TRUE),VLOOKUP($A148,데이터입력!$A:$L,7,FALSE),""),"")</f>
        <v/>
      </c>
      <c r="I148" s="722" t="str">
        <f>IFERROR(IF(AND(데이터입력!$AE$2="추경",데이터입력!$AM$2=TRUE),VLOOKUP($A148,데이터입력!$A:$L,8,FALSE)+VLOOKUP($A148,데이터입력!$A:$L,9,FALSE)+VLOOKUP($A148,데이터입력!$A:$L,10,FALSE),""),"")</f>
        <v/>
      </c>
      <c r="J148" s="723" t="s">
        <v>136</v>
      </c>
      <c r="K148" s="723" t="s">
        <v>136</v>
      </c>
      <c r="L148" s="723" t="s">
        <v>136</v>
      </c>
      <c r="M148" s="715"/>
      <c r="N148" s="233">
        <v>346</v>
      </c>
      <c r="O148" s="727" t="str">
        <f>IFERROR(IF(S148="06",데이터입력!$AB$8,IF(S148="07",데이터입력!$AD$8,IF(S148="05",데이터입력!$AF$8,데이터입력!$AB$8))),데이터입력!$AB$8)</f>
        <v>00</v>
      </c>
      <c r="P148" s="728" t="str">
        <f>데이터입력!$AC$9</f>
        <v>일반사업[일반]</v>
      </c>
      <c r="Q148" s="729" t="str">
        <f>IFERROR(IF(데이터입력!$AE$2="추경",VLOOKUP($N148,데이터입력!$A:$H,4,FALSE),""),"")</f>
        <v/>
      </c>
      <c r="R148" s="729" t="str">
        <f>IFERROR(IF(데이터입력!$AE$2="추경",VLOOKUP($N148,데이터입력!$A:$H,2,FALSE),""),"")</f>
        <v/>
      </c>
      <c r="S148" s="729" t="str">
        <f>IFERROR(IF(데이터입력!$AE$2="추경",VLOOKUP($N148,데이터입력!$A:$H,5,FALSE),""),"")</f>
        <v/>
      </c>
      <c r="T148" s="729" t="str">
        <f>IFERROR(IF(데이터입력!$AE$2="추경",VLOOKUP($N148,데이터입력!$A:$H,6,FALSE),""),"")</f>
        <v/>
      </c>
      <c r="U148" s="730" t="str">
        <f>IFERROR(IF(데이터입력!$AE$2="추경",VLOOKUP($N148,데이터입력!$A:$L,8,FALSE)+VLOOKUP($N148,데이터입력!$A:$L,9,FALSE)+VLOOKUP($N148,데이터입력!$A:$L,10,FALSE),""),"")</f>
        <v/>
      </c>
      <c r="V148" s="731" t="s">
        <v>136</v>
      </c>
      <c r="W148" s="731" t="s">
        <v>136</v>
      </c>
      <c r="X148" s="731" t="s">
        <v>136</v>
      </c>
      <c r="Y148" s="712"/>
      <c r="Z148" s="235" t="str">
        <f>데이터입력!$AB$8</f>
        <v>00</v>
      </c>
      <c r="AA148" s="238" t="str">
        <f>데이터입력!$AC$9</f>
        <v>일반사업[일반]</v>
      </c>
      <c r="AB148" s="236" t="str">
        <f>IFERROR(IF(데이터입력!$AE$2="추경",VLOOKUP($A148,보수일람표!$A:$M,4,FALSE),""),"")</f>
        <v/>
      </c>
      <c r="AC148" s="236" t="str">
        <f>IFERROR(IF(데이터입력!$AE$2="추경",VLOOKUP($A148,보수일람표!$A:$M,5,FALSE),""),"")</f>
        <v/>
      </c>
      <c r="AD148" s="236" t="str">
        <f>IFERROR(IF(데이터입력!$AE$2="추경",VLOOKUP($A148,보수일람표!$A:$M,6,FALSE),""),"")</f>
        <v/>
      </c>
      <c r="AE148" s="236" t="str">
        <f>IFERROR(IF(데이터입력!$AE$2="추경",VLOOKUP($A148,보수일람표!$A:$M,7,FALSE),""),"")</f>
        <v>직접</v>
      </c>
      <c r="AF148" s="236"/>
      <c r="AG148" s="237">
        <f>IFERROR(IF(데이터입력!$AE$2="추경",VLOOKUP($A148,보수일람표!$A:$M,9,FALSE),""),"")</f>
        <v>0</v>
      </c>
      <c r="AH148" s="237">
        <f>IFERROR(IF(데이터입력!$AE$2="추경",VLOOKUP($A148,보수일람표!$A:$M,10,FALSE),""),"")</f>
        <v>0</v>
      </c>
      <c r="AI148" s="237">
        <f>IFERROR(IF(데이터입력!$AE$2="추경",VLOOKUP($A148,보수일람표!$A:$M,11,FALSE),""),"")</f>
        <v>0</v>
      </c>
      <c r="AJ148" s="237">
        <f>IFERROR(IF(데이터입력!$AE$2="추경",VLOOKUP($A148,보수일람표!$A:$M,12,FALSE),""),"")</f>
        <v>0</v>
      </c>
      <c r="AK148" s="237">
        <f>IFERROR(IF(데이터입력!$AE$2="추경",VLOOKUP($A148,보수일람표!$A:$M,13,FALSE),""),"")</f>
        <v>0</v>
      </c>
    </row>
    <row r="149" spans="1:37">
      <c r="A149" s="233">
        <v>147</v>
      </c>
      <c r="B149" s="719" t="str">
        <f>IFERROR(IF(F149="06",데이터입력!$AB$8,IF(F149="07",데이터입력!$AD$8,IF(F149="05",데이터입력!$AF$8,데이터입력!$AB$8))),데이터입력!$AB$8)</f>
        <v>00</v>
      </c>
      <c r="C149" s="720" t="str">
        <f>데이터입력!$AC$9</f>
        <v>일반사업[일반]</v>
      </c>
      <c r="D149" s="721" t="str">
        <f>IFERROR(IF(AND(데이터입력!$AE$2="추경",데이터입력!$AM$2=TRUE),VLOOKUP($A149,데이터입력!$A:$H,4,FALSE),""),"")</f>
        <v/>
      </c>
      <c r="E149" s="721" t="str">
        <f>IFERROR(IF(AND(데이터입력!$AE$2="추경",데이터입력!$AM$2=TRUE),VLOOKUP($A149,데이터입력!$A:$H,2,FALSE),""),"")</f>
        <v/>
      </c>
      <c r="F149" s="721" t="str">
        <f>IFERROR(IF(AND(데이터입력!$AE$2="추경",데이터입력!$AM$2=TRUE),VLOOKUP($A149,데이터입력!$A:$H,5,FALSE),""),"")</f>
        <v/>
      </c>
      <c r="G149" s="721" t="str">
        <f>IFERROR(IF(AND(데이터입력!$AE$2="추경",데이터입력!$AM$2=TRUE),VLOOKUP($A149,데이터입력!$A:$H,6,FALSE),""),"")</f>
        <v/>
      </c>
      <c r="H149" s="722" t="str">
        <f>IFERROR(IF(AND(데이터입력!$AE$2="추경",데이터입력!$AM$2=TRUE),VLOOKUP($A149,데이터입력!$A:$L,7,FALSE),""),"")</f>
        <v/>
      </c>
      <c r="I149" s="722" t="str">
        <f>IFERROR(IF(AND(데이터입력!$AE$2="추경",데이터입력!$AM$2=TRUE),VLOOKUP($A149,데이터입력!$A:$L,8,FALSE)+VLOOKUP($A149,데이터입력!$A:$L,9,FALSE)+VLOOKUP($A149,데이터입력!$A:$L,10,FALSE),""),"")</f>
        <v/>
      </c>
      <c r="J149" s="723" t="s">
        <v>136</v>
      </c>
      <c r="K149" s="723" t="s">
        <v>136</v>
      </c>
      <c r="L149" s="723" t="s">
        <v>136</v>
      </c>
      <c r="M149" s="715"/>
      <c r="N149" s="233">
        <v>347</v>
      </c>
      <c r="O149" s="727" t="str">
        <f>IFERROR(IF(S149="06",데이터입력!$AB$8,IF(S149="07",데이터입력!$AD$8,IF(S149="05",데이터입력!$AF$8,데이터입력!$AB$8))),데이터입력!$AB$8)</f>
        <v>00</v>
      </c>
      <c r="P149" s="728" t="str">
        <f>데이터입력!$AC$9</f>
        <v>일반사업[일반]</v>
      </c>
      <c r="Q149" s="729" t="str">
        <f>IFERROR(IF(데이터입력!$AE$2="추경",VLOOKUP($N149,데이터입력!$A:$H,4,FALSE),""),"")</f>
        <v/>
      </c>
      <c r="R149" s="729" t="str">
        <f>IFERROR(IF(데이터입력!$AE$2="추경",VLOOKUP($N149,데이터입력!$A:$H,2,FALSE),""),"")</f>
        <v/>
      </c>
      <c r="S149" s="729" t="str">
        <f>IFERROR(IF(데이터입력!$AE$2="추경",VLOOKUP($N149,데이터입력!$A:$H,5,FALSE),""),"")</f>
        <v/>
      </c>
      <c r="T149" s="729" t="str">
        <f>IFERROR(IF(데이터입력!$AE$2="추경",VLOOKUP($N149,데이터입력!$A:$H,6,FALSE),""),"")</f>
        <v/>
      </c>
      <c r="U149" s="730" t="str">
        <f>IFERROR(IF(데이터입력!$AE$2="추경",VLOOKUP($N149,데이터입력!$A:$L,8,FALSE)+VLOOKUP($N149,데이터입력!$A:$L,9,FALSE)+VLOOKUP($N149,데이터입력!$A:$L,10,FALSE),""),"")</f>
        <v/>
      </c>
      <c r="V149" s="731" t="s">
        <v>136</v>
      </c>
      <c r="W149" s="731" t="s">
        <v>136</v>
      </c>
      <c r="X149" s="731" t="s">
        <v>136</v>
      </c>
      <c r="Y149" s="712"/>
      <c r="Z149" s="235" t="str">
        <f>데이터입력!$AB$8</f>
        <v>00</v>
      </c>
      <c r="AA149" s="238" t="str">
        <f>데이터입력!$AC$9</f>
        <v>일반사업[일반]</v>
      </c>
      <c r="AB149" s="236" t="str">
        <f>IFERROR(IF(데이터입력!$AE$2="추경",VLOOKUP($A149,보수일람표!$A:$M,4,FALSE),""),"")</f>
        <v/>
      </c>
      <c r="AC149" s="236" t="str">
        <f>IFERROR(IF(데이터입력!$AE$2="추경",VLOOKUP($A149,보수일람표!$A:$M,5,FALSE),""),"")</f>
        <v/>
      </c>
      <c r="AD149" s="236" t="str">
        <f>IFERROR(IF(데이터입력!$AE$2="추경",VLOOKUP($A149,보수일람표!$A:$M,6,FALSE),""),"")</f>
        <v/>
      </c>
      <c r="AE149" s="236" t="str">
        <f>IFERROR(IF(데이터입력!$AE$2="추경",VLOOKUP($A149,보수일람표!$A:$M,7,FALSE),""),"")</f>
        <v>직접</v>
      </c>
      <c r="AF149" s="236"/>
      <c r="AG149" s="237">
        <f>IFERROR(IF(데이터입력!$AE$2="추경",VLOOKUP($A149,보수일람표!$A:$M,9,FALSE),""),"")</f>
        <v>0</v>
      </c>
      <c r="AH149" s="237">
        <f>IFERROR(IF(데이터입력!$AE$2="추경",VLOOKUP($A149,보수일람표!$A:$M,10,FALSE),""),"")</f>
        <v>0</v>
      </c>
      <c r="AI149" s="237">
        <f>IFERROR(IF(데이터입력!$AE$2="추경",VLOOKUP($A149,보수일람표!$A:$M,11,FALSE),""),"")</f>
        <v>0</v>
      </c>
      <c r="AJ149" s="237">
        <f>IFERROR(IF(데이터입력!$AE$2="추경",VLOOKUP($A149,보수일람표!$A:$M,12,FALSE),""),"")</f>
        <v>0</v>
      </c>
      <c r="AK149" s="237">
        <f>IFERROR(IF(데이터입력!$AE$2="추경",VLOOKUP($A149,보수일람표!$A:$M,13,FALSE),""),"")</f>
        <v>0</v>
      </c>
    </row>
    <row r="150" spans="1:37">
      <c r="A150" s="233">
        <v>148</v>
      </c>
      <c r="B150" s="719" t="str">
        <f>IFERROR(IF(F150="06",데이터입력!$AB$8,IF(F150="07",데이터입력!$AD$8,IF(F150="05",데이터입력!$AF$8,데이터입력!$AB$8))),데이터입력!$AB$8)</f>
        <v>00</v>
      </c>
      <c r="C150" s="720" t="str">
        <f>데이터입력!$AC$9</f>
        <v>일반사업[일반]</v>
      </c>
      <c r="D150" s="721" t="str">
        <f>IFERROR(IF(AND(데이터입력!$AE$2="추경",데이터입력!$AM$2=TRUE),VLOOKUP($A150,데이터입력!$A:$H,4,FALSE),""),"")</f>
        <v/>
      </c>
      <c r="E150" s="721" t="str">
        <f>IFERROR(IF(AND(데이터입력!$AE$2="추경",데이터입력!$AM$2=TRUE),VLOOKUP($A150,데이터입력!$A:$H,2,FALSE),""),"")</f>
        <v/>
      </c>
      <c r="F150" s="721" t="str">
        <f>IFERROR(IF(AND(데이터입력!$AE$2="추경",데이터입력!$AM$2=TRUE),VLOOKUP($A150,데이터입력!$A:$H,5,FALSE),""),"")</f>
        <v/>
      </c>
      <c r="G150" s="721" t="str">
        <f>IFERROR(IF(AND(데이터입력!$AE$2="추경",데이터입력!$AM$2=TRUE),VLOOKUP($A150,데이터입력!$A:$H,6,FALSE),""),"")</f>
        <v/>
      </c>
      <c r="H150" s="722" t="str">
        <f>IFERROR(IF(AND(데이터입력!$AE$2="추경",데이터입력!$AM$2=TRUE),VLOOKUP($A150,데이터입력!$A:$L,7,FALSE),""),"")</f>
        <v/>
      </c>
      <c r="I150" s="722" t="str">
        <f>IFERROR(IF(AND(데이터입력!$AE$2="추경",데이터입력!$AM$2=TRUE),VLOOKUP($A150,데이터입력!$A:$L,8,FALSE)+VLOOKUP($A150,데이터입력!$A:$L,9,FALSE)+VLOOKUP($A150,데이터입력!$A:$L,10,FALSE),""),"")</f>
        <v/>
      </c>
      <c r="J150" s="723" t="s">
        <v>136</v>
      </c>
      <c r="K150" s="723" t="s">
        <v>136</v>
      </c>
      <c r="L150" s="723" t="s">
        <v>136</v>
      </c>
      <c r="M150" s="715"/>
      <c r="N150" s="233">
        <v>348</v>
      </c>
      <c r="O150" s="727" t="str">
        <f>IFERROR(IF(S150="06",데이터입력!$AB$8,IF(S150="07",데이터입력!$AD$8,IF(S150="05",데이터입력!$AF$8,데이터입력!$AB$8))),데이터입력!$AB$8)</f>
        <v>00</v>
      </c>
      <c r="P150" s="728" t="str">
        <f>데이터입력!$AC$9</f>
        <v>일반사업[일반]</v>
      </c>
      <c r="Q150" s="729" t="str">
        <f>IFERROR(IF(데이터입력!$AE$2="추경",VLOOKUP($N150,데이터입력!$A:$H,4,FALSE),""),"")</f>
        <v/>
      </c>
      <c r="R150" s="729" t="str">
        <f>IFERROR(IF(데이터입력!$AE$2="추경",VLOOKUP($N150,데이터입력!$A:$H,2,FALSE),""),"")</f>
        <v/>
      </c>
      <c r="S150" s="729" t="str">
        <f>IFERROR(IF(데이터입력!$AE$2="추경",VLOOKUP($N150,데이터입력!$A:$H,5,FALSE),""),"")</f>
        <v/>
      </c>
      <c r="T150" s="729" t="str">
        <f>IFERROR(IF(데이터입력!$AE$2="추경",VLOOKUP($N150,데이터입력!$A:$H,6,FALSE),""),"")</f>
        <v/>
      </c>
      <c r="U150" s="730" t="str">
        <f>IFERROR(IF(데이터입력!$AE$2="추경",VLOOKUP($N150,데이터입력!$A:$L,8,FALSE)+VLOOKUP($N150,데이터입력!$A:$L,9,FALSE)+VLOOKUP($N150,데이터입력!$A:$L,10,FALSE),""),"")</f>
        <v/>
      </c>
      <c r="V150" s="731" t="s">
        <v>136</v>
      </c>
      <c r="W150" s="731" t="s">
        <v>136</v>
      </c>
      <c r="X150" s="731" t="s">
        <v>136</v>
      </c>
      <c r="Y150" s="712"/>
      <c r="Z150" s="235" t="str">
        <f>데이터입력!$AB$8</f>
        <v>00</v>
      </c>
      <c r="AA150" s="238" t="str">
        <f>데이터입력!$AC$9</f>
        <v>일반사업[일반]</v>
      </c>
      <c r="AB150" s="236" t="str">
        <f>IFERROR(IF(데이터입력!$AE$2="추경",VLOOKUP($A150,보수일람표!$A:$M,4,FALSE),""),"")</f>
        <v/>
      </c>
      <c r="AC150" s="236" t="str">
        <f>IFERROR(IF(데이터입력!$AE$2="추경",VLOOKUP($A150,보수일람표!$A:$M,5,FALSE),""),"")</f>
        <v/>
      </c>
      <c r="AD150" s="236" t="str">
        <f>IFERROR(IF(데이터입력!$AE$2="추경",VLOOKUP($A150,보수일람표!$A:$M,6,FALSE),""),"")</f>
        <v/>
      </c>
      <c r="AE150" s="236" t="str">
        <f>IFERROR(IF(데이터입력!$AE$2="추경",VLOOKUP($A150,보수일람표!$A:$M,7,FALSE),""),"")</f>
        <v>직접</v>
      </c>
      <c r="AF150" s="236"/>
      <c r="AG150" s="237">
        <f>IFERROR(IF(데이터입력!$AE$2="추경",VLOOKUP($A150,보수일람표!$A:$M,9,FALSE),""),"")</f>
        <v>0</v>
      </c>
      <c r="AH150" s="237">
        <f>IFERROR(IF(데이터입력!$AE$2="추경",VLOOKUP($A150,보수일람표!$A:$M,10,FALSE),""),"")</f>
        <v>0</v>
      </c>
      <c r="AI150" s="237">
        <f>IFERROR(IF(데이터입력!$AE$2="추경",VLOOKUP($A150,보수일람표!$A:$M,11,FALSE),""),"")</f>
        <v>0</v>
      </c>
      <c r="AJ150" s="237">
        <f>IFERROR(IF(데이터입력!$AE$2="추경",VLOOKUP($A150,보수일람표!$A:$M,12,FALSE),""),"")</f>
        <v>0</v>
      </c>
      <c r="AK150" s="237">
        <f>IFERROR(IF(데이터입력!$AE$2="추경",VLOOKUP($A150,보수일람표!$A:$M,13,FALSE),""),"")</f>
        <v>0</v>
      </c>
    </row>
    <row r="151" spans="1:37">
      <c r="A151" s="233">
        <v>149</v>
      </c>
      <c r="B151" s="719" t="str">
        <f>IFERROR(IF(F151="06",데이터입력!$AB$8,IF(F151="07",데이터입력!$AD$8,IF(F151="05",데이터입력!$AF$8,데이터입력!$AB$8))),데이터입력!$AB$8)</f>
        <v>00</v>
      </c>
      <c r="C151" s="720" t="str">
        <f>데이터입력!$AC$9</f>
        <v>일반사업[일반]</v>
      </c>
      <c r="D151" s="721" t="str">
        <f>IFERROR(IF(AND(데이터입력!$AE$2="추경",데이터입력!$AM$2=TRUE),VLOOKUP($A151,데이터입력!$A:$H,4,FALSE),""),"")</f>
        <v/>
      </c>
      <c r="E151" s="721" t="str">
        <f>IFERROR(IF(AND(데이터입력!$AE$2="추경",데이터입력!$AM$2=TRUE),VLOOKUP($A151,데이터입력!$A:$H,2,FALSE),""),"")</f>
        <v/>
      </c>
      <c r="F151" s="721" t="str">
        <f>IFERROR(IF(AND(데이터입력!$AE$2="추경",데이터입력!$AM$2=TRUE),VLOOKUP($A151,데이터입력!$A:$H,5,FALSE),""),"")</f>
        <v/>
      </c>
      <c r="G151" s="721" t="str">
        <f>IFERROR(IF(AND(데이터입력!$AE$2="추경",데이터입력!$AM$2=TRUE),VLOOKUP($A151,데이터입력!$A:$H,6,FALSE),""),"")</f>
        <v/>
      </c>
      <c r="H151" s="722" t="str">
        <f>IFERROR(IF(AND(데이터입력!$AE$2="추경",데이터입력!$AM$2=TRUE),VLOOKUP($A151,데이터입력!$A:$L,7,FALSE),""),"")</f>
        <v/>
      </c>
      <c r="I151" s="722" t="str">
        <f>IFERROR(IF(AND(데이터입력!$AE$2="추경",데이터입력!$AM$2=TRUE),VLOOKUP($A151,데이터입력!$A:$L,8,FALSE)+VLOOKUP($A151,데이터입력!$A:$L,9,FALSE)+VLOOKUP($A151,데이터입력!$A:$L,10,FALSE),""),"")</f>
        <v/>
      </c>
      <c r="J151" s="723" t="s">
        <v>136</v>
      </c>
      <c r="K151" s="723" t="s">
        <v>136</v>
      </c>
      <c r="L151" s="723" t="s">
        <v>136</v>
      </c>
      <c r="M151" s="715"/>
      <c r="N151" s="233">
        <v>349</v>
      </c>
      <c r="O151" s="727" t="str">
        <f>IFERROR(IF(S151="06",데이터입력!$AB$8,IF(S151="07",데이터입력!$AD$8,IF(S151="05",데이터입력!$AF$8,데이터입력!$AB$8))),데이터입력!$AB$8)</f>
        <v>00</v>
      </c>
      <c r="P151" s="728" t="str">
        <f>데이터입력!$AC$9</f>
        <v>일반사업[일반]</v>
      </c>
      <c r="Q151" s="729" t="str">
        <f>IFERROR(IF(데이터입력!$AE$2="추경",VLOOKUP($N151,데이터입력!$A:$H,4,FALSE),""),"")</f>
        <v/>
      </c>
      <c r="R151" s="729" t="str">
        <f>IFERROR(IF(데이터입력!$AE$2="추경",VLOOKUP($N151,데이터입력!$A:$H,2,FALSE),""),"")</f>
        <v/>
      </c>
      <c r="S151" s="729" t="str">
        <f>IFERROR(IF(데이터입력!$AE$2="추경",VLOOKUP($N151,데이터입력!$A:$H,5,FALSE),""),"")</f>
        <v/>
      </c>
      <c r="T151" s="729" t="str">
        <f>IFERROR(IF(데이터입력!$AE$2="추경",VLOOKUP($N151,데이터입력!$A:$H,6,FALSE),""),"")</f>
        <v/>
      </c>
      <c r="U151" s="730" t="str">
        <f>IFERROR(IF(데이터입력!$AE$2="추경",VLOOKUP($N151,데이터입력!$A:$L,8,FALSE)+VLOOKUP($N151,데이터입력!$A:$L,9,FALSE)+VLOOKUP($N151,데이터입력!$A:$L,10,FALSE),""),"")</f>
        <v/>
      </c>
      <c r="V151" s="731" t="s">
        <v>136</v>
      </c>
      <c r="W151" s="731" t="s">
        <v>136</v>
      </c>
      <c r="X151" s="731" t="s">
        <v>136</v>
      </c>
      <c r="Y151" s="712"/>
      <c r="Z151" s="235" t="str">
        <f>데이터입력!$AB$8</f>
        <v>00</v>
      </c>
      <c r="AA151" s="238" t="str">
        <f>데이터입력!$AC$9</f>
        <v>일반사업[일반]</v>
      </c>
      <c r="AB151" s="236" t="str">
        <f>IFERROR(IF(데이터입력!$AE$2="추경",VLOOKUP($A151,보수일람표!$A:$M,4,FALSE),""),"")</f>
        <v/>
      </c>
      <c r="AC151" s="236" t="str">
        <f>IFERROR(IF(데이터입력!$AE$2="추경",VLOOKUP($A151,보수일람표!$A:$M,5,FALSE),""),"")</f>
        <v/>
      </c>
      <c r="AD151" s="236" t="str">
        <f>IFERROR(IF(데이터입력!$AE$2="추경",VLOOKUP($A151,보수일람표!$A:$M,6,FALSE),""),"")</f>
        <v/>
      </c>
      <c r="AE151" s="236" t="str">
        <f>IFERROR(IF(데이터입력!$AE$2="추경",VLOOKUP($A151,보수일람표!$A:$M,7,FALSE),""),"")</f>
        <v>직접</v>
      </c>
      <c r="AF151" s="236"/>
      <c r="AG151" s="237">
        <f>IFERROR(IF(데이터입력!$AE$2="추경",VLOOKUP($A151,보수일람표!$A:$M,9,FALSE),""),"")</f>
        <v>0</v>
      </c>
      <c r="AH151" s="237">
        <f>IFERROR(IF(데이터입력!$AE$2="추경",VLOOKUP($A151,보수일람표!$A:$M,10,FALSE),""),"")</f>
        <v>0</v>
      </c>
      <c r="AI151" s="237">
        <f>IFERROR(IF(데이터입력!$AE$2="추경",VLOOKUP($A151,보수일람표!$A:$M,11,FALSE),""),"")</f>
        <v>0</v>
      </c>
      <c r="AJ151" s="237">
        <f>IFERROR(IF(데이터입력!$AE$2="추경",VLOOKUP($A151,보수일람표!$A:$M,12,FALSE),""),"")</f>
        <v>0</v>
      </c>
      <c r="AK151" s="237">
        <f>IFERROR(IF(데이터입력!$AE$2="추경",VLOOKUP($A151,보수일람표!$A:$M,13,FALSE),""),"")</f>
        <v>0</v>
      </c>
    </row>
    <row r="152" spans="1:37">
      <c r="A152" s="233">
        <v>150</v>
      </c>
      <c r="B152" s="719" t="str">
        <f>IFERROR(IF(F152="06",데이터입력!$AB$8,IF(F152="07",데이터입력!$AD$8,IF(F152="05",데이터입력!$AF$8,데이터입력!$AB$8))),데이터입력!$AB$8)</f>
        <v>00</v>
      </c>
      <c r="C152" s="720" t="str">
        <f>데이터입력!$AC$9</f>
        <v>일반사업[일반]</v>
      </c>
      <c r="D152" s="721" t="str">
        <f>IFERROR(IF(AND(데이터입력!$AE$2="추경",데이터입력!$AM$2=TRUE),VLOOKUP($A152,데이터입력!$A:$H,4,FALSE),""),"")</f>
        <v/>
      </c>
      <c r="E152" s="721" t="str">
        <f>IFERROR(IF(AND(데이터입력!$AE$2="추경",데이터입력!$AM$2=TRUE),VLOOKUP($A152,데이터입력!$A:$H,2,FALSE),""),"")</f>
        <v/>
      </c>
      <c r="F152" s="721" t="str">
        <f>IFERROR(IF(AND(데이터입력!$AE$2="추경",데이터입력!$AM$2=TRUE),VLOOKUP($A152,데이터입력!$A:$H,5,FALSE),""),"")</f>
        <v/>
      </c>
      <c r="G152" s="721" t="str">
        <f>IFERROR(IF(AND(데이터입력!$AE$2="추경",데이터입력!$AM$2=TRUE),VLOOKUP($A152,데이터입력!$A:$H,6,FALSE),""),"")</f>
        <v/>
      </c>
      <c r="H152" s="722" t="str">
        <f>IFERROR(IF(AND(데이터입력!$AE$2="추경",데이터입력!$AM$2=TRUE),VLOOKUP($A152,데이터입력!$A:$L,7,FALSE),""),"")</f>
        <v/>
      </c>
      <c r="I152" s="722" t="str">
        <f>IFERROR(IF(AND(데이터입력!$AE$2="추경",데이터입력!$AM$2=TRUE),VLOOKUP($A152,데이터입력!$A:$L,8,FALSE)+VLOOKUP($A152,데이터입력!$A:$L,9,FALSE)+VLOOKUP($A152,데이터입력!$A:$L,10,FALSE),""),"")</f>
        <v/>
      </c>
      <c r="J152" s="723" t="s">
        <v>136</v>
      </c>
      <c r="K152" s="723" t="s">
        <v>136</v>
      </c>
      <c r="L152" s="723" t="s">
        <v>136</v>
      </c>
      <c r="M152" s="715"/>
      <c r="N152" s="233">
        <v>350</v>
      </c>
      <c r="O152" s="727" t="str">
        <f>IFERROR(IF(S152="06",데이터입력!$AB$8,IF(S152="07",데이터입력!$AD$8,IF(S152="05",데이터입력!$AF$8,데이터입력!$AB$8))),데이터입력!$AB$8)</f>
        <v>00</v>
      </c>
      <c r="P152" s="728" t="str">
        <f>데이터입력!$AC$9</f>
        <v>일반사업[일반]</v>
      </c>
      <c r="Q152" s="729" t="str">
        <f>IFERROR(IF(데이터입력!$AE$2="추경",VLOOKUP($N152,데이터입력!$A:$H,4,FALSE),""),"")</f>
        <v/>
      </c>
      <c r="R152" s="729" t="str">
        <f>IFERROR(IF(데이터입력!$AE$2="추경",VLOOKUP($N152,데이터입력!$A:$H,2,FALSE),""),"")</f>
        <v/>
      </c>
      <c r="S152" s="729" t="str">
        <f>IFERROR(IF(데이터입력!$AE$2="추경",VLOOKUP($N152,데이터입력!$A:$H,5,FALSE),""),"")</f>
        <v/>
      </c>
      <c r="T152" s="729" t="str">
        <f>IFERROR(IF(데이터입력!$AE$2="추경",VLOOKUP($N152,데이터입력!$A:$H,6,FALSE),""),"")</f>
        <v/>
      </c>
      <c r="U152" s="730" t="str">
        <f>IFERROR(IF(데이터입력!$AE$2="추경",VLOOKUP($N152,데이터입력!$A:$L,8,FALSE)+VLOOKUP($N152,데이터입력!$A:$L,9,FALSE)+VLOOKUP($N152,데이터입력!$A:$L,10,FALSE),""),"")</f>
        <v/>
      </c>
      <c r="V152" s="731" t="s">
        <v>136</v>
      </c>
      <c r="W152" s="731" t="s">
        <v>136</v>
      </c>
      <c r="X152" s="731" t="s">
        <v>136</v>
      </c>
      <c r="Y152" s="712"/>
      <c r="Z152" s="235" t="str">
        <f>데이터입력!$AB$8</f>
        <v>00</v>
      </c>
      <c r="AA152" s="238" t="str">
        <f>데이터입력!$AC$9</f>
        <v>일반사업[일반]</v>
      </c>
      <c r="AB152" s="236" t="str">
        <f>IFERROR(IF(데이터입력!$AE$2="추경",VLOOKUP($A152,보수일람표!$A:$M,4,FALSE),""),"")</f>
        <v/>
      </c>
      <c r="AC152" s="236" t="str">
        <f>IFERROR(IF(데이터입력!$AE$2="추경",VLOOKUP($A152,보수일람표!$A:$M,5,FALSE),""),"")</f>
        <v/>
      </c>
      <c r="AD152" s="236" t="str">
        <f>IFERROR(IF(데이터입력!$AE$2="추경",VLOOKUP($A152,보수일람표!$A:$M,6,FALSE),""),"")</f>
        <v/>
      </c>
      <c r="AE152" s="236" t="str">
        <f>IFERROR(IF(데이터입력!$AE$2="추경",VLOOKUP($A152,보수일람표!$A:$M,7,FALSE),""),"")</f>
        <v>직접</v>
      </c>
      <c r="AF152" s="236"/>
      <c r="AG152" s="237">
        <f>IFERROR(IF(데이터입력!$AE$2="추경",VLOOKUP($A152,보수일람표!$A:$M,9,FALSE),""),"")</f>
        <v>0</v>
      </c>
      <c r="AH152" s="237">
        <f>IFERROR(IF(데이터입력!$AE$2="추경",VLOOKUP($A152,보수일람표!$A:$M,10,FALSE),""),"")</f>
        <v>0</v>
      </c>
      <c r="AI152" s="237">
        <f>IFERROR(IF(데이터입력!$AE$2="추경",VLOOKUP($A152,보수일람표!$A:$M,11,FALSE),""),"")</f>
        <v>0</v>
      </c>
      <c r="AJ152" s="237">
        <f>IFERROR(IF(데이터입력!$AE$2="추경",VLOOKUP($A152,보수일람표!$A:$M,12,FALSE),""),"")</f>
        <v>0</v>
      </c>
      <c r="AK152" s="237">
        <f>IFERROR(IF(데이터입력!$AE$2="추경",VLOOKUP($A152,보수일람표!$A:$M,13,FALSE),""),"")</f>
        <v>0</v>
      </c>
    </row>
    <row r="153" spans="1:37">
      <c r="A153" s="233">
        <v>151</v>
      </c>
      <c r="B153" s="719" t="str">
        <f>IFERROR(IF(F153="06",데이터입력!$AB$8,IF(F153="07",데이터입력!$AD$8,IF(F153="05",데이터입력!$AF$8,데이터입력!$AB$8))),데이터입력!$AB$8)</f>
        <v>00</v>
      </c>
      <c r="C153" s="720" t="str">
        <f>데이터입력!$AC$9</f>
        <v>일반사업[일반]</v>
      </c>
      <c r="D153" s="721" t="str">
        <f>IFERROR(IF(AND(데이터입력!$AE$2="추경",데이터입력!$AM$2=TRUE),VLOOKUP($A153,데이터입력!$A:$H,4,FALSE),""),"")</f>
        <v/>
      </c>
      <c r="E153" s="721" t="str">
        <f>IFERROR(IF(AND(데이터입력!$AE$2="추경",데이터입력!$AM$2=TRUE),VLOOKUP($A153,데이터입력!$A:$H,2,FALSE),""),"")</f>
        <v/>
      </c>
      <c r="F153" s="721" t="str">
        <f>IFERROR(IF(AND(데이터입력!$AE$2="추경",데이터입력!$AM$2=TRUE),VLOOKUP($A153,데이터입력!$A:$H,5,FALSE),""),"")</f>
        <v/>
      </c>
      <c r="G153" s="721" t="str">
        <f>IFERROR(IF(AND(데이터입력!$AE$2="추경",데이터입력!$AM$2=TRUE),VLOOKUP($A153,데이터입력!$A:$H,6,FALSE),""),"")</f>
        <v/>
      </c>
      <c r="H153" s="722" t="str">
        <f>IFERROR(IF(AND(데이터입력!$AE$2="추경",데이터입력!$AM$2=TRUE),VLOOKUP($A153,데이터입력!$A:$L,7,FALSE),""),"")</f>
        <v/>
      </c>
      <c r="I153" s="722" t="str">
        <f>IFERROR(IF(AND(데이터입력!$AE$2="추경",데이터입력!$AM$2=TRUE),VLOOKUP($A153,데이터입력!$A:$L,8,FALSE)+VLOOKUP($A153,데이터입력!$A:$L,9,FALSE)+VLOOKUP($A153,데이터입력!$A:$L,10,FALSE),""),"")</f>
        <v/>
      </c>
      <c r="J153" s="723" t="s">
        <v>136</v>
      </c>
      <c r="K153" s="723" t="s">
        <v>136</v>
      </c>
      <c r="L153" s="723" t="s">
        <v>136</v>
      </c>
      <c r="M153" s="715"/>
      <c r="N153" s="233">
        <v>351</v>
      </c>
      <c r="O153" s="727" t="str">
        <f>IFERROR(IF(S153="06",데이터입력!$AB$8,IF(S153="07",데이터입력!$AD$8,IF(S153="05",데이터입력!$AF$8,데이터입력!$AB$8))),데이터입력!$AB$8)</f>
        <v>00</v>
      </c>
      <c r="P153" s="728" t="str">
        <f>데이터입력!$AC$9</f>
        <v>일반사업[일반]</v>
      </c>
      <c r="Q153" s="729" t="str">
        <f>IFERROR(IF(데이터입력!$AE$2="추경",VLOOKUP($N153,데이터입력!$A:$H,4,FALSE),""),"")</f>
        <v/>
      </c>
      <c r="R153" s="729" t="str">
        <f>IFERROR(IF(데이터입력!$AE$2="추경",VLOOKUP($N153,데이터입력!$A:$H,2,FALSE),""),"")</f>
        <v/>
      </c>
      <c r="S153" s="729" t="str">
        <f>IFERROR(IF(데이터입력!$AE$2="추경",VLOOKUP($N153,데이터입력!$A:$H,5,FALSE),""),"")</f>
        <v/>
      </c>
      <c r="T153" s="729" t="str">
        <f>IFERROR(IF(데이터입력!$AE$2="추경",VLOOKUP($N153,데이터입력!$A:$H,6,FALSE),""),"")</f>
        <v/>
      </c>
      <c r="U153" s="730" t="str">
        <f>IFERROR(IF(데이터입력!$AE$2="추경",VLOOKUP($N153,데이터입력!$A:$L,8,FALSE)+VLOOKUP($N153,데이터입력!$A:$L,9,FALSE)+VLOOKUP($N153,데이터입력!$A:$L,10,FALSE),""),"")</f>
        <v/>
      </c>
      <c r="V153" s="731" t="s">
        <v>136</v>
      </c>
      <c r="W153" s="731" t="s">
        <v>136</v>
      </c>
      <c r="X153" s="731" t="s">
        <v>136</v>
      </c>
      <c r="Y153" s="712"/>
      <c r="Z153" s="235" t="str">
        <f>데이터입력!$AB$8</f>
        <v>00</v>
      </c>
      <c r="AA153" s="238" t="str">
        <f>데이터입력!$AC$9</f>
        <v>일반사업[일반]</v>
      </c>
      <c r="AB153" s="236" t="str">
        <f>IFERROR(IF(데이터입력!$AE$2="추경",VLOOKUP($A153,보수일람표!$A:$M,4,FALSE),""),"")</f>
        <v/>
      </c>
      <c r="AC153" s="236" t="str">
        <f>IFERROR(IF(데이터입력!$AE$2="추경",VLOOKUP($A153,보수일람표!$A:$M,5,FALSE),""),"")</f>
        <v/>
      </c>
      <c r="AD153" s="236" t="str">
        <f>IFERROR(IF(데이터입력!$AE$2="추경",VLOOKUP($A153,보수일람표!$A:$M,6,FALSE),""),"")</f>
        <v/>
      </c>
      <c r="AE153" s="236" t="str">
        <f>IFERROR(IF(데이터입력!$AE$2="추경",VLOOKUP($A153,보수일람표!$A:$M,7,FALSE),""),"")</f>
        <v>직접</v>
      </c>
      <c r="AF153" s="236"/>
      <c r="AG153" s="237">
        <f>IFERROR(IF(데이터입력!$AE$2="추경",VLOOKUP($A153,보수일람표!$A:$M,9,FALSE),""),"")</f>
        <v>0</v>
      </c>
      <c r="AH153" s="237">
        <f>IFERROR(IF(데이터입력!$AE$2="추경",VLOOKUP($A153,보수일람표!$A:$M,10,FALSE),""),"")</f>
        <v>0</v>
      </c>
      <c r="AI153" s="237">
        <f>IFERROR(IF(데이터입력!$AE$2="추경",VLOOKUP($A153,보수일람표!$A:$M,11,FALSE),""),"")</f>
        <v>0</v>
      </c>
      <c r="AJ153" s="237">
        <f>IFERROR(IF(데이터입력!$AE$2="추경",VLOOKUP($A153,보수일람표!$A:$M,12,FALSE),""),"")</f>
        <v>0</v>
      </c>
      <c r="AK153" s="237">
        <f>IFERROR(IF(데이터입력!$AE$2="추경",VLOOKUP($A153,보수일람표!$A:$M,13,FALSE),""),"")</f>
        <v>0</v>
      </c>
    </row>
    <row r="154" spans="1:37">
      <c r="A154" s="233">
        <v>152</v>
      </c>
      <c r="B154" s="719" t="str">
        <f>IFERROR(IF(F154="06",데이터입력!$AB$8,IF(F154="07",데이터입력!$AD$8,IF(F154="05",데이터입력!$AF$8,데이터입력!$AB$8))),데이터입력!$AB$8)</f>
        <v>00</v>
      </c>
      <c r="C154" s="720" t="str">
        <f>데이터입력!$AC$9</f>
        <v>일반사업[일반]</v>
      </c>
      <c r="D154" s="721" t="str">
        <f>IFERROR(IF(AND(데이터입력!$AE$2="추경",데이터입력!$AM$2=TRUE),VLOOKUP($A154,데이터입력!$A:$H,4,FALSE),""),"")</f>
        <v/>
      </c>
      <c r="E154" s="721" t="str">
        <f>IFERROR(IF(AND(데이터입력!$AE$2="추경",데이터입력!$AM$2=TRUE),VLOOKUP($A154,데이터입력!$A:$H,2,FALSE),""),"")</f>
        <v/>
      </c>
      <c r="F154" s="721" t="str">
        <f>IFERROR(IF(AND(데이터입력!$AE$2="추경",데이터입력!$AM$2=TRUE),VLOOKUP($A154,데이터입력!$A:$H,5,FALSE),""),"")</f>
        <v/>
      </c>
      <c r="G154" s="721" t="str">
        <f>IFERROR(IF(AND(데이터입력!$AE$2="추경",데이터입력!$AM$2=TRUE),VLOOKUP($A154,데이터입력!$A:$H,6,FALSE),""),"")</f>
        <v/>
      </c>
      <c r="H154" s="722" t="str">
        <f>IFERROR(IF(AND(데이터입력!$AE$2="추경",데이터입력!$AM$2=TRUE),VLOOKUP($A154,데이터입력!$A:$L,7,FALSE),""),"")</f>
        <v/>
      </c>
      <c r="I154" s="722" t="str">
        <f>IFERROR(IF(AND(데이터입력!$AE$2="추경",데이터입력!$AM$2=TRUE),VLOOKUP($A154,데이터입력!$A:$L,8,FALSE)+VLOOKUP($A154,데이터입력!$A:$L,9,FALSE)+VLOOKUP($A154,데이터입력!$A:$L,10,FALSE),""),"")</f>
        <v/>
      </c>
      <c r="J154" s="723" t="s">
        <v>136</v>
      </c>
      <c r="K154" s="723" t="s">
        <v>136</v>
      </c>
      <c r="L154" s="723" t="s">
        <v>136</v>
      </c>
      <c r="M154" s="715"/>
      <c r="N154" s="233">
        <v>352</v>
      </c>
      <c r="O154" s="727" t="str">
        <f>IFERROR(IF(S154="06",데이터입력!$AB$8,IF(S154="07",데이터입력!$AD$8,IF(S154="05",데이터입력!$AF$8,데이터입력!$AB$8))),데이터입력!$AB$8)</f>
        <v>00</v>
      </c>
      <c r="P154" s="728" t="str">
        <f>데이터입력!$AC$9</f>
        <v>일반사업[일반]</v>
      </c>
      <c r="Q154" s="729" t="str">
        <f>IFERROR(IF(데이터입력!$AE$2="추경",VLOOKUP($N154,데이터입력!$A:$H,4,FALSE),""),"")</f>
        <v/>
      </c>
      <c r="R154" s="729" t="str">
        <f>IFERROR(IF(데이터입력!$AE$2="추경",VLOOKUP($N154,데이터입력!$A:$H,2,FALSE),""),"")</f>
        <v/>
      </c>
      <c r="S154" s="729" t="str">
        <f>IFERROR(IF(데이터입력!$AE$2="추경",VLOOKUP($N154,데이터입력!$A:$H,5,FALSE),""),"")</f>
        <v/>
      </c>
      <c r="T154" s="729" t="str">
        <f>IFERROR(IF(데이터입력!$AE$2="추경",VLOOKUP($N154,데이터입력!$A:$H,6,FALSE),""),"")</f>
        <v/>
      </c>
      <c r="U154" s="730" t="str">
        <f>IFERROR(IF(데이터입력!$AE$2="추경",VLOOKUP($N154,데이터입력!$A:$L,8,FALSE)+VLOOKUP($N154,데이터입력!$A:$L,9,FALSE)+VLOOKUP($N154,데이터입력!$A:$L,10,FALSE),""),"")</f>
        <v/>
      </c>
      <c r="V154" s="731" t="s">
        <v>136</v>
      </c>
      <c r="W154" s="731" t="s">
        <v>136</v>
      </c>
      <c r="X154" s="731" t="s">
        <v>136</v>
      </c>
      <c r="Y154" s="712"/>
      <c r="Z154" s="235" t="str">
        <f>데이터입력!$AB$8</f>
        <v>00</v>
      </c>
      <c r="AA154" s="238" t="str">
        <f>데이터입력!$AC$9</f>
        <v>일반사업[일반]</v>
      </c>
      <c r="AB154" s="236" t="str">
        <f>IFERROR(IF(데이터입력!$AE$2="추경",VLOOKUP($A154,보수일람표!$A:$M,4,FALSE),""),"")</f>
        <v/>
      </c>
      <c r="AC154" s="236" t="str">
        <f>IFERROR(IF(데이터입력!$AE$2="추경",VLOOKUP($A154,보수일람표!$A:$M,5,FALSE),""),"")</f>
        <v/>
      </c>
      <c r="AD154" s="236" t="str">
        <f>IFERROR(IF(데이터입력!$AE$2="추경",VLOOKUP($A154,보수일람표!$A:$M,6,FALSE),""),"")</f>
        <v/>
      </c>
      <c r="AE154" s="236" t="str">
        <f>IFERROR(IF(데이터입력!$AE$2="추경",VLOOKUP($A154,보수일람표!$A:$M,7,FALSE),""),"")</f>
        <v>직접</v>
      </c>
      <c r="AF154" s="236"/>
      <c r="AG154" s="237">
        <f>IFERROR(IF(데이터입력!$AE$2="추경",VLOOKUP($A154,보수일람표!$A:$M,9,FALSE),""),"")</f>
        <v>0</v>
      </c>
      <c r="AH154" s="237">
        <f>IFERROR(IF(데이터입력!$AE$2="추경",VLOOKUP($A154,보수일람표!$A:$M,10,FALSE),""),"")</f>
        <v>0</v>
      </c>
      <c r="AI154" s="237">
        <f>IFERROR(IF(데이터입력!$AE$2="추경",VLOOKUP($A154,보수일람표!$A:$M,11,FALSE),""),"")</f>
        <v>0</v>
      </c>
      <c r="AJ154" s="237">
        <f>IFERROR(IF(데이터입력!$AE$2="추경",VLOOKUP($A154,보수일람표!$A:$M,12,FALSE),""),"")</f>
        <v>0</v>
      </c>
      <c r="AK154" s="237">
        <f>IFERROR(IF(데이터입력!$AE$2="추경",VLOOKUP($A154,보수일람표!$A:$M,13,FALSE),""),"")</f>
        <v>0</v>
      </c>
    </row>
    <row r="155" spans="1:37">
      <c r="A155" s="233">
        <v>153</v>
      </c>
      <c r="B155" s="719" t="str">
        <f>IFERROR(IF(F155="06",데이터입력!$AB$8,IF(F155="07",데이터입력!$AD$8,IF(F155="05",데이터입력!$AF$8,데이터입력!$AB$8))),데이터입력!$AB$8)</f>
        <v>00</v>
      </c>
      <c r="C155" s="720" t="str">
        <f>데이터입력!$AC$9</f>
        <v>일반사업[일반]</v>
      </c>
      <c r="D155" s="721" t="str">
        <f>IFERROR(IF(AND(데이터입력!$AE$2="추경",데이터입력!$AM$2=TRUE),VLOOKUP($A155,데이터입력!$A:$H,4,FALSE),""),"")</f>
        <v/>
      </c>
      <c r="E155" s="721" t="str">
        <f>IFERROR(IF(AND(데이터입력!$AE$2="추경",데이터입력!$AM$2=TRUE),VLOOKUP($A155,데이터입력!$A:$H,2,FALSE),""),"")</f>
        <v/>
      </c>
      <c r="F155" s="721" t="str">
        <f>IFERROR(IF(AND(데이터입력!$AE$2="추경",데이터입력!$AM$2=TRUE),VLOOKUP($A155,데이터입력!$A:$H,5,FALSE),""),"")</f>
        <v/>
      </c>
      <c r="G155" s="721" t="str">
        <f>IFERROR(IF(AND(데이터입력!$AE$2="추경",데이터입력!$AM$2=TRUE),VLOOKUP($A155,데이터입력!$A:$H,6,FALSE),""),"")</f>
        <v/>
      </c>
      <c r="H155" s="722" t="str">
        <f>IFERROR(IF(AND(데이터입력!$AE$2="추경",데이터입력!$AM$2=TRUE),VLOOKUP($A155,데이터입력!$A:$L,7,FALSE),""),"")</f>
        <v/>
      </c>
      <c r="I155" s="722" t="str">
        <f>IFERROR(IF(AND(데이터입력!$AE$2="추경",데이터입력!$AM$2=TRUE),VLOOKUP($A155,데이터입력!$A:$L,8,FALSE)+VLOOKUP($A155,데이터입력!$A:$L,9,FALSE)+VLOOKUP($A155,데이터입력!$A:$L,10,FALSE),""),"")</f>
        <v/>
      </c>
      <c r="J155" s="723" t="s">
        <v>136</v>
      </c>
      <c r="K155" s="723" t="s">
        <v>136</v>
      </c>
      <c r="L155" s="723" t="s">
        <v>136</v>
      </c>
      <c r="M155" s="715"/>
      <c r="N155" s="233">
        <v>353</v>
      </c>
      <c r="O155" s="727" t="str">
        <f>IFERROR(IF(S155="06",데이터입력!$AB$8,IF(S155="07",데이터입력!$AD$8,IF(S155="05",데이터입력!$AF$8,데이터입력!$AB$8))),데이터입력!$AB$8)</f>
        <v>00</v>
      </c>
      <c r="P155" s="728" t="str">
        <f>데이터입력!$AC$9</f>
        <v>일반사업[일반]</v>
      </c>
      <c r="Q155" s="729" t="str">
        <f>IFERROR(IF(데이터입력!$AE$2="추경",VLOOKUP($N155,데이터입력!$A:$H,4,FALSE),""),"")</f>
        <v/>
      </c>
      <c r="R155" s="729" t="str">
        <f>IFERROR(IF(데이터입력!$AE$2="추경",VLOOKUP($N155,데이터입력!$A:$H,2,FALSE),""),"")</f>
        <v/>
      </c>
      <c r="S155" s="729" t="str">
        <f>IFERROR(IF(데이터입력!$AE$2="추경",VLOOKUP($N155,데이터입력!$A:$H,5,FALSE),""),"")</f>
        <v/>
      </c>
      <c r="T155" s="729" t="str">
        <f>IFERROR(IF(데이터입력!$AE$2="추경",VLOOKUP($N155,데이터입력!$A:$H,6,FALSE),""),"")</f>
        <v/>
      </c>
      <c r="U155" s="730" t="str">
        <f>IFERROR(IF(데이터입력!$AE$2="추경",VLOOKUP($N155,데이터입력!$A:$L,8,FALSE)+VLOOKUP($N155,데이터입력!$A:$L,9,FALSE)+VLOOKUP($N155,데이터입력!$A:$L,10,FALSE),""),"")</f>
        <v/>
      </c>
      <c r="V155" s="731" t="s">
        <v>136</v>
      </c>
      <c r="W155" s="731" t="s">
        <v>136</v>
      </c>
      <c r="X155" s="731" t="s">
        <v>136</v>
      </c>
      <c r="Y155" s="712"/>
      <c r="Z155" s="235" t="str">
        <f>데이터입력!$AB$8</f>
        <v>00</v>
      </c>
      <c r="AA155" s="238" t="str">
        <f>데이터입력!$AC$9</f>
        <v>일반사업[일반]</v>
      </c>
      <c r="AB155" s="236" t="str">
        <f>IFERROR(IF(데이터입력!$AE$2="추경",VLOOKUP($A155,보수일람표!$A:$M,4,FALSE),""),"")</f>
        <v/>
      </c>
      <c r="AC155" s="236" t="str">
        <f>IFERROR(IF(데이터입력!$AE$2="추경",VLOOKUP($A155,보수일람표!$A:$M,5,FALSE),""),"")</f>
        <v/>
      </c>
      <c r="AD155" s="236" t="str">
        <f>IFERROR(IF(데이터입력!$AE$2="추경",VLOOKUP($A155,보수일람표!$A:$M,6,FALSE),""),"")</f>
        <v/>
      </c>
      <c r="AE155" s="236" t="str">
        <f>IFERROR(IF(데이터입력!$AE$2="추경",VLOOKUP($A155,보수일람표!$A:$M,7,FALSE),""),"")</f>
        <v>직접</v>
      </c>
      <c r="AF155" s="236"/>
      <c r="AG155" s="237">
        <f>IFERROR(IF(데이터입력!$AE$2="추경",VLOOKUP($A155,보수일람표!$A:$M,9,FALSE),""),"")</f>
        <v>0</v>
      </c>
      <c r="AH155" s="237">
        <f>IFERROR(IF(데이터입력!$AE$2="추경",VLOOKUP($A155,보수일람표!$A:$M,10,FALSE),""),"")</f>
        <v>0</v>
      </c>
      <c r="AI155" s="237">
        <f>IFERROR(IF(데이터입력!$AE$2="추경",VLOOKUP($A155,보수일람표!$A:$M,11,FALSE),""),"")</f>
        <v>0</v>
      </c>
      <c r="AJ155" s="237">
        <f>IFERROR(IF(데이터입력!$AE$2="추경",VLOOKUP($A155,보수일람표!$A:$M,12,FALSE),""),"")</f>
        <v>0</v>
      </c>
      <c r="AK155" s="237">
        <f>IFERROR(IF(데이터입력!$AE$2="추경",VLOOKUP($A155,보수일람표!$A:$M,13,FALSE),""),"")</f>
        <v>0</v>
      </c>
    </row>
    <row r="156" spans="1:37">
      <c r="A156" s="233">
        <v>154</v>
      </c>
      <c r="B156" s="719" t="str">
        <f>IFERROR(IF(F156="06",데이터입력!$AB$8,IF(F156="07",데이터입력!$AD$8,IF(F156="05",데이터입력!$AF$8,데이터입력!$AB$8))),데이터입력!$AB$8)</f>
        <v>00</v>
      </c>
      <c r="C156" s="720" t="str">
        <f>데이터입력!$AC$9</f>
        <v>일반사업[일반]</v>
      </c>
      <c r="D156" s="721" t="str">
        <f>IFERROR(IF(AND(데이터입력!$AE$2="추경",데이터입력!$AM$2=TRUE),VLOOKUP($A156,데이터입력!$A:$H,4,FALSE),""),"")</f>
        <v/>
      </c>
      <c r="E156" s="721" t="str">
        <f>IFERROR(IF(AND(데이터입력!$AE$2="추경",데이터입력!$AM$2=TRUE),VLOOKUP($A156,데이터입력!$A:$H,2,FALSE),""),"")</f>
        <v/>
      </c>
      <c r="F156" s="721" t="str">
        <f>IFERROR(IF(AND(데이터입력!$AE$2="추경",데이터입력!$AM$2=TRUE),VLOOKUP($A156,데이터입력!$A:$H,5,FALSE),""),"")</f>
        <v/>
      </c>
      <c r="G156" s="721" t="str">
        <f>IFERROR(IF(AND(데이터입력!$AE$2="추경",데이터입력!$AM$2=TRUE),VLOOKUP($A156,데이터입력!$A:$H,6,FALSE),""),"")</f>
        <v/>
      </c>
      <c r="H156" s="722" t="str">
        <f>IFERROR(IF(AND(데이터입력!$AE$2="추경",데이터입력!$AM$2=TRUE),VLOOKUP($A156,데이터입력!$A:$L,7,FALSE),""),"")</f>
        <v/>
      </c>
      <c r="I156" s="722" t="str">
        <f>IFERROR(IF(AND(데이터입력!$AE$2="추경",데이터입력!$AM$2=TRUE),VLOOKUP($A156,데이터입력!$A:$L,8,FALSE)+VLOOKUP($A156,데이터입력!$A:$L,9,FALSE)+VLOOKUP($A156,데이터입력!$A:$L,10,FALSE),""),"")</f>
        <v/>
      </c>
      <c r="J156" s="723" t="s">
        <v>136</v>
      </c>
      <c r="K156" s="723" t="s">
        <v>136</v>
      </c>
      <c r="L156" s="723" t="s">
        <v>136</v>
      </c>
      <c r="M156" s="715"/>
      <c r="N156" s="233">
        <v>354</v>
      </c>
      <c r="O156" s="727" t="str">
        <f>IFERROR(IF(S156="06",데이터입력!$AB$8,IF(S156="07",데이터입력!$AD$8,IF(S156="05",데이터입력!$AF$8,데이터입력!$AB$8))),데이터입력!$AB$8)</f>
        <v>00</v>
      </c>
      <c r="P156" s="728" t="str">
        <f>데이터입력!$AC$9</f>
        <v>일반사업[일반]</v>
      </c>
      <c r="Q156" s="729" t="str">
        <f>IFERROR(IF(데이터입력!$AE$2="추경",VLOOKUP($N156,데이터입력!$A:$H,4,FALSE),""),"")</f>
        <v/>
      </c>
      <c r="R156" s="729" t="str">
        <f>IFERROR(IF(데이터입력!$AE$2="추경",VLOOKUP($N156,데이터입력!$A:$H,2,FALSE),""),"")</f>
        <v/>
      </c>
      <c r="S156" s="729" t="str">
        <f>IFERROR(IF(데이터입력!$AE$2="추경",VLOOKUP($N156,데이터입력!$A:$H,5,FALSE),""),"")</f>
        <v/>
      </c>
      <c r="T156" s="729" t="str">
        <f>IFERROR(IF(데이터입력!$AE$2="추경",VLOOKUP($N156,데이터입력!$A:$H,6,FALSE),""),"")</f>
        <v/>
      </c>
      <c r="U156" s="730" t="str">
        <f>IFERROR(IF(데이터입력!$AE$2="추경",VLOOKUP($N156,데이터입력!$A:$L,8,FALSE)+VLOOKUP($N156,데이터입력!$A:$L,9,FALSE)+VLOOKUP($N156,데이터입력!$A:$L,10,FALSE),""),"")</f>
        <v/>
      </c>
      <c r="V156" s="731" t="s">
        <v>136</v>
      </c>
      <c r="W156" s="731" t="s">
        <v>136</v>
      </c>
      <c r="X156" s="731" t="s">
        <v>136</v>
      </c>
      <c r="Y156" s="712"/>
      <c r="Z156" s="235" t="str">
        <f>데이터입력!$AB$8</f>
        <v>00</v>
      </c>
      <c r="AA156" s="238" t="str">
        <f>데이터입력!$AC$9</f>
        <v>일반사업[일반]</v>
      </c>
      <c r="AB156" s="236" t="str">
        <f>IFERROR(IF(데이터입력!$AE$2="추경",VLOOKUP($A156,보수일람표!$A:$M,4,FALSE),""),"")</f>
        <v/>
      </c>
      <c r="AC156" s="236" t="str">
        <f>IFERROR(IF(데이터입력!$AE$2="추경",VLOOKUP($A156,보수일람표!$A:$M,5,FALSE),""),"")</f>
        <v/>
      </c>
      <c r="AD156" s="236" t="str">
        <f>IFERROR(IF(데이터입력!$AE$2="추경",VLOOKUP($A156,보수일람표!$A:$M,6,FALSE),""),"")</f>
        <v/>
      </c>
      <c r="AE156" s="236" t="str">
        <f>IFERROR(IF(데이터입력!$AE$2="추경",VLOOKUP($A156,보수일람표!$A:$M,7,FALSE),""),"")</f>
        <v>직접</v>
      </c>
      <c r="AF156" s="236"/>
      <c r="AG156" s="237">
        <f>IFERROR(IF(데이터입력!$AE$2="추경",VLOOKUP($A156,보수일람표!$A:$M,9,FALSE),""),"")</f>
        <v>0</v>
      </c>
      <c r="AH156" s="237">
        <f>IFERROR(IF(데이터입력!$AE$2="추경",VLOOKUP($A156,보수일람표!$A:$M,10,FALSE),""),"")</f>
        <v>0</v>
      </c>
      <c r="AI156" s="237">
        <f>IFERROR(IF(데이터입력!$AE$2="추경",VLOOKUP($A156,보수일람표!$A:$M,11,FALSE),""),"")</f>
        <v>0</v>
      </c>
      <c r="AJ156" s="237">
        <f>IFERROR(IF(데이터입력!$AE$2="추경",VLOOKUP($A156,보수일람표!$A:$M,12,FALSE),""),"")</f>
        <v>0</v>
      </c>
      <c r="AK156" s="237">
        <f>IFERROR(IF(데이터입력!$AE$2="추경",VLOOKUP($A156,보수일람표!$A:$M,13,FALSE),""),"")</f>
        <v>0</v>
      </c>
    </row>
    <row r="157" spans="1:37">
      <c r="A157" s="233">
        <v>155</v>
      </c>
      <c r="B157" s="719" t="str">
        <f>IFERROR(IF(F157="06",데이터입력!$AB$8,IF(F157="07",데이터입력!$AD$8,IF(F157="05",데이터입력!$AF$8,데이터입력!$AB$8))),데이터입력!$AB$8)</f>
        <v>00</v>
      </c>
      <c r="C157" s="720" t="str">
        <f>데이터입력!$AC$9</f>
        <v>일반사업[일반]</v>
      </c>
      <c r="D157" s="721" t="str">
        <f>IFERROR(IF(AND(데이터입력!$AE$2="추경",데이터입력!$AM$2=TRUE),VLOOKUP($A157,데이터입력!$A:$H,4,FALSE),""),"")</f>
        <v/>
      </c>
      <c r="E157" s="721" t="str">
        <f>IFERROR(IF(AND(데이터입력!$AE$2="추경",데이터입력!$AM$2=TRUE),VLOOKUP($A157,데이터입력!$A:$H,2,FALSE),""),"")</f>
        <v/>
      </c>
      <c r="F157" s="721" t="str">
        <f>IFERROR(IF(AND(데이터입력!$AE$2="추경",데이터입력!$AM$2=TRUE),VLOOKUP($A157,데이터입력!$A:$H,5,FALSE),""),"")</f>
        <v/>
      </c>
      <c r="G157" s="721" t="str">
        <f>IFERROR(IF(AND(데이터입력!$AE$2="추경",데이터입력!$AM$2=TRUE),VLOOKUP($A157,데이터입력!$A:$H,6,FALSE),""),"")</f>
        <v/>
      </c>
      <c r="H157" s="722" t="str">
        <f>IFERROR(IF(AND(데이터입력!$AE$2="추경",데이터입력!$AM$2=TRUE),VLOOKUP($A157,데이터입력!$A:$L,7,FALSE),""),"")</f>
        <v/>
      </c>
      <c r="I157" s="722" t="str">
        <f>IFERROR(IF(AND(데이터입력!$AE$2="추경",데이터입력!$AM$2=TRUE),VLOOKUP($A157,데이터입력!$A:$L,8,FALSE)+VLOOKUP($A157,데이터입력!$A:$L,9,FALSE)+VLOOKUP($A157,데이터입력!$A:$L,10,FALSE),""),"")</f>
        <v/>
      </c>
      <c r="J157" s="723" t="s">
        <v>136</v>
      </c>
      <c r="K157" s="723" t="s">
        <v>136</v>
      </c>
      <c r="L157" s="723" t="s">
        <v>136</v>
      </c>
      <c r="M157" s="715"/>
      <c r="N157" s="233">
        <v>355</v>
      </c>
      <c r="O157" s="727" t="str">
        <f>IFERROR(IF(S157="06",데이터입력!$AB$8,IF(S157="07",데이터입력!$AD$8,IF(S157="05",데이터입력!$AF$8,데이터입력!$AB$8))),데이터입력!$AB$8)</f>
        <v>00</v>
      </c>
      <c r="P157" s="728" t="str">
        <f>데이터입력!$AC$9</f>
        <v>일반사업[일반]</v>
      </c>
      <c r="Q157" s="729" t="str">
        <f>IFERROR(IF(데이터입력!$AE$2="추경",VLOOKUP($N157,데이터입력!$A:$H,4,FALSE),""),"")</f>
        <v/>
      </c>
      <c r="R157" s="729" t="str">
        <f>IFERROR(IF(데이터입력!$AE$2="추경",VLOOKUP($N157,데이터입력!$A:$H,2,FALSE),""),"")</f>
        <v/>
      </c>
      <c r="S157" s="729" t="str">
        <f>IFERROR(IF(데이터입력!$AE$2="추경",VLOOKUP($N157,데이터입력!$A:$H,5,FALSE),""),"")</f>
        <v/>
      </c>
      <c r="T157" s="729" t="str">
        <f>IFERROR(IF(데이터입력!$AE$2="추경",VLOOKUP($N157,데이터입력!$A:$H,6,FALSE),""),"")</f>
        <v/>
      </c>
      <c r="U157" s="730" t="str">
        <f>IFERROR(IF(데이터입력!$AE$2="추경",VLOOKUP($N157,데이터입력!$A:$L,8,FALSE)+VLOOKUP($N157,데이터입력!$A:$L,9,FALSE)+VLOOKUP($N157,데이터입력!$A:$L,10,FALSE),""),"")</f>
        <v/>
      </c>
      <c r="V157" s="731" t="s">
        <v>136</v>
      </c>
      <c r="W157" s="731" t="s">
        <v>136</v>
      </c>
      <c r="X157" s="731" t="s">
        <v>136</v>
      </c>
      <c r="Y157" s="712"/>
      <c r="Z157" s="235" t="str">
        <f>데이터입력!$AB$8</f>
        <v>00</v>
      </c>
      <c r="AA157" s="238" t="str">
        <f>데이터입력!$AC$9</f>
        <v>일반사업[일반]</v>
      </c>
      <c r="AB157" s="236" t="str">
        <f>IFERROR(IF(데이터입력!$AE$2="추경",VLOOKUP($A157,보수일람표!$A:$M,4,FALSE),""),"")</f>
        <v/>
      </c>
      <c r="AC157" s="236" t="str">
        <f>IFERROR(IF(데이터입력!$AE$2="추경",VLOOKUP($A157,보수일람표!$A:$M,5,FALSE),""),"")</f>
        <v/>
      </c>
      <c r="AD157" s="236" t="str">
        <f>IFERROR(IF(데이터입력!$AE$2="추경",VLOOKUP($A157,보수일람표!$A:$M,6,FALSE),""),"")</f>
        <v/>
      </c>
      <c r="AE157" s="236" t="str">
        <f>IFERROR(IF(데이터입력!$AE$2="추경",VLOOKUP($A157,보수일람표!$A:$M,7,FALSE),""),"")</f>
        <v>직접</v>
      </c>
      <c r="AF157" s="236"/>
      <c r="AG157" s="237">
        <f>IFERROR(IF(데이터입력!$AE$2="추경",VLOOKUP($A157,보수일람표!$A:$M,9,FALSE),""),"")</f>
        <v>0</v>
      </c>
      <c r="AH157" s="237">
        <f>IFERROR(IF(데이터입력!$AE$2="추경",VLOOKUP($A157,보수일람표!$A:$M,10,FALSE),""),"")</f>
        <v>0</v>
      </c>
      <c r="AI157" s="237">
        <f>IFERROR(IF(데이터입력!$AE$2="추경",VLOOKUP($A157,보수일람표!$A:$M,11,FALSE),""),"")</f>
        <v>0</v>
      </c>
      <c r="AJ157" s="237">
        <f>IFERROR(IF(데이터입력!$AE$2="추경",VLOOKUP($A157,보수일람표!$A:$M,12,FALSE),""),"")</f>
        <v>0</v>
      </c>
      <c r="AK157" s="237">
        <f>IFERROR(IF(데이터입력!$AE$2="추경",VLOOKUP($A157,보수일람표!$A:$M,13,FALSE),""),"")</f>
        <v>0</v>
      </c>
    </row>
    <row r="158" spans="1:37">
      <c r="A158" s="233">
        <v>156</v>
      </c>
      <c r="B158" s="719" t="str">
        <f>IFERROR(IF(F158="06",데이터입력!$AB$8,IF(F158="07",데이터입력!$AD$8,IF(F158="05",데이터입력!$AF$8,데이터입력!$AB$8))),데이터입력!$AB$8)</f>
        <v>00</v>
      </c>
      <c r="C158" s="720" t="str">
        <f>데이터입력!$AC$9</f>
        <v>일반사업[일반]</v>
      </c>
      <c r="D158" s="721" t="str">
        <f>IFERROR(IF(AND(데이터입력!$AE$2="추경",데이터입력!$AM$2=TRUE),VLOOKUP($A158,데이터입력!$A:$H,4,FALSE),""),"")</f>
        <v/>
      </c>
      <c r="E158" s="721" t="str">
        <f>IFERROR(IF(AND(데이터입력!$AE$2="추경",데이터입력!$AM$2=TRUE),VLOOKUP($A158,데이터입력!$A:$H,2,FALSE),""),"")</f>
        <v/>
      </c>
      <c r="F158" s="721" t="str">
        <f>IFERROR(IF(AND(데이터입력!$AE$2="추경",데이터입력!$AM$2=TRUE),VLOOKUP($A158,데이터입력!$A:$H,5,FALSE),""),"")</f>
        <v/>
      </c>
      <c r="G158" s="721" t="str">
        <f>IFERROR(IF(AND(데이터입력!$AE$2="추경",데이터입력!$AM$2=TRUE),VLOOKUP($A158,데이터입력!$A:$H,6,FALSE),""),"")</f>
        <v/>
      </c>
      <c r="H158" s="722" t="str">
        <f>IFERROR(IF(AND(데이터입력!$AE$2="추경",데이터입력!$AM$2=TRUE),VLOOKUP($A158,데이터입력!$A:$L,7,FALSE),""),"")</f>
        <v/>
      </c>
      <c r="I158" s="722" t="str">
        <f>IFERROR(IF(AND(데이터입력!$AE$2="추경",데이터입력!$AM$2=TRUE),VLOOKUP($A158,데이터입력!$A:$L,8,FALSE)+VLOOKUP($A158,데이터입력!$A:$L,9,FALSE)+VLOOKUP($A158,데이터입력!$A:$L,10,FALSE),""),"")</f>
        <v/>
      </c>
      <c r="J158" s="723" t="s">
        <v>136</v>
      </c>
      <c r="K158" s="723" t="s">
        <v>136</v>
      </c>
      <c r="L158" s="723" t="s">
        <v>136</v>
      </c>
      <c r="M158" s="715"/>
      <c r="N158" s="233">
        <v>356</v>
      </c>
      <c r="O158" s="727" t="str">
        <f>IFERROR(IF(S158="06",데이터입력!$AB$8,IF(S158="07",데이터입력!$AD$8,IF(S158="05",데이터입력!$AF$8,데이터입력!$AB$8))),데이터입력!$AB$8)</f>
        <v>00</v>
      </c>
      <c r="P158" s="728" t="str">
        <f>데이터입력!$AC$9</f>
        <v>일반사업[일반]</v>
      </c>
      <c r="Q158" s="729" t="str">
        <f>IFERROR(IF(데이터입력!$AE$2="추경",VLOOKUP($N158,데이터입력!$A:$H,4,FALSE),""),"")</f>
        <v/>
      </c>
      <c r="R158" s="729" t="str">
        <f>IFERROR(IF(데이터입력!$AE$2="추경",VLOOKUP($N158,데이터입력!$A:$H,2,FALSE),""),"")</f>
        <v/>
      </c>
      <c r="S158" s="729" t="str">
        <f>IFERROR(IF(데이터입력!$AE$2="추경",VLOOKUP($N158,데이터입력!$A:$H,5,FALSE),""),"")</f>
        <v/>
      </c>
      <c r="T158" s="729" t="str">
        <f>IFERROR(IF(데이터입력!$AE$2="추경",VLOOKUP($N158,데이터입력!$A:$H,6,FALSE),""),"")</f>
        <v/>
      </c>
      <c r="U158" s="730" t="str">
        <f>IFERROR(IF(데이터입력!$AE$2="추경",VLOOKUP($N158,데이터입력!$A:$L,8,FALSE)+VLOOKUP($N158,데이터입력!$A:$L,9,FALSE)+VLOOKUP($N158,데이터입력!$A:$L,10,FALSE),""),"")</f>
        <v/>
      </c>
      <c r="V158" s="731" t="s">
        <v>136</v>
      </c>
      <c r="W158" s="731" t="s">
        <v>136</v>
      </c>
      <c r="X158" s="731" t="s">
        <v>136</v>
      </c>
      <c r="Y158" s="712"/>
      <c r="Z158" s="235" t="str">
        <f>데이터입력!$AB$8</f>
        <v>00</v>
      </c>
      <c r="AA158" s="238" t="str">
        <f>데이터입력!$AC$9</f>
        <v>일반사업[일반]</v>
      </c>
      <c r="AB158" s="236" t="str">
        <f>IFERROR(IF(데이터입력!$AE$2="추경",VLOOKUP($A158,보수일람표!$A:$M,4,FALSE),""),"")</f>
        <v/>
      </c>
      <c r="AC158" s="236" t="str">
        <f>IFERROR(IF(데이터입력!$AE$2="추경",VLOOKUP($A158,보수일람표!$A:$M,5,FALSE),""),"")</f>
        <v/>
      </c>
      <c r="AD158" s="236" t="str">
        <f>IFERROR(IF(데이터입력!$AE$2="추경",VLOOKUP($A158,보수일람표!$A:$M,6,FALSE),""),"")</f>
        <v/>
      </c>
      <c r="AE158" s="236" t="str">
        <f>IFERROR(IF(데이터입력!$AE$2="추경",VLOOKUP($A158,보수일람표!$A:$M,7,FALSE),""),"")</f>
        <v>직접</v>
      </c>
      <c r="AF158" s="236"/>
      <c r="AG158" s="237">
        <f>IFERROR(IF(데이터입력!$AE$2="추경",VLOOKUP($A158,보수일람표!$A:$M,9,FALSE),""),"")</f>
        <v>0</v>
      </c>
      <c r="AH158" s="237">
        <f>IFERROR(IF(데이터입력!$AE$2="추경",VLOOKUP($A158,보수일람표!$A:$M,10,FALSE),""),"")</f>
        <v>0</v>
      </c>
      <c r="AI158" s="237">
        <f>IFERROR(IF(데이터입력!$AE$2="추경",VLOOKUP($A158,보수일람표!$A:$M,11,FALSE),""),"")</f>
        <v>0</v>
      </c>
      <c r="AJ158" s="237">
        <f>IFERROR(IF(데이터입력!$AE$2="추경",VLOOKUP($A158,보수일람표!$A:$M,12,FALSE),""),"")</f>
        <v>0</v>
      </c>
      <c r="AK158" s="237">
        <f>IFERROR(IF(데이터입력!$AE$2="추경",VLOOKUP($A158,보수일람표!$A:$M,13,FALSE),""),"")</f>
        <v>0</v>
      </c>
    </row>
    <row r="159" spans="1:37">
      <c r="A159" s="233">
        <v>157</v>
      </c>
      <c r="B159" s="719" t="str">
        <f>IFERROR(IF(F159="06",데이터입력!$AB$8,IF(F159="07",데이터입력!$AD$8,IF(F159="05",데이터입력!$AF$8,데이터입력!$AB$8))),데이터입력!$AB$8)</f>
        <v>00</v>
      </c>
      <c r="C159" s="720" t="str">
        <f>데이터입력!$AC$9</f>
        <v>일반사업[일반]</v>
      </c>
      <c r="D159" s="721" t="str">
        <f>IFERROR(IF(AND(데이터입력!$AE$2="추경",데이터입력!$AM$2=TRUE),VLOOKUP($A159,데이터입력!$A:$H,4,FALSE),""),"")</f>
        <v/>
      </c>
      <c r="E159" s="721" t="str">
        <f>IFERROR(IF(AND(데이터입력!$AE$2="추경",데이터입력!$AM$2=TRUE),VLOOKUP($A159,데이터입력!$A:$H,2,FALSE),""),"")</f>
        <v/>
      </c>
      <c r="F159" s="721" t="str">
        <f>IFERROR(IF(AND(데이터입력!$AE$2="추경",데이터입력!$AM$2=TRUE),VLOOKUP($A159,데이터입력!$A:$H,5,FALSE),""),"")</f>
        <v/>
      </c>
      <c r="G159" s="721" t="str">
        <f>IFERROR(IF(AND(데이터입력!$AE$2="추경",데이터입력!$AM$2=TRUE),VLOOKUP($A159,데이터입력!$A:$H,6,FALSE),""),"")</f>
        <v/>
      </c>
      <c r="H159" s="722" t="str">
        <f>IFERROR(IF(AND(데이터입력!$AE$2="추경",데이터입력!$AM$2=TRUE),VLOOKUP($A159,데이터입력!$A:$L,7,FALSE),""),"")</f>
        <v/>
      </c>
      <c r="I159" s="722" t="str">
        <f>IFERROR(IF(AND(데이터입력!$AE$2="추경",데이터입력!$AM$2=TRUE),VLOOKUP($A159,데이터입력!$A:$L,8,FALSE)+VLOOKUP($A159,데이터입력!$A:$L,9,FALSE)+VLOOKUP($A159,데이터입력!$A:$L,10,FALSE),""),"")</f>
        <v/>
      </c>
      <c r="J159" s="723" t="s">
        <v>136</v>
      </c>
      <c r="K159" s="723" t="s">
        <v>136</v>
      </c>
      <c r="L159" s="723" t="s">
        <v>136</v>
      </c>
      <c r="M159" s="715"/>
      <c r="N159" s="233">
        <v>357</v>
      </c>
      <c r="O159" s="727" t="str">
        <f>IFERROR(IF(S159="06",데이터입력!$AB$8,IF(S159="07",데이터입력!$AD$8,IF(S159="05",데이터입력!$AF$8,데이터입력!$AB$8))),데이터입력!$AB$8)</f>
        <v>00</v>
      </c>
      <c r="P159" s="728" t="str">
        <f>데이터입력!$AC$9</f>
        <v>일반사업[일반]</v>
      </c>
      <c r="Q159" s="729" t="str">
        <f>IFERROR(IF(데이터입력!$AE$2="추경",VLOOKUP($N159,데이터입력!$A:$H,4,FALSE),""),"")</f>
        <v/>
      </c>
      <c r="R159" s="729" t="str">
        <f>IFERROR(IF(데이터입력!$AE$2="추경",VLOOKUP($N159,데이터입력!$A:$H,2,FALSE),""),"")</f>
        <v/>
      </c>
      <c r="S159" s="729" t="str">
        <f>IFERROR(IF(데이터입력!$AE$2="추경",VLOOKUP($N159,데이터입력!$A:$H,5,FALSE),""),"")</f>
        <v/>
      </c>
      <c r="T159" s="729" t="str">
        <f>IFERROR(IF(데이터입력!$AE$2="추경",VLOOKUP($N159,데이터입력!$A:$H,6,FALSE),""),"")</f>
        <v/>
      </c>
      <c r="U159" s="730" t="str">
        <f>IFERROR(IF(데이터입력!$AE$2="추경",VLOOKUP($N159,데이터입력!$A:$L,8,FALSE)+VLOOKUP($N159,데이터입력!$A:$L,9,FALSE)+VLOOKUP($N159,데이터입력!$A:$L,10,FALSE),""),"")</f>
        <v/>
      </c>
      <c r="V159" s="731" t="s">
        <v>136</v>
      </c>
      <c r="W159" s="731" t="s">
        <v>136</v>
      </c>
      <c r="X159" s="731" t="s">
        <v>136</v>
      </c>
      <c r="Y159" s="712"/>
      <c r="Z159" s="235" t="str">
        <f>데이터입력!$AB$8</f>
        <v>00</v>
      </c>
      <c r="AA159" s="238" t="str">
        <f>데이터입력!$AC$9</f>
        <v>일반사업[일반]</v>
      </c>
      <c r="AB159" s="236" t="str">
        <f>IFERROR(IF(데이터입력!$AE$2="추경",VLOOKUP($A159,보수일람표!$A:$M,4,FALSE),""),"")</f>
        <v/>
      </c>
      <c r="AC159" s="236" t="str">
        <f>IFERROR(IF(데이터입력!$AE$2="추경",VLOOKUP($A159,보수일람표!$A:$M,5,FALSE),""),"")</f>
        <v/>
      </c>
      <c r="AD159" s="236" t="str">
        <f>IFERROR(IF(데이터입력!$AE$2="추경",VLOOKUP($A159,보수일람표!$A:$M,6,FALSE),""),"")</f>
        <v/>
      </c>
      <c r="AE159" s="236" t="str">
        <f>IFERROR(IF(데이터입력!$AE$2="추경",VLOOKUP($A159,보수일람표!$A:$M,7,FALSE),""),"")</f>
        <v>직접</v>
      </c>
      <c r="AF159" s="236"/>
      <c r="AG159" s="237">
        <f>IFERROR(IF(데이터입력!$AE$2="추경",VLOOKUP($A159,보수일람표!$A:$M,9,FALSE),""),"")</f>
        <v>0</v>
      </c>
      <c r="AH159" s="237">
        <f>IFERROR(IF(데이터입력!$AE$2="추경",VLOOKUP($A159,보수일람표!$A:$M,10,FALSE),""),"")</f>
        <v>0</v>
      </c>
      <c r="AI159" s="237">
        <f>IFERROR(IF(데이터입력!$AE$2="추경",VLOOKUP($A159,보수일람표!$A:$M,11,FALSE),""),"")</f>
        <v>0</v>
      </c>
      <c r="AJ159" s="237">
        <f>IFERROR(IF(데이터입력!$AE$2="추경",VLOOKUP($A159,보수일람표!$A:$M,12,FALSE),""),"")</f>
        <v>0</v>
      </c>
      <c r="AK159" s="237">
        <f>IFERROR(IF(데이터입력!$AE$2="추경",VLOOKUP($A159,보수일람표!$A:$M,13,FALSE),""),"")</f>
        <v>0</v>
      </c>
    </row>
    <row r="160" spans="1:37">
      <c r="A160" s="233">
        <v>158</v>
      </c>
      <c r="B160" s="719" t="str">
        <f>IFERROR(IF(F160="06",데이터입력!$AB$8,IF(F160="07",데이터입력!$AD$8,IF(F160="05",데이터입력!$AF$8,데이터입력!$AB$8))),데이터입력!$AB$8)</f>
        <v>00</v>
      </c>
      <c r="C160" s="720" t="str">
        <f>데이터입력!$AC$9</f>
        <v>일반사업[일반]</v>
      </c>
      <c r="D160" s="721" t="str">
        <f>IFERROR(IF(AND(데이터입력!$AE$2="추경",데이터입력!$AM$2=TRUE),VLOOKUP($A160,데이터입력!$A:$H,4,FALSE),""),"")</f>
        <v/>
      </c>
      <c r="E160" s="721" t="str">
        <f>IFERROR(IF(AND(데이터입력!$AE$2="추경",데이터입력!$AM$2=TRUE),VLOOKUP($A160,데이터입력!$A:$H,2,FALSE),""),"")</f>
        <v/>
      </c>
      <c r="F160" s="721" t="str">
        <f>IFERROR(IF(AND(데이터입력!$AE$2="추경",데이터입력!$AM$2=TRUE),VLOOKUP($A160,데이터입력!$A:$H,5,FALSE),""),"")</f>
        <v/>
      </c>
      <c r="G160" s="721" t="str">
        <f>IFERROR(IF(AND(데이터입력!$AE$2="추경",데이터입력!$AM$2=TRUE),VLOOKUP($A160,데이터입력!$A:$H,6,FALSE),""),"")</f>
        <v/>
      </c>
      <c r="H160" s="722" t="str">
        <f>IFERROR(IF(AND(데이터입력!$AE$2="추경",데이터입력!$AM$2=TRUE),VLOOKUP($A160,데이터입력!$A:$L,7,FALSE),""),"")</f>
        <v/>
      </c>
      <c r="I160" s="722" t="str">
        <f>IFERROR(IF(AND(데이터입력!$AE$2="추경",데이터입력!$AM$2=TRUE),VLOOKUP($A160,데이터입력!$A:$L,8,FALSE)+VLOOKUP($A160,데이터입력!$A:$L,9,FALSE)+VLOOKUP($A160,데이터입력!$A:$L,10,FALSE),""),"")</f>
        <v/>
      </c>
      <c r="J160" s="723" t="s">
        <v>136</v>
      </c>
      <c r="K160" s="723" t="s">
        <v>136</v>
      </c>
      <c r="L160" s="723" t="s">
        <v>136</v>
      </c>
      <c r="M160" s="715"/>
      <c r="N160" s="233">
        <v>358</v>
      </c>
      <c r="O160" s="727" t="str">
        <f>IFERROR(IF(S160="06",데이터입력!$AB$8,IF(S160="07",데이터입력!$AD$8,IF(S160="05",데이터입력!$AF$8,데이터입력!$AB$8))),데이터입력!$AB$8)</f>
        <v>00</v>
      </c>
      <c r="P160" s="728" t="str">
        <f>데이터입력!$AC$9</f>
        <v>일반사업[일반]</v>
      </c>
      <c r="Q160" s="729" t="str">
        <f>IFERROR(IF(데이터입력!$AE$2="추경",VLOOKUP($N160,데이터입력!$A:$H,4,FALSE),""),"")</f>
        <v/>
      </c>
      <c r="R160" s="729" t="str">
        <f>IFERROR(IF(데이터입력!$AE$2="추경",VLOOKUP($N160,데이터입력!$A:$H,2,FALSE),""),"")</f>
        <v/>
      </c>
      <c r="S160" s="729" t="str">
        <f>IFERROR(IF(데이터입력!$AE$2="추경",VLOOKUP($N160,데이터입력!$A:$H,5,FALSE),""),"")</f>
        <v/>
      </c>
      <c r="T160" s="729" t="str">
        <f>IFERROR(IF(데이터입력!$AE$2="추경",VLOOKUP($N160,데이터입력!$A:$H,6,FALSE),""),"")</f>
        <v/>
      </c>
      <c r="U160" s="730" t="str">
        <f>IFERROR(IF(데이터입력!$AE$2="추경",VLOOKUP($N160,데이터입력!$A:$L,8,FALSE)+VLOOKUP($N160,데이터입력!$A:$L,9,FALSE)+VLOOKUP($N160,데이터입력!$A:$L,10,FALSE),""),"")</f>
        <v/>
      </c>
      <c r="V160" s="731" t="s">
        <v>136</v>
      </c>
      <c r="W160" s="731" t="s">
        <v>136</v>
      </c>
      <c r="X160" s="731" t="s">
        <v>136</v>
      </c>
      <c r="Y160" s="712"/>
      <c r="Z160" s="235" t="str">
        <f>데이터입력!$AB$8</f>
        <v>00</v>
      </c>
      <c r="AA160" s="238" t="str">
        <f>데이터입력!$AC$9</f>
        <v>일반사업[일반]</v>
      </c>
      <c r="AB160" s="236" t="str">
        <f>IFERROR(IF(데이터입력!$AE$2="추경",VLOOKUP($A160,보수일람표!$A:$M,4,FALSE),""),"")</f>
        <v/>
      </c>
      <c r="AC160" s="236" t="str">
        <f>IFERROR(IF(데이터입력!$AE$2="추경",VLOOKUP($A160,보수일람표!$A:$M,5,FALSE),""),"")</f>
        <v/>
      </c>
      <c r="AD160" s="236" t="str">
        <f>IFERROR(IF(데이터입력!$AE$2="추경",VLOOKUP($A160,보수일람표!$A:$M,6,FALSE),""),"")</f>
        <v/>
      </c>
      <c r="AE160" s="236" t="str">
        <f>IFERROR(IF(데이터입력!$AE$2="추경",VLOOKUP($A160,보수일람표!$A:$M,7,FALSE),""),"")</f>
        <v>직접</v>
      </c>
      <c r="AF160" s="236"/>
      <c r="AG160" s="237">
        <f>IFERROR(IF(데이터입력!$AE$2="추경",VLOOKUP($A160,보수일람표!$A:$M,9,FALSE),""),"")</f>
        <v>0</v>
      </c>
      <c r="AH160" s="237">
        <f>IFERROR(IF(데이터입력!$AE$2="추경",VLOOKUP($A160,보수일람표!$A:$M,10,FALSE),""),"")</f>
        <v>0</v>
      </c>
      <c r="AI160" s="237">
        <f>IFERROR(IF(데이터입력!$AE$2="추경",VLOOKUP($A160,보수일람표!$A:$M,11,FALSE),""),"")</f>
        <v>0</v>
      </c>
      <c r="AJ160" s="237">
        <f>IFERROR(IF(데이터입력!$AE$2="추경",VLOOKUP($A160,보수일람표!$A:$M,12,FALSE),""),"")</f>
        <v>0</v>
      </c>
      <c r="AK160" s="237">
        <f>IFERROR(IF(데이터입력!$AE$2="추경",VLOOKUP($A160,보수일람표!$A:$M,13,FALSE),""),"")</f>
        <v>0</v>
      </c>
    </row>
    <row r="161" spans="1:37">
      <c r="A161" s="233">
        <v>159</v>
      </c>
      <c r="B161" s="719" t="str">
        <f>IFERROR(IF(F161="06",데이터입력!$AB$8,IF(F161="07",데이터입력!$AD$8,IF(F161="05",데이터입력!$AF$8,데이터입력!$AB$8))),데이터입력!$AB$8)</f>
        <v>00</v>
      </c>
      <c r="C161" s="720" t="str">
        <f>데이터입력!$AC$9</f>
        <v>일반사업[일반]</v>
      </c>
      <c r="D161" s="721" t="str">
        <f>IFERROR(IF(AND(데이터입력!$AE$2="추경",데이터입력!$AM$2=TRUE),VLOOKUP($A161,데이터입력!$A:$H,4,FALSE),""),"")</f>
        <v/>
      </c>
      <c r="E161" s="721" t="str">
        <f>IFERROR(IF(AND(데이터입력!$AE$2="추경",데이터입력!$AM$2=TRUE),VLOOKUP($A161,데이터입력!$A:$H,2,FALSE),""),"")</f>
        <v/>
      </c>
      <c r="F161" s="721" t="str">
        <f>IFERROR(IF(AND(데이터입력!$AE$2="추경",데이터입력!$AM$2=TRUE),VLOOKUP($A161,데이터입력!$A:$H,5,FALSE),""),"")</f>
        <v/>
      </c>
      <c r="G161" s="721" t="str">
        <f>IFERROR(IF(AND(데이터입력!$AE$2="추경",데이터입력!$AM$2=TRUE),VLOOKUP($A161,데이터입력!$A:$H,6,FALSE),""),"")</f>
        <v/>
      </c>
      <c r="H161" s="722" t="str">
        <f>IFERROR(IF(AND(데이터입력!$AE$2="추경",데이터입력!$AM$2=TRUE),VLOOKUP($A161,데이터입력!$A:$L,7,FALSE),""),"")</f>
        <v/>
      </c>
      <c r="I161" s="722" t="str">
        <f>IFERROR(IF(AND(데이터입력!$AE$2="추경",데이터입력!$AM$2=TRUE),VLOOKUP($A161,데이터입력!$A:$L,8,FALSE)+VLOOKUP($A161,데이터입력!$A:$L,9,FALSE)+VLOOKUP($A161,데이터입력!$A:$L,10,FALSE),""),"")</f>
        <v/>
      </c>
      <c r="J161" s="723" t="s">
        <v>136</v>
      </c>
      <c r="K161" s="723" t="s">
        <v>136</v>
      </c>
      <c r="L161" s="723" t="s">
        <v>136</v>
      </c>
      <c r="M161" s="715"/>
      <c r="N161" s="233">
        <v>359</v>
      </c>
      <c r="O161" s="727" t="str">
        <f>IFERROR(IF(S161="06",데이터입력!$AB$8,IF(S161="07",데이터입력!$AD$8,IF(S161="05",데이터입력!$AF$8,데이터입력!$AB$8))),데이터입력!$AB$8)</f>
        <v>00</v>
      </c>
      <c r="P161" s="728" t="str">
        <f>데이터입력!$AC$9</f>
        <v>일반사업[일반]</v>
      </c>
      <c r="Q161" s="729" t="str">
        <f>IFERROR(IF(데이터입력!$AE$2="추경",VLOOKUP($N161,데이터입력!$A:$H,4,FALSE),""),"")</f>
        <v/>
      </c>
      <c r="R161" s="729" t="str">
        <f>IFERROR(IF(데이터입력!$AE$2="추경",VLOOKUP($N161,데이터입력!$A:$H,2,FALSE),""),"")</f>
        <v/>
      </c>
      <c r="S161" s="729" t="str">
        <f>IFERROR(IF(데이터입력!$AE$2="추경",VLOOKUP($N161,데이터입력!$A:$H,5,FALSE),""),"")</f>
        <v/>
      </c>
      <c r="T161" s="729" t="str">
        <f>IFERROR(IF(데이터입력!$AE$2="추경",VLOOKUP($N161,데이터입력!$A:$H,6,FALSE),""),"")</f>
        <v/>
      </c>
      <c r="U161" s="730" t="str">
        <f>IFERROR(IF(데이터입력!$AE$2="추경",VLOOKUP($N161,데이터입력!$A:$L,8,FALSE)+VLOOKUP($N161,데이터입력!$A:$L,9,FALSE)+VLOOKUP($N161,데이터입력!$A:$L,10,FALSE),""),"")</f>
        <v/>
      </c>
      <c r="V161" s="731" t="s">
        <v>136</v>
      </c>
      <c r="W161" s="731" t="s">
        <v>136</v>
      </c>
      <c r="X161" s="731" t="s">
        <v>136</v>
      </c>
      <c r="Y161" s="712"/>
      <c r="Z161" s="235" t="str">
        <f>데이터입력!$AB$8</f>
        <v>00</v>
      </c>
      <c r="AA161" s="238" t="str">
        <f>데이터입력!$AC$9</f>
        <v>일반사업[일반]</v>
      </c>
      <c r="AB161" s="236" t="str">
        <f>IFERROR(IF(데이터입력!$AE$2="추경",VLOOKUP($A161,보수일람표!$A:$M,4,FALSE),""),"")</f>
        <v/>
      </c>
      <c r="AC161" s="236" t="str">
        <f>IFERROR(IF(데이터입력!$AE$2="추경",VLOOKUP($A161,보수일람표!$A:$M,5,FALSE),""),"")</f>
        <v/>
      </c>
      <c r="AD161" s="236" t="str">
        <f>IFERROR(IF(데이터입력!$AE$2="추경",VLOOKUP($A161,보수일람표!$A:$M,6,FALSE),""),"")</f>
        <v/>
      </c>
      <c r="AE161" s="236" t="str">
        <f>IFERROR(IF(데이터입력!$AE$2="추경",VLOOKUP($A161,보수일람표!$A:$M,7,FALSE),""),"")</f>
        <v>직접</v>
      </c>
      <c r="AF161" s="236"/>
      <c r="AG161" s="237">
        <f>IFERROR(IF(데이터입력!$AE$2="추경",VLOOKUP($A161,보수일람표!$A:$M,9,FALSE),""),"")</f>
        <v>0</v>
      </c>
      <c r="AH161" s="237">
        <f>IFERROR(IF(데이터입력!$AE$2="추경",VLOOKUP($A161,보수일람표!$A:$M,10,FALSE),""),"")</f>
        <v>0</v>
      </c>
      <c r="AI161" s="237">
        <f>IFERROR(IF(데이터입력!$AE$2="추경",VLOOKUP($A161,보수일람표!$A:$M,11,FALSE),""),"")</f>
        <v>0</v>
      </c>
      <c r="AJ161" s="237">
        <f>IFERROR(IF(데이터입력!$AE$2="추경",VLOOKUP($A161,보수일람표!$A:$M,12,FALSE),""),"")</f>
        <v>0</v>
      </c>
      <c r="AK161" s="237">
        <f>IFERROR(IF(데이터입력!$AE$2="추경",VLOOKUP($A161,보수일람표!$A:$M,13,FALSE),""),"")</f>
        <v>0</v>
      </c>
    </row>
    <row r="162" spans="1:37">
      <c r="A162" s="233">
        <v>160</v>
      </c>
      <c r="B162" s="719" t="str">
        <f>IFERROR(IF(F162="06",데이터입력!$AB$8,IF(F162="07",데이터입력!$AD$8,IF(F162="05",데이터입력!$AF$8,데이터입력!$AB$8))),데이터입력!$AB$8)</f>
        <v>00</v>
      </c>
      <c r="C162" s="720" t="str">
        <f>데이터입력!$AC$9</f>
        <v>일반사업[일반]</v>
      </c>
      <c r="D162" s="721" t="str">
        <f>IFERROR(IF(AND(데이터입력!$AE$2="추경",데이터입력!$AM$2=TRUE),VLOOKUP($A162,데이터입력!$A:$H,4,FALSE),""),"")</f>
        <v/>
      </c>
      <c r="E162" s="721" t="str">
        <f>IFERROR(IF(AND(데이터입력!$AE$2="추경",데이터입력!$AM$2=TRUE),VLOOKUP($A162,데이터입력!$A:$H,2,FALSE),""),"")</f>
        <v/>
      </c>
      <c r="F162" s="721" t="str">
        <f>IFERROR(IF(AND(데이터입력!$AE$2="추경",데이터입력!$AM$2=TRUE),VLOOKUP($A162,데이터입력!$A:$H,5,FALSE),""),"")</f>
        <v/>
      </c>
      <c r="G162" s="721" t="str">
        <f>IFERROR(IF(AND(데이터입력!$AE$2="추경",데이터입력!$AM$2=TRUE),VLOOKUP($A162,데이터입력!$A:$H,6,FALSE),""),"")</f>
        <v/>
      </c>
      <c r="H162" s="722" t="str">
        <f>IFERROR(IF(AND(데이터입력!$AE$2="추경",데이터입력!$AM$2=TRUE),VLOOKUP($A162,데이터입력!$A:$L,7,FALSE),""),"")</f>
        <v/>
      </c>
      <c r="I162" s="722" t="str">
        <f>IFERROR(IF(AND(데이터입력!$AE$2="추경",데이터입력!$AM$2=TRUE),VLOOKUP($A162,데이터입력!$A:$L,8,FALSE)+VLOOKUP($A162,데이터입력!$A:$L,9,FALSE)+VLOOKUP($A162,데이터입력!$A:$L,10,FALSE),""),"")</f>
        <v/>
      </c>
      <c r="J162" s="723" t="s">
        <v>136</v>
      </c>
      <c r="K162" s="723" t="s">
        <v>136</v>
      </c>
      <c r="L162" s="723" t="s">
        <v>136</v>
      </c>
      <c r="M162" s="715"/>
      <c r="N162" s="233">
        <v>360</v>
      </c>
      <c r="O162" s="727" t="str">
        <f>IFERROR(IF(S162="06",데이터입력!$AB$8,IF(S162="07",데이터입력!$AD$8,IF(S162="05",데이터입력!$AF$8,데이터입력!$AB$8))),데이터입력!$AB$8)</f>
        <v>00</v>
      </c>
      <c r="P162" s="728" t="str">
        <f>데이터입력!$AC$9</f>
        <v>일반사업[일반]</v>
      </c>
      <c r="Q162" s="729" t="str">
        <f>IFERROR(IF(데이터입력!$AE$2="추경",VLOOKUP($N162,데이터입력!$A:$H,4,FALSE),""),"")</f>
        <v/>
      </c>
      <c r="R162" s="729" t="str">
        <f>IFERROR(IF(데이터입력!$AE$2="추경",VLOOKUP($N162,데이터입력!$A:$H,2,FALSE),""),"")</f>
        <v/>
      </c>
      <c r="S162" s="729" t="str">
        <f>IFERROR(IF(데이터입력!$AE$2="추경",VLOOKUP($N162,데이터입력!$A:$H,5,FALSE),""),"")</f>
        <v/>
      </c>
      <c r="T162" s="729" t="str">
        <f>IFERROR(IF(데이터입력!$AE$2="추경",VLOOKUP($N162,데이터입력!$A:$H,6,FALSE),""),"")</f>
        <v/>
      </c>
      <c r="U162" s="730" t="str">
        <f>IFERROR(IF(데이터입력!$AE$2="추경",VLOOKUP($N162,데이터입력!$A:$L,8,FALSE)+VLOOKUP($N162,데이터입력!$A:$L,9,FALSE)+VLOOKUP($N162,데이터입력!$A:$L,10,FALSE),""),"")</f>
        <v/>
      </c>
      <c r="V162" s="731" t="s">
        <v>136</v>
      </c>
      <c r="W162" s="731" t="s">
        <v>136</v>
      </c>
      <c r="X162" s="731" t="s">
        <v>136</v>
      </c>
      <c r="Y162" s="712"/>
      <c r="Z162" s="235" t="str">
        <f>데이터입력!$AB$8</f>
        <v>00</v>
      </c>
      <c r="AA162" s="238" t="str">
        <f>데이터입력!$AC$9</f>
        <v>일반사업[일반]</v>
      </c>
      <c r="AB162" s="236" t="str">
        <f>IFERROR(IF(데이터입력!$AE$2="추경",VLOOKUP($A162,보수일람표!$A:$M,4,FALSE),""),"")</f>
        <v/>
      </c>
      <c r="AC162" s="236" t="str">
        <f>IFERROR(IF(데이터입력!$AE$2="추경",VLOOKUP($A162,보수일람표!$A:$M,5,FALSE),""),"")</f>
        <v/>
      </c>
      <c r="AD162" s="236" t="str">
        <f>IFERROR(IF(데이터입력!$AE$2="추경",VLOOKUP($A162,보수일람표!$A:$M,6,FALSE),""),"")</f>
        <v/>
      </c>
      <c r="AE162" s="236" t="str">
        <f>IFERROR(IF(데이터입력!$AE$2="추경",VLOOKUP($A162,보수일람표!$A:$M,7,FALSE),""),"")</f>
        <v>직접</v>
      </c>
      <c r="AF162" s="236"/>
      <c r="AG162" s="237">
        <f>IFERROR(IF(데이터입력!$AE$2="추경",VLOOKUP($A162,보수일람표!$A:$M,9,FALSE),""),"")</f>
        <v>0</v>
      </c>
      <c r="AH162" s="237">
        <f>IFERROR(IF(데이터입력!$AE$2="추경",VLOOKUP($A162,보수일람표!$A:$M,10,FALSE),""),"")</f>
        <v>0</v>
      </c>
      <c r="AI162" s="237">
        <f>IFERROR(IF(데이터입력!$AE$2="추경",VLOOKUP($A162,보수일람표!$A:$M,11,FALSE),""),"")</f>
        <v>0</v>
      </c>
      <c r="AJ162" s="237">
        <f>IFERROR(IF(데이터입력!$AE$2="추경",VLOOKUP($A162,보수일람표!$A:$M,12,FALSE),""),"")</f>
        <v>0</v>
      </c>
      <c r="AK162" s="237">
        <f>IFERROR(IF(데이터입력!$AE$2="추경",VLOOKUP($A162,보수일람표!$A:$M,13,FALSE),""),"")</f>
        <v>0</v>
      </c>
    </row>
    <row r="163" spans="1:37">
      <c r="A163" s="233">
        <v>161</v>
      </c>
      <c r="B163" s="719" t="str">
        <f>IFERROR(IF(F163="06",데이터입력!$AB$8,IF(F163="07",데이터입력!$AD$8,IF(F163="05",데이터입력!$AF$8,데이터입력!$AB$8))),데이터입력!$AB$8)</f>
        <v>00</v>
      </c>
      <c r="C163" s="720" t="str">
        <f>데이터입력!$AC$9</f>
        <v>일반사업[일반]</v>
      </c>
      <c r="D163" s="721" t="str">
        <f>IFERROR(IF(AND(데이터입력!$AE$2="추경",데이터입력!$AM$2=TRUE),VLOOKUP($A163,데이터입력!$A:$H,4,FALSE),""),"")</f>
        <v/>
      </c>
      <c r="E163" s="721" t="str">
        <f>IFERROR(IF(AND(데이터입력!$AE$2="추경",데이터입력!$AM$2=TRUE),VLOOKUP($A163,데이터입력!$A:$H,2,FALSE),""),"")</f>
        <v/>
      </c>
      <c r="F163" s="721" t="str">
        <f>IFERROR(IF(AND(데이터입력!$AE$2="추경",데이터입력!$AM$2=TRUE),VLOOKUP($A163,데이터입력!$A:$H,5,FALSE),""),"")</f>
        <v/>
      </c>
      <c r="G163" s="721" t="str">
        <f>IFERROR(IF(AND(데이터입력!$AE$2="추경",데이터입력!$AM$2=TRUE),VLOOKUP($A163,데이터입력!$A:$H,6,FALSE),""),"")</f>
        <v/>
      </c>
      <c r="H163" s="722" t="str">
        <f>IFERROR(IF(AND(데이터입력!$AE$2="추경",데이터입력!$AM$2=TRUE),VLOOKUP($A163,데이터입력!$A:$L,7,FALSE),""),"")</f>
        <v/>
      </c>
      <c r="I163" s="722" t="str">
        <f>IFERROR(IF(AND(데이터입력!$AE$2="추경",데이터입력!$AM$2=TRUE),VLOOKUP($A163,데이터입력!$A:$L,8,FALSE)+VLOOKUP($A163,데이터입력!$A:$L,9,FALSE)+VLOOKUP($A163,데이터입력!$A:$L,10,FALSE),""),"")</f>
        <v/>
      </c>
      <c r="J163" s="723" t="s">
        <v>136</v>
      </c>
      <c r="K163" s="723" t="s">
        <v>136</v>
      </c>
      <c r="L163" s="723" t="s">
        <v>136</v>
      </c>
      <c r="M163" s="715"/>
      <c r="N163" s="233">
        <v>361</v>
      </c>
      <c r="O163" s="727" t="str">
        <f>IFERROR(IF(S163="06",데이터입력!$AB$8,IF(S163="07",데이터입력!$AD$8,IF(S163="05",데이터입력!$AF$8,데이터입력!$AB$8))),데이터입력!$AB$8)</f>
        <v>00</v>
      </c>
      <c r="P163" s="728" t="str">
        <f>데이터입력!$AC$9</f>
        <v>일반사업[일반]</v>
      </c>
      <c r="Q163" s="729" t="str">
        <f>IFERROR(IF(데이터입력!$AE$2="추경",VLOOKUP($N163,데이터입력!$A:$H,4,FALSE),""),"")</f>
        <v/>
      </c>
      <c r="R163" s="729" t="str">
        <f>IFERROR(IF(데이터입력!$AE$2="추경",VLOOKUP($N163,데이터입력!$A:$H,2,FALSE),""),"")</f>
        <v/>
      </c>
      <c r="S163" s="729" t="str">
        <f>IFERROR(IF(데이터입력!$AE$2="추경",VLOOKUP($N163,데이터입력!$A:$H,5,FALSE),""),"")</f>
        <v/>
      </c>
      <c r="T163" s="729" t="str">
        <f>IFERROR(IF(데이터입력!$AE$2="추경",VLOOKUP($N163,데이터입력!$A:$H,6,FALSE),""),"")</f>
        <v/>
      </c>
      <c r="U163" s="730" t="str">
        <f>IFERROR(IF(데이터입력!$AE$2="추경",VLOOKUP($N163,데이터입력!$A:$L,8,FALSE)+VLOOKUP($N163,데이터입력!$A:$L,9,FALSE)+VLOOKUP($N163,데이터입력!$A:$L,10,FALSE),""),"")</f>
        <v/>
      </c>
      <c r="V163" s="731" t="s">
        <v>136</v>
      </c>
      <c r="W163" s="731" t="s">
        <v>136</v>
      </c>
      <c r="X163" s="731" t="s">
        <v>136</v>
      </c>
      <c r="Y163" s="712"/>
      <c r="Z163" s="235" t="str">
        <f>데이터입력!$AB$8</f>
        <v>00</v>
      </c>
      <c r="AA163" s="238" t="str">
        <f>데이터입력!$AC$9</f>
        <v>일반사업[일반]</v>
      </c>
      <c r="AB163" s="236" t="str">
        <f>IFERROR(IF(데이터입력!$AE$2="추경",VLOOKUP($A163,보수일람표!$A:$M,4,FALSE),""),"")</f>
        <v/>
      </c>
      <c r="AC163" s="236" t="str">
        <f>IFERROR(IF(데이터입력!$AE$2="추경",VLOOKUP($A163,보수일람표!$A:$M,5,FALSE),""),"")</f>
        <v/>
      </c>
      <c r="AD163" s="236" t="str">
        <f>IFERROR(IF(데이터입력!$AE$2="추경",VLOOKUP($A163,보수일람표!$A:$M,6,FALSE),""),"")</f>
        <v/>
      </c>
      <c r="AE163" s="236" t="str">
        <f>IFERROR(IF(데이터입력!$AE$2="추경",VLOOKUP($A163,보수일람표!$A:$M,7,FALSE),""),"")</f>
        <v>직접</v>
      </c>
      <c r="AF163" s="236"/>
      <c r="AG163" s="237">
        <f>IFERROR(IF(데이터입력!$AE$2="추경",VLOOKUP($A163,보수일람표!$A:$M,9,FALSE),""),"")</f>
        <v>0</v>
      </c>
      <c r="AH163" s="237">
        <f>IFERROR(IF(데이터입력!$AE$2="추경",VLOOKUP($A163,보수일람표!$A:$M,10,FALSE),""),"")</f>
        <v>0</v>
      </c>
      <c r="AI163" s="237">
        <f>IFERROR(IF(데이터입력!$AE$2="추경",VLOOKUP($A163,보수일람표!$A:$M,11,FALSE),""),"")</f>
        <v>0</v>
      </c>
      <c r="AJ163" s="237">
        <f>IFERROR(IF(데이터입력!$AE$2="추경",VLOOKUP($A163,보수일람표!$A:$M,12,FALSE),""),"")</f>
        <v>0</v>
      </c>
      <c r="AK163" s="237">
        <f>IFERROR(IF(데이터입력!$AE$2="추경",VLOOKUP($A163,보수일람표!$A:$M,13,FALSE),""),"")</f>
        <v>0</v>
      </c>
    </row>
    <row r="164" spans="1:37">
      <c r="A164" s="233">
        <v>162</v>
      </c>
      <c r="B164" s="719" t="str">
        <f>IFERROR(IF(F164="06",데이터입력!$AB$8,IF(F164="07",데이터입력!$AD$8,IF(F164="05",데이터입력!$AF$8,데이터입력!$AB$8))),데이터입력!$AB$8)</f>
        <v>00</v>
      </c>
      <c r="C164" s="720" t="str">
        <f>데이터입력!$AC$9</f>
        <v>일반사업[일반]</v>
      </c>
      <c r="D164" s="721" t="str">
        <f>IFERROR(IF(AND(데이터입력!$AE$2="추경",데이터입력!$AM$2=TRUE),VLOOKUP($A164,데이터입력!$A:$H,4,FALSE),""),"")</f>
        <v/>
      </c>
      <c r="E164" s="721" t="str">
        <f>IFERROR(IF(AND(데이터입력!$AE$2="추경",데이터입력!$AM$2=TRUE),VLOOKUP($A164,데이터입력!$A:$H,2,FALSE),""),"")</f>
        <v/>
      </c>
      <c r="F164" s="721" t="str">
        <f>IFERROR(IF(AND(데이터입력!$AE$2="추경",데이터입력!$AM$2=TRUE),VLOOKUP($A164,데이터입력!$A:$H,5,FALSE),""),"")</f>
        <v/>
      </c>
      <c r="G164" s="721" t="str">
        <f>IFERROR(IF(AND(데이터입력!$AE$2="추경",데이터입력!$AM$2=TRUE),VLOOKUP($A164,데이터입력!$A:$H,6,FALSE),""),"")</f>
        <v/>
      </c>
      <c r="H164" s="722" t="str">
        <f>IFERROR(IF(AND(데이터입력!$AE$2="추경",데이터입력!$AM$2=TRUE),VLOOKUP($A164,데이터입력!$A:$L,7,FALSE),""),"")</f>
        <v/>
      </c>
      <c r="I164" s="722" t="str">
        <f>IFERROR(IF(AND(데이터입력!$AE$2="추경",데이터입력!$AM$2=TRUE),VLOOKUP($A164,데이터입력!$A:$L,8,FALSE)+VLOOKUP($A164,데이터입력!$A:$L,9,FALSE)+VLOOKUP($A164,데이터입력!$A:$L,10,FALSE),""),"")</f>
        <v/>
      </c>
      <c r="J164" s="723" t="s">
        <v>136</v>
      </c>
      <c r="K164" s="723" t="s">
        <v>136</v>
      </c>
      <c r="L164" s="723" t="s">
        <v>136</v>
      </c>
      <c r="M164" s="715"/>
      <c r="N164" s="233">
        <v>362</v>
      </c>
      <c r="O164" s="727" t="str">
        <f>IFERROR(IF(S164="06",데이터입력!$AB$8,IF(S164="07",데이터입력!$AD$8,IF(S164="05",데이터입력!$AF$8,데이터입력!$AB$8))),데이터입력!$AB$8)</f>
        <v>00</v>
      </c>
      <c r="P164" s="728" t="str">
        <f>데이터입력!$AC$9</f>
        <v>일반사업[일반]</v>
      </c>
      <c r="Q164" s="729" t="str">
        <f>IFERROR(IF(데이터입력!$AE$2="추경",VLOOKUP($N164,데이터입력!$A:$H,4,FALSE),""),"")</f>
        <v/>
      </c>
      <c r="R164" s="729" t="str">
        <f>IFERROR(IF(데이터입력!$AE$2="추경",VLOOKUP($N164,데이터입력!$A:$H,2,FALSE),""),"")</f>
        <v/>
      </c>
      <c r="S164" s="729" t="str">
        <f>IFERROR(IF(데이터입력!$AE$2="추경",VLOOKUP($N164,데이터입력!$A:$H,5,FALSE),""),"")</f>
        <v/>
      </c>
      <c r="T164" s="729" t="str">
        <f>IFERROR(IF(데이터입력!$AE$2="추경",VLOOKUP($N164,데이터입력!$A:$H,6,FALSE),""),"")</f>
        <v/>
      </c>
      <c r="U164" s="730" t="str">
        <f>IFERROR(IF(데이터입력!$AE$2="추경",VLOOKUP($N164,데이터입력!$A:$L,8,FALSE)+VLOOKUP($N164,데이터입력!$A:$L,9,FALSE)+VLOOKUP($N164,데이터입력!$A:$L,10,FALSE),""),"")</f>
        <v/>
      </c>
      <c r="V164" s="731" t="s">
        <v>136</v>
      </c>
      <c r="W164" s="731" t="s">
        <v>136</v>
      </c>
      <c r="X164" s="731" t="s">
        <v>136</v>
      </c>
      <c r="Y164" s="712"/>
      <c r="Z164" s="235" t="str">
        <f>데이터입력!$AB$8</f>
        <v>00</v>
      </c>
      <c r="AA164" s="238" t="str">
        <f>데이터입력!$AC$9</f>
        <v>일반사업[일반]</v>
      </c>
      <c r="AB164" s="236" t="str">
        <f>IFERROR(IF(데이터입력!$AE$2="추경",VLOOKUP($A164,보수일람표!$A:$M,4,FALSE),""),"")</f>
        <v/>
      </c>
      <c r="AC164" s="236" t="str">
        <f>IFERROR(IF(데이터입력!$AE$2="추경",VLOOKUP($A164,보수일람표!$A:$M,5,FALSE),""),"")</f>
        <v/>
      </c>
      <c r="AD164" s="236" t="str">
        <f>IFERROR(IF(데이터입력!$AE$2="추경",VLOOKUP($A164,보수일람표!$A:$M,6,FALSE),""),"")</f>
        <v/>
      </c>
      <c r="AE164" s="236" t="str">
        <f>IFERROR(IF(데이터입력!$AE$2="추경",VLOOKUP($A164,보수일람표!$A:$M,7,FALSE),""),"")</f>
        <v>직접</v>
      </c>
      <c r="AF164" s="236"/>
      <c r="AG164" s="237">
        <f>IFERROR(IF(데이터입력!$AE$2="추경",VLOOKUP($A164,보수일람표!$A:$M,9,FALSE),""),"")</f>
        <v>0</v>
      </c>
      <c r="AH164" s="237">
        <f>IFERROR(IF(데이터입력!$AE$2="추경",VLOOKUP($A164,보수일람표!$A:$M,10,FALSE),""),"")</f>
        <v>0</v>
      </c>
      <c r="AI164" s="237">
        <f>IFERROR(IF(데이터입력!$AE$2="추경",VLOOKUP($A164,보수일람표!$A:$M,11,FALSE),""),"")</f>
        <v>0</v>
      </c>
      <c r="AJ164" s="237">
        <f>IFERROR(IF(데이터입력!$AE$2="추경",VLOOKUP($A164,보수일람표!$A:$M,12,FALSE),""),"")</f>
        <v>0</v>
      </c>
      <c r="AK164" s="237">
        <f>IFERROR(IF(데이터입력!$AE$2="추경",VLOOKUP($A164,보수일람표!$A:$M,13,FALSE),""),"")</f>
        <v>0</v>
      </c>
    </row>
    <row r="165" spans="1:37">
      <c r="A165" s="233">
        <v>163</v>
      </c>
      <c r="B165" s="719" t="str">
        <f>IFERROR(IF(F165="06",데이터입력!$AB$8,IF(F165="07",데이터입력!$AD$8,IF(F165="05",데이터입력!$AF$8,데이터입력!$AB$8))),데이터입력!$AB$8)</f>
        <v>00</v>
      </c>
      <c r="C165" s="720" t="str">
        <f>데이터입력!$AC$9</f>
        <v>일반사업[일반]</v>
      </c>
      <c r="D165" s="721" t="str">
        <f>IFERROR(IF(AND(데이터입력!$AE$2="추경",데이터입력!$AM$2=TRUE),VLOOKUP($A165,데이터입력!$A:$H,4,FALSE),""),"")</f>
        <v/>
      </c>
      <c r="E165" s="721" t="str">
        <f>IFERROR(IF(AND(데이터입력!$AE$2="추경",데이터입력!$AM$2=TRUE),VLOOKUP($A165,데이터입력!$A:$H,2,FALSE),""),"")</f>
        <v/>
      </c>
      <c r="F165" s="721" t="str">
        <f>IFERROR(IF(AND(데이터입력!$AE$2="추경",데이터입력!$AM$2=TRUE),VLOOKUP($A165,데이터입력!$A:$H,5,FALSE),""),"")</f>
        <v/>
      </c>
      <c r="G165" s="721" t="str">
        <f>IFERROR(IF(AND(데이터입력!$AE$2="추경",데이터입력!$AM$2=TRUE),VLOOKUP($A165,데이터입력!$A:$H,6,FALSE),""),"")</f>
        <v/>
      </c>
      <c r="H165" s="722" t="str">
        <f>IFERROR(IF(AND(데이터입력!$AE$2="추경",데이터입력!$AM$2=TRUE),VLOOKUP($A165,데이터입력!$A:$L,7,FALSE),""),"")</f>
        <v/>
      </c>
      <c r="I165" s="722" t="str">
        <f>IFERROR(IF(AND(데이터입력!$AE$2="추경",데이터입력!$AM$2=TRUE),VLOOKUP($A165,데이터입력!$A:$L,8,FALSE)+VLOOKUP($A165,데이터입력!$A:$L,9,FALSE)+VLOOKUP($A165,데이터입력!$A:$L,10,FALSE),""),"")</f>
        <v/>
      </c>
      <c r="J165" s="723" t="s">
        <v>136</v>
      </c>
      <c r="K165" s="723" t="s">
        <v>136</v>
      </c>
      <c r="L165" s="723" t="s">
        <v>136</v>
      </c>
      <c r="M165" s="715"/>
      <c r="N165" s="233">
        <v>363</v>
      </c>
      <c r="O165" s="727" t="str">
        <f>IFERROR(IF(S165="06",데이터입력!$AB$8,IF(S165="07",데이터입력!$AD$8,IF(S165="05",데이터입력!$AF$8,데이터입력!$AB$8))),데이터입력!$AB$8)</f>
        <v>00</v>
      </c>
      <c r="P165" s="728" t="str">
        <f>데이터입력!$AC$9</f>
        <v>일반사업[일반]</v>
      </c>
      <c r="Q165" s="729" t="str">
        <f>IFERROR(IF(데이터입력!$AE$2="추경",VLOOKUP($N165,데이터입력!$A:$H,4,FALSE),""),"")</f>
        <v/>
      </c>
      <c r="R165" s="729" t="str">
        <f>IFERROR(IF(데이터입력!$AE$2="추경",VLOOKUP($N165,데이터입력!$A:$H,2,FALSE),""),"")</f>
        <v/>
      </c>
      <c r="S165" s="729" t="str">
        <f>IFERROR(IF(데이터입력!$AE$2="추경",VLOOKUP($N165,데이터입력!$A:$H,5,FALSE),""),"")</f>
        <v/>
      </c>
      <c r="T165" s="729" t="str">
        <f>IFERROR(IF(데이터입력!$AE$2="추경",VLOOKUP($N165,데이터입력!$A:$H,6,FALSE),""),"")</f>
        <v/>
      </c>
      <c r="U165" s="730" t="str">
        <f>IFERROR(IF(데이터입력!$AE$2="추경",VLOOKUP($N165,데이터입력!$A:$L,8,FALSE)+VLOOKUP($N165,데이터입력!$A:$L,9,FALSE)+VLOOKUP($N165,데이터입력!$A:$L,10,FALSE),""),"")</f>
        <v/>
      </c>
      <c r="V165" s="731" t="s">
        <v>136</v>
      </c>
      <c r="W165" s="731" t="s">
        <v>136</v>
      </c>
      <c r="X165" s="731" t="s">
        <v>136</v>
      </c>
      <c r="Y165" s="712"/>
      <c r="Z165" s="235" t="str">
        <f>데이터입력!$AB$8</f>
        <v>00</v>
      </c>
      <c r="AA165" s="238" t="str">
        <f>데이터입력!$AC$9</f>
        <v>일반사업[일반]</v>
      </c>
      <c r="AB165" s="236" t="str">
        <f>IFERROR(IF(데이터입력!$AE$2="추경",VLOOKUP($A165,보수일람표!$A:$M,4,FALSE),""),"")</f>
        <v/>
      </c>
      <c r="AC165" s="236" t="str">
        <f>IFERROR(IF(데이터입력!$AE$2="추경",VLOOKUP($A165,보수일람표!$A:$M,5,FALSE),""),"")</f>
        <v/>
      </c>
      <c r="AD165" s="236" t="str">
        <f>IFERROR(IF(데이터입력!$AE$2="추경",VLOOKUP($A165,보수일람표!$A:$M,6,FALSE),""),"")</f>
        <v/>
      </c>
      <c r="AE165" s="236" t="str">
        <f>IFERROR(IF(데이터입력!$AE$2="추경",VLOOKUP($A165,보수일람표!$A:$M,7,FALSE),""),"")</f>
        <v>직접</v>
      </c>
      <c r="AF165" s="236"/>
      <c r="AG165" s="237">
        <f>IFERROR(IF(데이터입력!$AE$2="추경",VLOOKUP($A165,보수일람표!$A:$M,9,FALSE),""),"")</f>
        <v>0</v>
      </c>
      <c r="AH165" s="237">
        <f>IFERROR(IF(데이터입력!$AE$2="추경",VLOOKUP($A165,보수일람표!$A:$M,10,FALSE),""),"")</f>
        <v>0</v>
      </c>
      <c r="AI165" s="237">
        <f>IFERROR(IF(데이터입력!$AE$2="추경",VLOOKUP($A165,보수일람표!$A:$M,11,FALSE),""),"")</f>
        <v>0</v>
      </c>
      <c r="AJ165" s="237">
        <f>IFERROR(IF(데이터입력!$AE$2="추경",VLOOKUP($A165,보수일람표!$A:$M,12,FALSE),""),"")</f>
        <v>0</v>
      </c>
      <c r="AK165" s="237">
        <f>IFERROR(IF(데이터입력!$AE$2="추경",VLOOKUP($A165,보수일람표!$A:$M,13,FALSE),""),"")</f>
        <v>0</v>
      </c>
    </row>
    <row r="166" spans="1:37">
      <c r="A166" s="233">
        <v>164</v>
      </c>
      <c r="B166" s="719" t="str">
        <f>IFERROR(IF(F166="06",데이터입력!$AB$8,IF(F166="07",데이터입력!$AD$8,IF(F166="05",데이터입력!$AF$8,데이터입력!$AB$8))),데이터입력!$AB$8)</f>
        <v>00</v>
      </c>
      <c r="C166" s="720" t="str">
        <f>데이터입력!$AC$9</f>
        <v>일반사업[일반]</v>
      </c>
      <c r="D166" s="721" t="str">
        <f>IFERROR(IF(AND(데이터입력!$AE$2="추경",데이터입력!$AM$2=TRUE),VLOOKUP($A166,데이터입력!$A:$H,4,FALSE),""),"")</f>
        <v/>
      </c>
      <c r="E166" s="721" t="str">
        <f>IFERROR(IF(AND(데이터입력!$AE$2="추경",데이터입력!$AM$2=TRUE),VLOOKUP($A166,데이터입력!$A:$H,2,FALSE),""),"")</f>
        <v/>
      </c>
      <c r="F166" s="721" t="str">
        <f>IFERROR(IF(AND(데이터입력!$AE$2="추경",데이터입력!$AM$2=TRUE),VLOOKUP($A166,데이터입력!$A:$H,5,FALSE),""),"")</f>
        <v/>
      </c>
      <c r="G166" s="721" t="str">
        <f>IFERROR(IF(AND(데이터입력!$AE$2="추경",데이터입력!$AM$2=TRUE),VLOOKUP($A166,데이터입력!$A:$H,6,FALSE),""),"")</f>
        <v/>
      </c>
      <c r="H166" s="722" t="str">
        <f>IFERROR(IF(AND(데이터입력!$AE$2="추경",데이터입력!$AM$2=TRUE),VLOOKUP($A166,데이터입력!$A:$L,7,FALSE),""),"")</f>
        <v/>
      </c>
      <c r="I166" s="722" t="str">
        <f>IFERROR(IF(AND(데이터입력!$AE$2="추경",데이터입력!$AM$2=TRUE),VLOOKUP($A166,데이터입력!$A:$L,8,FALSE)+VLOOKUP($A166,데이터입력!$A:$L,9,FALSE)+VLOOKUP($A166,데이터입력!$A:$L,10,FALSE),""),"")</f>
        <v/>
      </c>
      <c r="J166" s="723" t="s">
        <v>136</v>
      </c>
      <c r="K166" s="723" t="s">
        <v>136</v>
      </c>
      <c r="L166" s="723" t="s">
        <v>136</v>
      </c>
      <c r="M166" s="715"/>
      <c r="N166" s="233">
        <v>364</v>
      </c>
      <c r="O166" s="727" t="str">
        <f>IFERROR(IF(S166="06",데이터입력!$AB$8,IF(S166="07",데이터입력!$AD$8,IF(S166="05",데이터입력!$AF$8,데이터입력!$AB$8))),데이터입력!$AB$8)</f>
        <v>00</v>
      </c>
      <c r="P166" s="728" t="str">
        <f>데이터입력!$AC$9</f>
        <v>일반사업[일반]</v>
      </c>
      <c r="Q166" s="729" t="str">
        <f>IFERROR(IF(데이터입력!$AE$2="추경",VLOOKUP($N166,데이터입력!$A:$H,4,FALSE),""),"")</f>
        <v/>
      </c>
      <c r="R166" s="729" t="str">
        <f>IFERROR(IF(데이터입력!$AE$2="추경",VLOOKUP($N166,데이터입력!$A:$H,2,FALSE),""),"")</f>
        <v/>
      </c>
      <c r="S166" s="729" t="str">
        <f>IFERROR(IF(데이터입력!$AE$2="추경",VLOOKUP($N166,데이터입력!$A:$H,5,FALSE),""),"")</f>
        <v/>
      </c>
      <c r="T166" s="729" t="str">
        <f>IFERROR(IF(데이터입력!$AE$2="추경",VLOOKUP($N166,데이터입력!$A:$H,6,FALSE),""),"")</f>
        <v/>
      </c>
      <c r="U166" s="730" t="str">
        <f>IFERROR(IF(데이터입력!$AE$2="추경",VLOOKUP($N166,데이터입력!$A:$L,8,FALSE)+VLOOKUP($N166,데이터입력!$A:$L,9,FALSE)+VLOOKUP($N166,데이터입력!$A:$L,10,FALSE),""),"")</f>
        <v/>
      </c>
      <c r="V166" s="731" t="s">
        <v>136</v>
      </c>
      <c r="W166" s="731" t="s">
        <v>136</v>
      </c>
      <c r="X166" s="731" t="s">
        <v>136</v>
      </c>
      <c r="Y166" s="712"/>
      <c r="Z166" s="235" t="str">
        <f>데이터입력!$AB$8</f>
        <v>00</v>
      </c>
      <c r="AA166" s="238" t="str">
        <f>데이터입력!$AC$9</f>
        <v>일반사업[일반]</v>
      </c>
      <c r="AB166" s="236" t="str">
        <f>IFERROR(IF(데이터입력!$AE$2="추경",VLOOKUP($A166,보수일람표!$A:$M,4,FALSE),""),"")</f>
        <v/>
      </c>
      <c r="AC166" s="236" t="str">
        <f>IFERROR(IF(데이터입력!$AE$2="추경",VLOOKUP($A166,보수일람표!$A:$M,5,FALSE),""),"")</f>
        <v/>
      </c>
      <c r="AD166" s="236" t="str">
        <f>IFERROR(IF(데이터입력!$AE$2="추경",VLOOKUP($A166,보수일람표!$A:$M,6,FALSE),""),"")</f>
        <v/>
      </c>
      <c r="AE166" s="236" t="str">
        <f>IFERROR(IF(데이터입력!$AE$2="추경",VLOOKUP($A166,보수일람표!$A:$M,7,FALSE),""),"")</f>
        <v>직접</v>
      </c>
      <c r="AF166" s="236"/>
      <c r="AG166" s="237">
        <f>IFERROR(IF(데이터입력!$AE$2="추경",VLOOKUP($A166,보수일람표!$A:$M,9,FALSE),""),"")</f>
        <v>0</v>
      </c>
      <c r="AH166" s="237">
        <f>IFERROR(IF(데이터입력!$AE$2="추경",VLOOKUP($A166,보수일람표!$A:$M,10,FALSE),""),"")</f>
        <v>0</v>
      </c>
      <c r="AI166" s="237">
        <f>IFERROR(IF(데이터입력!$AE$2="추경",VLOOKUP($A166,보수일람표!$A:$M,11,FALSE),""),"")</f>
        <v>0</v>
      </c>
      <c r="AJ166" s="237">
        <f>IFERROR(IF(데이터입력!$AE$2="추경",VLOOKUP($A166,보수일람표!$A:$M,12,FALSE),""),"")</f>
        <v>0</v>
      </c>
      <c r="AK166" s="237">
        <f>IFERROR(IF(데이터입력!$AE$2="추경",VLOOKUP($A166,보수일람표!$A:$M,13,FALSE),""),"")</f>
        <v>0</v>
      </c>
    </row>
    <row r="167" spans="1:37">
      <c r="A167" s="233">
        <v>165</v>
      </c>
      <c r="B167" s="719" t="str">
        <f>IFERROR(IF(F167="06",데이터입력!$AB$8,IF(F167="07",데이터입력!$AD$8,IF(F167="05",데이터입력!$AF$8,데이터입력!$AB$8))),데이터입력!$AB$8)</f>
        <v>00</v>
      </c>
      <c r="C167" s="720" t="str">
        <f>데이터입력!$AC$9</f>
        <v>일반사업[일반]</v>
      </c>
      <c r="D167" s="721" t="str">
        <f>IFERROR(IF(AND(데이터입력!$AE$2="추경",데이터입력!$AM$2=TRUE),VLOOKUP($A167,데이터입력!$A:$H,4,FALSE),""),"")</f>
        <v/>
      </c>
      <c r="E167" s="721" t="str">
        <f>IFERROR(IF(AND(데이터입력!$AE$2="추경",데이터입력!$AM$2=TRUE),VLOOKUP($A167,데이터입력!$A:$H,2,FALSE),""),"")</f>
        <v/>
      </c>
      <c r="F167" s="721" t="str">
        <f>IFERROR(IF(AND(데이터입력!$AE$2="추경",데이터입력!$AM$2=TRUE),VLOOKUP($A167,데이터입력!$A:$H,5,FALSE),""),"")</f>
        <v/>
      </c>
      <c r="G167" s="721" t="str">
        <f>IFERROR(IF(AND(데이터입력!$AE$2="추경",데이터입력!$AM$2=TRUE),VLOOKUP($A167,데이터입력!$A:$H,6,FALSE),""),"")</f>
        <v/>
      </c>
      <c r="H167" s="722" t="str">
        <f>IFERROR(IF(AND(데이터입력!$AE$2="추경",데이터입력!$AM$2=TRUE),VLOOKUP($A167,데이터입력!$A:$L,7,FALSE),""),"")</f>
        <v/>
      </c>
      <c r="I167" s="722" t="str">
        <f>IFERROR(IF(AND(데이터입력!$AE$2="추경",데이터입력!$AM$2=TRUE),VLOOKUP($A167,데이터입력!$A:$L,8,FALSE)+VLOOKUP($A167,데이터입력!$A:$L,9,FALSE)+VLOOKUP($A167,데이터입력!$A:$L,10,FALSE),""),"")</f>
        <v/>
      </c>
      <c r="J167" s="723" t="s">
        <v>136</v>
      </c>
      <c r="K167" s="723" t="s">
        <v>136</v>
      </c>
      <c r="L167" s="723" t="s">
        <v>136</v>
      </c>
      <c r="M167" s="715"/>
      <c r="N167" s="233">
        <v>365</v>
      </c>
      <c r="O167" s="727" t="str">
        <f>IFERROR(IF(S167="06",데이터입력!$AB$8,IF(S167="07",데이터입력!$AD$8,IF(S167="05",데이터입력!$AF$8,데이터입력!$AB$8))),데이터입력!$AB$8)</f>
        <v>00</v>
      </c>
      <c r="P167" s="728" t="str">
        <f>데이터입력!$AC$9</f>
        <v>일반사업[일반]</v>
      </c>
      <c r="Q167" s="729" t="str">
        <f>IFERROR(IF(데이터입력!$AE$2="추경",VLOOKUP($N167,데이터입력!$A:$H,4,FALSE),""),"")</f>
        <v/>
      </c>
      <c r="R167" s="729" t="str">
        <f>IFERROR(IF(데이터입력!$AE$2="추경",VLOOKUP($N167,데이터입력!$A:$H,2,FALSE),""),"")</f>
        <v/>
      </c>
      <c r="S167" s="729" t="str">
        <f>IFERROR(IF(데이터입력!$AE$2="추경",VLOOKUP($N167,데이터입력!$A:$H,5,FALSE),""),"")</f>
        <v/>
      </c>
      <c r="T167" s="729" t="str">
        <f>IFERROR(IF(데이터입력!$AE$2="추경",VLOOKUP($N167,데이터입력!$A:$H,6,FALSE),""),"")</f>
        <v/>
      </c>
      <c r="U167" s="730" t="str">
        <f>IFERROR(IF(데이터입력!$AE$2="추경",VLOOKUP($N167,데이터입력!$A:$L,8,FALSE)+VLOOKUP($N167,데이터입력!$A:$L,9,FALSE)+VLOOKUP($N167,데이터입력!$A:$L,10,FALSE),""),"")</f>
        <v/>
      </c>
      <c r="V167" s="731" t="s">
        <v>136</v>
      </c>
      <c r="W167" s="731" t="s">
        <v>136</v>
      </c>
      <c r="X167" s="731" t="s">
        <v>136</v>
      </c>
      <c r="Y167" s="712"/>
      <c r="Z167" s="235" t="str">
        <f>데이터입력!$AB$8</f>
        <v>00</v>
      </c>
      <c r="AA167" s="238" t="str">
        <f>데이터입력!$AC$9</f>
        <v>일반사업[일반]</v>
      </c>
      <c r="AB167" s="236" t="str">
        <f>IFERROR(IF(데이터입력!$AE$2="추경",VLOOKUP($A167,보수일람표!$A:$M,4,FALSE),""),"")</f>
        <v/>
      </c>
      <c r="AC167" s="236" t="str">
        <f>IFERROR(IF(데이터입력!$AE$2="추경",VLOOKUP($A167,보수일람표!$A:$M,5,FALSE),""),"")</f>
        <v/>
      </c>
      <c r="AD167" s="236" t="str">
        <f>IFERROR(IF(데이터입력!$AE$2="추경",VLOOKUP($A167,보수일람표!$A:$M,6,FALSE),""),"")</f>
        <v/>
      </c>
      <c r="AE167" s="236" t="str">
        <f>IFERROR(IF(데이터입력!$AE$2="추경",VLOOKUP($A167,보수일람표!$A:$M,7,FALSE),""),"")</f>
        <v>직접</v>
      </c>
      <c r="AF167" s="236"/>
      <c r="AG167" s="237">
        <f>IFERROR(IF(데이터입력!$AE$2="추경",VLOOKUP($A167,보수일람표!$A:$M,9,FALSE),""),"")</f>
        <v>0</v>
      </c>
      <c r="AH167" s="237">
        <f>IFERROR(IF(데이터입력!$AE$2="추경",VLOOKUP($A167,보수일람표!$A:$M,10,FALSE),""),"")</f>
        <v>0</v>
      </c>
      <c r="AI167" s="237">
        <f>IFERROR(IF(데이터입력!$AE$2="추경",VLOOKUP($A167,보수일람표!$A:$M,11,FALSE),""),"")</f>
        <v>0</v>
      </c>
      <c r="AJ167" s="237">
        <f>IFERROR(IF(데이터입력!$AE$2="추경",VLOOKUP($A167,보수일람표!$A:$M,12,FALSE),""),"")</f>
        <v>0</v>
      </c>
      <c r="AK167" s="237">
        <f>IFERROR(IF(데이터입력!$AE$2="추경",VLOOKUP($A167,보수일람표!$A:$M,13,FALSE),""),"")</f>
        <v>0</v>
      </c>
    </row>
    <row r="168" spans="1:37">
      <c r="A168" s="233">
        <v>166</v>
      </c>
      <c r="B168" s="719" t="str">
        <f>IFERROR(IF(F168="06",데이터입력!$AB$8,IF(F168="07",데이터입력!$AD$8,IF(F168="05",데이터입력!$AF$8,데이터입력!$AB$8))),데이터입력!$AB$8)</f>
        <v>00</v>
      </c>
      <c r="C168" s="720" t="str">
        <f>데이터입력!$AC$9</f>
        <v>일반사업[일반]</v>
      </c>
      <c r="D168" s="721" t="str">
        <f>IFERROR(IF(AND(데이터입력!$AE$2="추경",데이터입력!$AM$2=TRUE),VLOOKUP($A168,데이터입력!$A:$H,4,FALSE),""),"")</f>
        <v/>
      </c>
      <c r="E168" s="721" t="str">
        <f>IFERROR(IF(AND(데이터입력!$AE$2="추경",데이터입력!$AM$2=TRUE),VLOOKUP($A168,데이터입력!$A:$H,2,FALSE),""),"")</f>
        <v/>
      </c>
      <c r="F168" s="721" t="str">
        <f>IFERROR(IF(AND(데이터입력!$AE$2="추경",데이터입력!$AM$2=TRUE),VLOOKUP($A168,데이터입력!$A:$H,5,FALSE),""),"")</f>
        <v/>
      </c>
      <c r="G168" s="721" t="str">
        <f>IFERROR(IF(AND(데이터입력!$AE$2="추경",데이터입력!$AM$2=TRUE),VLOOKUP($A168,데이터입력!$A:$H,6,FALSE),""),"")</f>
        <v/>
      </c>
      <c r="H168" s="722" t="str">
        <f>IFERROR(IF(AND(데이터입력!$AE$2="추경",데이터입력!$AM$2=TRUE),VLOOKUP($A168,데이터입력!$A:$L,7,FALSE),""),"")</f>
        <v/>
      </c>
      <c r="I168" s="722" t="str">
        <f>IFERROR(IF(AND(데이터입력!$AE$2="추경",데이터입력!$AM$2=TRUE),VLOOKUP($A168,데이터입력!$A:$L,8,FALSE)+VLOOKUP($A168,데이터입력!$A:$L,9,FALSE)+VLOOKUP($A168,데이터입력!$A:$L,10,FALSE),""),"")</f>
        <v/>
      </c>
      <c r="J168" s="723" t="s">
        <v>136</v>
      </c>
      <c r="K168" s="723" t="s">
        <v>136</v>
      </c>
      <c r="L168" s="723" t="s">
        <v>136</v>
      </c>
      <c r="M168" s="715"/>
      <c r="N168" s="233">
        <v>366</v>
      </c>
      <c r="O168" s="727" t="str">
        <f>IFERROR(IF(S168="06",데이터입력!$AB$8,IF(S168="07",데이터입력!$AD$8,IF(S168="05",데이터입력!$AF$8,데이터입력!$AB$8))),데이터입력!$AB$8)</f>
        <v>00</v>
      </c>
      <c r="P168" s="728" t="str">
        <f>데이터입력!$AC$9</f>
        <v>일반사업[일반]</v>
      </c>
      <c r="Q168" s="729" t="str">
        <f>IFERROR(IF(데이터입력!$AE$2="추경",VLOOKUP($N168,데이터입력!$A:$H,4,FALSE),""),"")</f>
        <v/>
      </c>
      <c r="R168" s="729" t="str">
        <f>IFERROR(IF(데이터입력!$AE$2="추경",VLOOKUP($N168,데이터입력!$A:$H,2,FALSE),""),"")</f>
        <v/>
      </c>
      <c r="S168" s="729" t="str">
        <f>IFERROR(IF(데이터입력!$AE$2="추경",VLOOKUP($N168,데이터입력!$A:$H,5,FALSE),""),"")</f>
        <v/>
      </c>
      <c r="T168" s="729" t="str">
        <f>IFERROR(IF(데이터입력!$AE$2="추경",VLOOKUP($N168,데이터입력!$A:$H,6,FALSE),""),"")</f>
        <v/>
      </c>
      <c r="U168" s="730" t="str">
        <f>IFERROR(IF(데이터입력!$AE$2="추경",VLOOKUP($N168,데이터입력!$A:$L,8,FALSE)+VLOOKUP($N168,데이터입력!$A:$L,9,FALSE)+VLOOKUP($N168,데이터입력!$A:$L,10,FALSE),""),"")</f>
        <v/>
      </c>
      <c r="V168" s="731" t="s">
        <v>136</v>
      </c>
      <c r="W168" s="731" t="s">
        <v>136</v>
      </c>
      <c r="X168" s="731" t="s">
        <v>136</v>
      </c>
      <c r="Y168" s="712"/>
      <c r="Z168" s="235" t="str">
        <f>데이터입력!$AB$8</f>
        <v>00</v>
      </c>
      <c r="AA168" s="238" t="str">
        <f>데이터입력!$AC$9</f>
        <v>일반사업[일반]</v>
      </c>
      <c r="AB168" s="236" t="str">
        <f>IFERROR(IF(데이터입력!$AE$2="추경",VLOOKUP($A168,보수일람표!$A:$M,4,FALSE),""),"")</f>
        <v/>
      </c>
      <c r="AC168" s="236" t="str">
        <f>IFERROR(IF(데이터입력!$AE$2="추경",VLOOKUP($A168,보수일람표!$A:$M,5,FALSE),""),"")</f>
        <v/>
      </c>
      <c r="AD168" s="236" t="str">
        <f>IFERROR(IF(데이터입력!$AE$2="추경",VLOOKUP($A168,보수일람표!$A:$M,6,FALSE),""),"")</f>
        <v/>
      </c>
      <c r="AE168" s="236" t="str">
        <f>IFERROR(IF(데이터입력!$AE$2="추경",VLOOKUP($A168,보수일람표!$A:$M,7,FALSE),""),"")</f>
        <v>직접</v>
      </c>
      <c r="AF168" s="236"/>
      <c r="AG168" s="237">
        <f>IFERROR(IF(데이터입력!$AE$2="추경",VLOOKUP($A168,보수일람표!$A:$M,9,FALSE),""),"")</f>
        <v>0</v>
      </c>
      <c r="AH168" s="237">
        <f>IFERROR(IF(데이터입력!$AE$2="추경",VLOOKUP($A168,보수일람표!$A:$M,10,FALSE),""),"")</f>
        <v>0</v>
      </c>
      <c r="AI168" s="237">
        <f>IFERROR(IF(데이터입력!$AE$2="추경",VLOOKUP($A168,보수일람표!$A:$M,11,FALSE),""),"")</f>
        <v>0</v>
      </c>
      <c r="AJ168" s="237">
        <f>IFERROR(IF(데이터입력!$AE$2="추경",VLOOKUP($A168,보수일람표!$A:$M,12,FALSE),""),"")</f>
        <v>0</v>
      </c>
      <c r="AK168" s="237">
        <f>IFERROR(IF(데이터입력!$AE$2="추경",VLOOKUP($A168,보수일람표!$A:$M,13,FALSE),""),"")</f>
        <v>0</v>
      </c>
    </row>
    <row r="169" spans="1:37">
      <c r="A169" s="233">
        <v>167</v>
      </c>
      <c r="B169" s="719" t="str">
        <f>IFERROR(IF(F169="06",데이터입력!$AB$8,IF(F169="07",데이터입력!$AD$8,IF(F169="05",데이터입력!$AF$8,데이터입력!$AB$8))),데이터입력!$AB$8)</f>
        <v>00</v>
      </c>
      <c r="C169" s="720" t="str">
        <f>데이터입력!$AC$9</f>
        <v>일반사업[일반]</v>
      </c>
      <c r="D169" s="721" t="str">
        <f>IFERROR(IF(AND(데이터입력!$AE$2="추경",데이터입력!$AM$2=TRUE),VLOOKUP($A169,데이터입력!$A:$H,4,FALSE),""),"")</f>
        <v/>
      </c>
      <c r="E169" s="721" t="str">
        <f>IFERROR(IF(AND(데이터입력!$AE$2="추경",데이터입력!$AM$2=TRUE),VLOOKUP($A169,데이터입력!$A:$H,2,FALSE),""),"")</f>
        <v/>
      </c>
      <c r="F169" s="721" t="str">
        <f>IFERROR(IF(AND(데이터입력!$AE$2="추경",데이터입력!$AM$2=TRUE),VLOOKUP($A169,데이터입력!$A:$H,5,FALSE),""),"")</f>
        <v/>
      </c>
      <c r="G169" s="721" t="str">
        <f>IFERROR(IF(AND(데이터입력!$AE$2="추경",데이터입력!$AM$2=TRUE),VLOOKUP($A169,데이터입력!$A:$H,6,FALSE),""),"")</f>
        <v/>
      </c>
      <c r="H169" s="722" t="str">
        <f>IFERROR(IF(AND(데이터입력!$AE$2="추경",데이터입력!$AM$2=TRUE),VLOOKUP($A169,데이터입력!$A:$L,7,FALSE),""),"")</f>
        <v/>
      </c>
      <c r="I169" s="722" t="str">
        <f>IFERROR(IF(AND(데이터입력!$AE$2="추경",데이터입력!$AM$2=TRUE),VLOOKUP($A169,데이터입력!$A:$L,8,FALSE)+VLOOKUP($A169,데이터입력!$A:$L,9,FALSE)+VLOOKUP($A169,데이터입력!$A:$L,10,FALSE),""),"")</f>
        <v/>
      </c>
      <c r="J169" s="723" t="s">
        <v>136</v>
      </c>
      <c r="K169" s="723" t="s">
        <v>136</v>
      </c>
      <c r="L169" s="723" t="s">
        <v>136</v>
      </c>
      <c r="M169" s="715"/>
      <c r="N169" s="233">
        <v>367</v>
      </c>
      <c r="O169" s="727" t="str">
        <f>IFERROR(IF(S169="06",데이터입력!$AB$8,IF(S169="07",데이터입력!$AD$8,IF(S169="05",데이터입력!$AF$8,데이터입력!$AB$8))),데이터입력!$AB$8)</f>
        <v>00</v>
      </c>
      <c r="P169" s="728" t="str">
        <f>데이터입력!$AC$9</f>
        <v>일반사업[일반]</v>
      </c>
      <c r="Q169" s="729" t="str">
        <f>IFERROR(IF(데이터입력!$AE$2="추경",VLOOKUP($N169,데이터입력!$A:$H,4,FALSE),""),"")</f>
        <v/>
      </c>
      <c r="R169" s="729" t="str">
        <f>IFERROR(IF(데이터입력!$AE$2="추경",VLOOKUP($N169,데이터입력!$A:$H,2,FALSE),""),"")</f>
        <v/>
      </c>
      <c r="S169" s="729" t="str">
        <f>IFERROR(IF(데이터입력!$AE$2="추경",VLOOKUP($N169,데이터입력!$A:$H,5,FALSE),""),"")</f>
        <v/>
      </c>
      <c r="T169" s="729" t="str">
        <f>IFERROR(IF(데이터입력!$AE$2="추경",VLOOKUP($N169,데이터입력!$A:$H,6,FALSE),""),"")</f>
        <v/>
      </c>
      <c r="U169" s="730" t="str">
        <f>IFERROR(IF(데이터입력!$AE$2="추경",VLOOKUP($N169,데이터입력!$A:$L,8,FALSE)+VLOOKUP($N169,데이터입력!$A:$L,9,FALSE)+VLOOKUP($N169,데이터입력!$A:$L,10,FALSE),""),"")</f>
        <v/>
      </c>
      <c r="V169" s="731" t="s">
        <v>136</v>
      </c>
      <c r="W169" s="731" t="s">
        <v>136</v>
      </c>
      <c r="X169" s="731" t="s">
        <v>136</v>
      </c>
      <c r="Y169" s="712"/>
      <c r="Z169" s="235" t="str">
        <f>데이터입력!$AB$8</f>
        <v>00</v>
      </c>
      <c r="AA169" s="238" t="str">
        <f>데이터입력!$AC$9</f>
        <v>일반사업[일반]</v>
      </c>
      <c r="AB169" s="236" t="str">
        <f>IFERROR(IF(데이터입력!$AE$2="추경",VLOOKUP($A169,보수일람표!$A:$M,4,FALSE),""),"")</f>
        <v/>
      </c>
      <c r="AC169" s="236" t="str">
        <f>IFERROR(IF(데이터입력!$AE$2="추경",VLOOKUP($A169,보수일람표!$A:$M,5,FALSE),""),"")</f>
        <v/>
      </c>
      <c r="AD169" s="236" t="str">
        <f>IFERROR(IF(데이터입력!$AE$2="추경",VLOOKUP($A169,보수일람표!$A:$M,6,FALSE),""),"")</f>
        <v/>
      </c>
      <c r="AE169" s="236" t="str">
        <f>IFERROR(IF(데이터입력!$AE$2="추경",VLOOKUP($A169,보수일람표!$A:$M,7,FALSE),""),"")</f>
        <v>직접</v>
      </c>
      <c r="AF169" s="236"/>
      <c r="AG169" s="237">
        <f>IFERROR(IF(데이터입력!$AE$2="추경",VLOOKUP($A169,보수일람표!$A:$M,9,FALSE),""),"")</f>
        <v>0</v>
      </c>
      <c r="AH169" s="237">
        <f>IFERROR(IF(데이터입력!$AE$2="추경",VLOOKUP($A169,보수일람표!$A:$M,10,FALSE),""),"")</f>
        <v>0</v>
      </c>
      <c r="AI169" s="237">
        <f>IFERROR(IF(데이터입력!$AE$2="추경",VLOOKUP($A169,보수일람표!$A:$M,11,FALSE),""),"")</f>
        <v>0</v>
      </c>
      <c r="AJ169" s="237">
        <f>IFERROR(IF(데이터입력!$AE$2="추경",VLOOKUP($A169,보수일람표!$A:$M,12,FALSE),""),"")</f>
        <v>0</v>
      </c>
      <c r="AK169" s="237">
        <f>IFERROR(IF(데이터입력!$AE$2="추경",VLOOKUP($A169,보수일람표!$A:$M,13,FALSE),""),"")</f>
        <v>0</v>
      </c>
    </row>
    <row r="170" spans="1:37">
      <c r="A170" s="233">
        <v>168</v>
      </c>
      <c r="B170" s="719" t="str">
        <f>IFERROR(IF(F170="06",데이터입력!$AB$8,IF(F170="07",데이터입력!$AD$8,IF(F170="05",데이터입력!$AF$8,데이터입력!$AB$8))),데이터입력!$AB$8)</f>
        <v>00</v>
      </c>
      <c r="C170" s="720" t="str">
        <f>데이터입력!$AC$9</f>
        <v>일반사업[일반]</v>
      </c>
      <c r="D170" s="721" t="str">
        <f>IFERROR(IF(AND(데이터입력!$AE$2="추경",데이터입력!$AM$2=TRUE),VLOOKUP($A170,데이터입력!$A:$H,4,FALSE),""),"")</f>
        <v/>
      </c>
      <c r="E170" s="721" t="str">
        <f>IFERROR(IF(AND(데이터입력!$AE$2="추경",데이터입력!$AM$2=TRUE),VLOOKUP($A170,데이터입력!$A:$H,2,FALSE),""),"")</f>
        <v/>
      </c>
      <c r="F170" s="721" t="str">
        <f>IFERROR(IF(AND(데이터입력!$AE$2="추경",데이터입력!$AM$2=TRUE),VLOOKUP($A170,데이터입력!$A:$H,5,FALSE),""),"")</f>
        <v/>
      </c>
      <c r="G170" s="721" t="str">
        <f>IFERROR(IF(AND(데이터입력!$AE$2="추경",데이터입력!$AM$2=TRUE),VLOOKUP($A170,데이터입력!$A:$H,6,FALSE),""),"")</f>
        <v/>
      </c>
      <c r="H170" s="722" t="str">
        <f>IFERROR(IF(AND(데이터입력!$AE$2="추경",데이터입력!$AM$2=TRUE),VLOOKUP($A170,데이터입력!$A:$L,7,FALSE),""),"")</f>
        <v/>
      </c>
      <c r="I170" s="722" t="str">
        <f>IFERROR(IF(AND(데이터입력!$AE$2="추경",데이터입력!$AM$2=TRUE),VLOOKUP($A170,데이터입력!$A:$L,8,FALSE)+VLOOKUP($A170,데이터입력!$A:$L,9,FALSE)+VLOOKUP($A170,데이터입력!$A:$L,10,FALSE),""),"")</f>
        <v/>
      </c>
      <c r="J170" s="723" t="s">
        <v>136</v>
      </c>
      <c r="K170" s="723" t="s">
        <v>136</v>
      </c>
      <c r="L170" s="723" t="s">
        <v>136</v>
      </c>
      <c r="M170" s="715"/>
      <c r="N170" s="233">
        <v>368</v>
      </c>
      <c r="O170" s="727" t="str">
        <f>IFERROR(IF(S170="06",데이터입력!$AB$8,IF(S170="07",데이터입력!$AD$8,IF(S170="05",데이터입력!$AF$8,데이터입력!$AB$8))),데이터입력!$AB$8)</f>
        <v>00</v>
      </c>
      <c r="P170" s="728" t="str">
        <f>데이터입력!$AC$9</f>
        <v>일반사업[일반]</v>
      </c>
      <c r="Q170" s="729" t="str">
        <f>IFERROR(IF(데이터입력!$AE$2="추경",VLOOKUP($N170,데이터입력!$A:$H,4,FALSE),""),"")</f>
        <v/>
      </c>
      <c r="R170" s="729" t="str">
        <f>IFERROR(IF(데이터입력!$AE$2="추경",VLOOKUP($N170,데이터입력!$A:$H,2,FALSE),""),"")</f>
        <v/>
      </c>
      <c r="S170" s="729" t="str">
        <f>IFERROR(IF(데이터입력!$AE$2="추경",VLOOKUP($N170,데이터입력!$A:$H,5,FALSE),""),"")</f>
        <v/>
      </c>
      <c r="T170" s="729" t="str">
        <f>IFERROR(IF(데이터입력!$AE$2="추경",VLOOKUP($N170,데이터입력!$A:$H,6,FALSE),""),"")</f>
        <v/>
      </c>
      <c r="U170" s="730" t="str">
        <f>IFERROR(IF(데이터입력!$AE$2="추경",VLOOKUP($N170,데이터입력!$A:$L,8,FALSE)+VLOOKUP($N170,데이터입력!$A:$L,9,FALSE)+VLOOKUP($N170,데이터입력!$A:$L,10,FALSE),""),"")</f>
        <v/>
      </c>
      <c r="V170" s="731" t="s">
        <v>136</v>
      </c>
      <c r="W170" s="731" t="s">
        <v>136</v>
      </c>
      <c r="X170" s="731" t="s">
        <v>136</v>
      </c>
      <c r="Y170" s="712"/>
      <c r="Z170" s="235" t="str">
        <f>데이터입력!$AB$8</f>
        <v>00</v>
      </c>
      <c r="AA170" s="238" t="str">
        <f>데이터입력!$AC$9</f>
        <v>일반사업[일반]</v>
      </c>
      <c r="AB170" s="236" t="str">
        <f>IFERROR(IF(데이터입력!$AE$2="추경",VLOOKUP($A170,보수일람표!$A:$M,4,FALSE),""),"")</f>
        <v/>
      </c>
      <c r="AC170" s="236" t="str">
        <f>IFERROR(IF(데이터입력!$AE$2="추경",VLOOKUP($A170,보수일람표!$A:$M,5,FALSE),""),"")</f>
        <v/>
      </c>
      <c r="AD170" s="236" t="str">
        <f>IFERROR(IF(데이터입력!$AE$2="추경",VLOOKUP($A170,보수일람표!$A:$M,6,FALSE),""),"")</f>
        <v/>
      </c>
      <c r="AE170" s="236" t="str">
        <f>IFERROR(IF(데이터입력!$AE$2="추경",VLOOKUP($A170,보수일람표!$A:$M,7,FALSE),""),"")</f>
        <v>직접</v>
      </c>
      <c r="AF170" s="236"/>
      <c r="AG170" s="237">
        <f>IFERROR(IF(데이터입력!$AE$2="추경",VLOOKUP($A170,보수일람표!$A:$M,9,FALSE),""),"")</f>
        <v>0</v>
      </c>
      <c r="AH170" s="237">
        <f>IFERROR(IF(데이터입력!$AE$2="추경",VLOOKUP($A170,보수일람표!$A:$M,10,FALSE),""),"")</f>
        <v>0</v>
      </c>
      <c r="AI170" s="237">
        <f>IFERROR(IF(데이터입력!$AE$2="추경",VLOOKUP($A170,보수일람표!$A:$M,11,FALSE),""),"")</f>
        <v>0</v>
      </c>
      <c r="AJ170" s="237">
        <f>IFERROR(IF(데이터입력!$AE$2="추경",VLOOKUP($A170,보수일람표!$A:$M,12,FALSE),""),"")</f>
        <v>0</v>
      </c>
      <c r="AK170" s="237">
        <f>IFERROR(IF(데이터입력!$AE$2="추경",VLOOKUP($A170,보수일람표!$A:$M,13,FALSE),""),"")</f>
        <v>0</v>
      </c>
    </row>
    <row r="171" spans="1:37">
      <c r="A171" s="233">
        <v>169</v>
      </c>
      <c r="B171" s="719" t="str">
        <f>IFERROR(IF(F171="06",데이터입력!$AB$8,IF(F171="07",데이터입력!$AD$8,IF(F171="05",데이터입력!$AF$8,데이터입력!$AB$8))),데이터입력!$AB$8)</f>
        <v>00</v>
      </c>
      <c r="C171" s="720" t="str">
        <f>데이터입력!$AC$9</f>
        <v>일반사업[일반]</v>
      </c>
      <c r="D171" s="721" t="str">
        <f>IFERROR(IF(AND(데이터입력!$AE$2="추경",데이터입력!$AM$2=TRUE),VLOOKUP($A171,데이터입력!$A:$H,4,FALSE),""),"")</f>
        <v/>
      </c>
      <c r="E171" s="721" t="str">
        <f>IFERROR(IF(AND(데이터입력!$AE$2="추경",데이터입력!$AM$2=TRUE),VLOOKUP($A171,데이터입력!$A:$H,2,FALSE),""),"")</f>
        <v/>
      </c>
      <c r="F171" s="721" t="str">
        <f>IFERROR(IF(AND(데이터입력!$AE$2="추경",데이터입력!$AM$2=TRUE),VLOOKUP($A171,데이터입력!$A:$H,5,FALSE),""),"")</f>
        <v/>
      </c>
      <c r="G171" s="721" t="str">
        <f>IFERROR(IF(AND(데이터입력!$AE$2="추경",데이터입력!$AM$2=TRUE),VLOOKUP($A171,데이터입력!$A:$H,6,FALSE),""),"")</f>
        <v/>
      </c>
      <c r="H171" s="722" t="str">
        <f>IFERROR(IF(AND(데이터입력!$AE$2="추경",데이터입력!$AM$2=TRUE),VLOOKUP($A171,데이터입력!$A:$L,7,FALSE),""),"")</f>
        <v/>
      </c>
      <c r="I171" s="722" t="str">
        <f>IFERROR(IF(AND(데이터입력!$AE$2="추경",데이터입력!$AM$2=TRUE),VLOOKUP($A171,데이터입력!$A:$L,8,FALSE)+VLOOKUP($A171,데이터입력!$A:$L,9,FALSE)+VLOOKUP($A171,데이터입력!$A:$L,10,FALSE),""),"")</f>
        <v/>
      </c>
      <c r="J171" s="723" t="s">
        <v>136</v>
      </c>
      <c r="K171" s="723" t="s">
        <v>136</v>
      </c>
      <c r="L171" s="723" t="s">
        <v>136</v>
      </c>
      <c r="M171" s="715"/>
      <c r="N171" s="233">
        <v>369</v>
      </c>
      <c r="O171" s="727" t="str">
        <f>IFERROR(IF(S171="06",데이터입력!$AB$8,IF(S171="07",데이터입력!$AD$8,IF(S171="05",데이터입력!$AF$8,데이터입력!$AB$8))),데이터입력!$AB$8)</f>
        <v>00</v>
      </c>
      <c r="P171" s="728" t="str">
        <f>데이터입력!$AC$9</f>
        <v>일반사업[일반]</v>
      </c>
      <c r="Q171" s="729" t="str">
        <f>IFERROR(IF(데이터입력!$AE$2="추경",VLOOKUP($N171,데이터입력!$A:$H,4,FALSE),""),"")</f>
        <v/>
      </c>
      <c r="R171" s="729" t="str">
        <f>IFERROR(IF(데이터입력!$AE$2="추경",VLOOKUP($N171,데이터입력!$A:$H,2,FALSE),""),"")</f>
        <v/>
      </c>
      <c r="S171" s="729" t="str">
        <f>IFERROR(IF(데이터입력!$AE$2="추경",VLOOKUP($N171,데이터입력!$A:$H,5,FALSE),""),"")</f>
        <v/>
      </c>
      <c r="T171" s="729" t="str">
        <f>IFERROR(IF(데이터입력!$AE$2="추경",VLOOKUP($N171,데이터입력!$A:$H,6,FALSE),""),"")</f>
        <v/>
      </c>
      <c r="U171" s="730" t="str">
        <f>IFERROR(IF(데이터입력!$AE$2="추경",VLOOKUP($N171,데이터입력!$A:$L,8,FALSE)+VLOOKUP($N171,데이터입력!$A:$L,9,FALSE)+VLOOKUP($N171,데이터입력!$A:$L,10,FALSE),""),"")</f>
        <v/>
      </c>
      <c r="V171" s="731" t="s">
        <v>136</v>
      </c>
      <c r="W171" s="731" t="s">
        <v>136</v>
      </c>
      <c r="X171" s="731" t="s">
        <v>136</v>
      </c>
      <c r="Y171" s="712"/>
      <c r="Z171" s="235" t="str">
        <f>데이터입력!$AB$8</f>
        <v>00</v>
      </c>
      <c r="AA171" s="238" t="str">
        <f>데이터입력!$AC$9</f>
        <v>일반사업[일반]</v>
      </c>
      <c r="AB171" s="236" t="str">
        <f>IFERROR(IF(데이터입력!$AE$2="추경",VLOOKUP($A171,보수일람표!$A:$M,4,FALSE),""),"")</f>
        <v/>
      </c>
      <c r="AC171" s="236" t="str">
        <f>IFERROR(IF(데이터입력!$AE$2="추경",VLOOKUP($A171,보수일람표!$A:$M,5,FALSE),""),"")</f>
        <v/>
      </c>
      <c r="AD171" s="236" t="str">
        <f>IFERROR(IF(데이터입력!$AE$2="추경",VLOOKUP($A171,보수일람표!$A:$M,6,FALSE),""),"")</f>
        <v/>
      </c>
      <c r="AE171" s="236" t="str">
        <f>IFERROR(IF(데이터입력!$AE$2="추경",VLOOKUP($A171,보수일람표!$A:$M,7,FALSE),""),"")</f>
        <v>직접</v>
      </c>
      <c r="AF171" s="236"/>
      <c r="AG171" s="237">
        <f>IFERROR(IF(데이터입력!$AE$2="추경",VLOOKUP($A171,보수일람표!$A:$M,9,FALSE),""),"")</f>
        <v>0</v>
      </c>
      <c r="AH171" s="237">
        <f>IFERROR(IF(데이터입력!$AE$2="추경",VLOOKUP($A171,보수일람표!$A:$M,10,FALSE),""),"")</f>
        <v>0</v>
      </c>
      <c r="AI171" s="237">
        <f>IFERROR(IF(데이터입력!$AE$2="추경",VLOOKUP($A171,보수일람표!$A:$M,11,FALSE),""),"")</f>
        <v>0</v>
      </c>
      <c r="AJ171" s="237">
        <f>IFERROR(IF(데이터입력!$AE$2="추경",VLOOKUP($A171,보수일람표!$A:$M,12,FALSE),""),"")</f>
        <v>0</v>
      </c>
      <c r="AK171" s="237">
        <f>IFERROR(IF(데이터입력!$AE$2="추경",VLOOKUP($A171,보수일람표!$A:$M,13,FALSE),""),"")</f>
        <v>0</v>
      </c>
    </row>
    <row r="172" spans="1:37">
      <c r="A172" s="233">
        <v>170</v>
      </c>
      <c r="B172" s="719" t="str">
        <f>IFERROR(IF(F172="06",데이터입력!$AB$8,IF(F172="07",데이터입력!$AD$8,IF(F172="05",데이터입력!$AF$8,데이터입력!$AB$8))),데이터입력!$AB$8)</f>
        <v>00</v>
      </c>
      <c r="C172" s="720" t="str">
        <f>데이터입력!$AC$9</f>
        <v>일반사업[일반]</v>
      </c>
      <c r="D172" s="721" t="str">
        <f>IFERROR(IF(AND(데이터입력!$AE$2="추경",데이터입력!$AM$2=TRUE),VLOOKUP($A172,데이터입력!$A:$H,4,FALSE),""),"")</f>
        <v/>
      </c>
      <c r="E172" s="721" t="str">
        <f>IFERROR(IF(AND(데이터입력!$AE$2="추경",데이터입력!$AM$2=TRUE),VLOOKUP($A172,데이터입력!$A:$H,2,FALSE),""),"")</f>
        <v/>
      </c>
      <c r="F172" s="721" t="str">
        <f>IFERROR(IF(AND(데이터입력!$AE$2="추경",데이터입력!$AM$2=TRUE),VLOOKUP($A172,데이터입력!$A:$H,5,FALSE),""),"")</f>
        <v/>
      </c>
      <c r="G172" s="721" t="str">
        <f>IFERROR(IF(AND(데이터입력!$AE$2="추경",데이터입력!$AM$2=TRUE),VLOOKUP($A172,데이터입력!$A:$H,6,FALSE),""),"")</f>
        <v/>
      </c>
      <c r="H172" s="722" t="str">
        <f>IFERROR(IF(AND(데이터입력!$AE$2="추경",데이터입력!$AM$2=TRUE),VLOOKUP($A172,데이터입력!$A:$L,7,FALSE),""),"")</f>
        <v/>
      </c>
      <c r="I172" s="722" t="str">
        <f>IFERROR(IF(AND(데이터입력!$AE$2="추경",데이터입력!$AM$2=TRUE),VLOOKUP($A172,데이터입력!$A:$L,8,FALSE)+VLOOKUP($A172,데이터입력!$A:$L,9,FALSE)+VLOOKUP($A172,데이터입력!$A:$L,10,FALSE),""),"")</f>
        <v/>
      </c>
      <c r="J172" s="723" t="s">
        <v>136</v>
      </c>
      <c r="K172" s="723" t="s">
        <v>136</v>
      </c>
      <c r="L172" s="723" t="s">
        <v>136</v>
      </c>
      <c r="M172" s="715"/>
      <c r="N172" s="233">
        <v>370</v>
      </c>
      <c r="O172" s="727" t="str">
        <f>IFERROR(IF(S172="06",데이터입력!$AB$8,IF(S172="07",데이터입력!$AD$8,IF(S172="05",데이터입력!$AF$8,데이터입력!$AB$8))),데이터입력!$AB$8)</f>
        <v>00</v>
      </c>
      <c r="P172" s="728" t="str">
        <f>데이터입력!$AC$9</f>
        <v>일반사업[일반]</v>
      </c>
      <c r="Q172" s="729" t="str">
        <f>IFERROR(IF(데이터입력!$AE$2="추경",VLOOKUP($N172,데이터입력!$A:$H,4,FALSE),""),"")</f>
        <v/>
      </c>
      <c r="R172" s="729" t="str">
        <f>IFERROR(IF(데이터입력!$AE$2="추경",VLOOKUP($N172,데이터입력!$A:$H,2,FALSE),""),"")</f>
        <v/>
      </c>
      <c r="S172" s="729" t="str">
        <f>IFERROR(IF(데이터입력!$AE$2="추경",VLOOKUP($N172,데이터입력!$A:$H,5,FALSE),""),"")</f>
        <v/>
      </c>
      <c r="T172" s="729" t="str">
        <f>IFERROR(IF(데이터입력!$AE$2="추경",VLOOKUP($N172,데이터입력!$A:$H,6,FALSE),""),"")</f>
        <v/>
      </c>
      <c r="U172" s="730" t="str">
        <f>IFERROR(IF(데이터입력!$AE$2="추경",VLOOKUP($N172,데이터입력!$A:$L,8,FALSE)+VLOOKUP($N172,데이터입력!$A:$L,9,FALSE)+VLOOKUP($N172,데이터입력!$A:$L,10,FALSE),""),"")</f>
        <v/>
      </c>
      <c r="V172" s="731" t="s">
        <v>136</v>
      </c>
      <c r="W172" s="731" t="s">
        <v>136</v>
      </c>
      <c r="X172" s="731" t="s">
        <v>136</v>
      </c>
      <c r="Y172" s="712"/>
      <c r="Z172" s="235" t="str">
        <f>데이터입력!$AB$8</f>
        <v>00</v>
      </c>
      <c r="AA172" s="238" t="str">
        <f>데이터입력!$AC$9</f>
        <v>일반사업[일반]</v>
      </c>
      <c r="AB172" s="236" t="str">
        <f>IFERROR(IF(데이터입력!$AE$2="추경",VLOOKUP($A172,보수일람표!$A:$M,4,FALSE),""),"")</f>
        <v/>
      </c>
      <c r="AC172" s="236" t="str">
        <f>IFERROR(IF(데이터입력!$AE$2="추경",VLOOKUP($A172,보수일람표!$A:$M,5,FALSE),""),"")</f>
        <v/>
      </c>
      <c r="AD172" s="236" t="str">
        <f>IFERROR(IF(데이터입력!$AE$2="추경",VLOOKUP($A172,보수일람표!$A:$M,6,FALSE),""),"")</f>
        <v/>
      </c>
      <c r="AE172" s="236" t="str">
        <f>IFERROR(IF(데이터입력!$AE$2="추경",VLOOKUP($A172,보수일람표!$A:$M,7,FALSE),""),"")</f>
        <v>직접</v>
      </c>
      <c r="AF172" s="236"/>
      <c r="AG172" s="237">
        <f>IFERROR(IF(데이터입력!$AE$2="추경",VLOOKUP($A172,보수일람표!$A:$M,9,FALSE),""),"")</f>
        <v>0</v>
      </c>
      <c r="AH172" s="237">
        <f>IFERROR(IF(데이터입력!$AE$2="추경",VLOOKUP($A172,보수일람표!$A:$M,10,FALSE),""),"")</f>
        <v>0</v>
      </c>
      <c r="AI172" s="237">
        <f>IFERROR(IF(데이터입력!$AE$2="추경",VLOOKUP($A172,보수일람표!$A:$M,11,FALSE),""),"")</f>
        <v>0</v>
      </c>
      <c r="AJ172" s="237">
        <f>IFERROR(IF(데이터입력!$AE$2="추경",VLOOKUP($A172,보수일람표!$A:$M,12,FALSE),""),"")</f>
        <v>0</v>
      </c>
      <c r="AK172" s="237">
        <f>IFERROR(IF(데이터입력!$AE$2="추경",VLOOKUP($A172,보수일람표!$A:$M,13,FALSE),""),"")</f>
        <v>0</v>
      </c>
    </row>
    <row r="173" spans="1:37">
      <c r="A173" s="233">
        <v>171</v>
      </c>
      <c r="B173" s="719" t="str">
        <f>IFERROR(IF(F173="06",데이터입력!$AB$8,IF(F173="07",데이터입력!$AD$8,IF(F173="05",데이터입력!$AF$8,데이터입력!$AB$8))),데이터입력!$AB$8)</f>
        <v>00</v>
      </c>
      <c r="C173" s="720" t="str">
        <f>데이터입력!$AC$9</f>
        <v>일반사업[일반]</v>
      </c>
      <c r="D173" s="721" t="str">
        <f>IFERROR(IF(AND(데이터입력!$AE$2="추경",데이터입력!$AM$2=TRUE),VLOOKUP($A173,데이터입력!$A:$H,4,FALSE),""),"")</f>
        <v/>
      </c>
      <c r="E173" s="721" t="str">
        <f>IFERROR(IF(AND(데이터입력!$AE$2="추경",데이터입력!$AM$2=TRUE),VLOOKUP($A173,데이터입력!$A:$H,2,FALSE),""),"")</f>
        <v/>
      </c>
      <c r="F173" s="721" t="str">
        <f>IFERROR(IF(AND(데이터입력!$AE$2="추경",데이터입력!$AM$2=TRUE),VLOOKUP($A173,데이터입력!$A:$H,5,FALSE),""),"")</f>
        <v/>
      </c>
      <c r="G173" s="721" t="str">
        <f>IFERROR(IF(AND(데이터입력!$AE$2="추경",데이터입력!$AM$2=TRUE),VLOOKUP($A173,데이터입력!$A:$H,6,FALSE),""),"")</f>
        <v/>
      </c>
      <c r="H173" s="722" t="str">
        <f>IFERROR(IF(AND(데이터입력!$AE$2="추경",데이터입력!$AM$2=TRUE),VLOOKUP($A173,데이터입력!$A:$L,7,FALSE),""),"")</f>
        <v/>
      </c>
      <c r="I173" s="722" t="str">
        <f>IFERROR(IF(AND(데이터입력!$AE$2="추경",데이터입력!$AM$2=TRUE),VLOOKUP($A173,데이터입력!$A:$L,8,FALSE)+VLOOKUP($A173,데이터입력!$A:$L,9,FALSE)+VLOOKUP($A173,데이터입력!$A:$L,10,FALSE),""),"")</f>
        <v/>
      </c>
      <c r="J173" s="723" t="s">
        <v>136</v>
      </c>
      <c r="K173" s="723" t="s">
        <v>136</v>
      </c>
      <c r="L173" s="723" t="s">
        <v>136</v>
      </c>
      <c r="M173" s="715"/>
      <c r="N173" s="233">
        <v>371</v>
      </c>
      <c r="O173" s="727" t="str">
        <f>IFERROR(IF(S173="06",데이터입력!$AB$8,IF(S173="07",데이터입력!$AD$8,IF(S173="05",데이터입력!$AF$8,데이터입력!$AB$8))),데이터입력!$AB$8)</f>
        <v>00</v>
      </c>
      <c r="P173" s="728" t="str">
        <f>데이터입력!$AC$9</f>
        <v>일반사업[일반]</v>
      </c>
      <c r="Q173" s="729" t="str">
        <f>IFERROR(IF(데이터입력!$AE$2="추경",VLOOKUP($N173,데이터입력!$A:$H,4,FALSE),""),"")</f>
        <v/>
      </c>
      <c r="R173" s="729" t="str">
        <f>IFERROR(IF(데이터입력!$AE$2="추경",VLOOKUP($N173,데이터입력!$A:$H,2,FALSE),""),"")</f>
        <v/>
      </c>
      <c r="S173" s="729" t="str">
        <f>IFERROR(IF(데이터입력!$AE$2="추경",VLOOKUP($N173,데이터입력!$A:$H,5,FALSE),""),"")</f>
        <v/>
      </c>
      <c r="T173" s="729" t="str">
        <f>IFERROR(IF(데이터입력!$AE$2="추경",VLOOKUP($N173,데이터입력!$A:$H,6,FALSE),""),"")</f>
        <v/>
      </c>
      <c r="U173" s="730" t="str">
        <f>IFERROR(IF(데이터입력!$AE$2="추경",VLOOKUP($N173,데이터입력!$A:$L,8,FALSE)+VLOOKUP($N173,데이터입력!$A:$L,9,FALSE)+VLOOKUP($N173,데이터입력!$A:$L,10,FALSE),""),"")</f>
        <v/>
      </c>
      <c r="V173" s="731" t="s">
        <v>136</v>
      </c>
      <c r="W173" s="731" t="s">
        <v>136</v>
      </c>
      <c r="X173" s="731" t="s">
        <v>136</v>
      </c>
      <c r="Y173" s="712"/>
      <c r="Z173" s="235" t="str">
        <f>데이터입력!$AB$8</f>
        <v>00</v>
      </c>
      <c r="AA173" s="238" t="str">
        <f>데이터입력!$AC$9</f>
        <v>일반사업[일반]</v>
      </c>
      <c r="AB173" s="236" t="str">
        <f>IFERROR(IF(데이터입력!$AE$2="추경",VLOOKUP($A173,보수일람표!$A:$M,4,FALSE),""),"")</f>
        <v/>
      </c>
      <c r="AC173" s="236" t="str">
        <f>IFERROR(IF(데이터입력!$AE$2="추경",VLOOKUP($A173,보수일람표!$A:$M,5,FALSE),""),"")</f>
        <v/>
      </c>
      <c r="AD173" s="236" t="str">
        <f>IFERROR(IF(데이터입력!$AE$2="추경",VLOOKUP($A173,보수일람표!$A:$M,6,FALSE),""),"")</f>
        <v/>
      </c>
      <c r="AE173" s="236" t="str">
        <f>IFERROR(IF(데이터입력!$AE$2="추경",VLOOKUP($A173,보수일람표!$A:$M,7,FALSE),""),"")</f>
        <v>직접</v>
      </c>
      <c r="AF173" s="236"/>
      <c r="AG173" s="237">
        <f>IFERROR(IF(데이터입력!$AE$2="추경",VLOOKUP($A173,보수일람표!$A:$M,9,FALSE),""),"")</f>
        <v>0</v>
      </c>
      <c r="AH173" s="237">
        <f>IFERROR(IF(데이터입력!$AE$2="추경",VLOOKUP($A173,보수일람표!$A:$M,10,FALSE),""),"")</f>
        <v>0</v>
      </c>
      <c r="AI173" s="237">
        <f>IFERROR(IF(데이터입력!$AE$2="추경",VLOOKUP($A173,보수일람표!$A:$M,11,FALSE),""),"")</f>
        <v>0</v>
      </c>
      <c r="AJ173" s="237">
        <f>IFERROR(IF(데이터입력!$AE$2="추경",VLOOKUP($A173,보수일람표!$A:$M,12,FALSE),""),"")</f>
        <v>0</v>
      </c>
      <c r="AK173" s="237">
        <f>IFERROR(IF(데이터입력!$AE$2="추경",VLOOKUP($A173,보수일람표!$A:$M,13,FALSE),""),"")</f>
        <v>0</v>
      </c>
    </row>
    <row r="174" spans="1:37">
      <c r="A174" s="233">
        <v>172</v>
      </c>
      <c r="B174" s="719" t="str">
        <f>IFERROR(IF(F174="06",데이터입력!$AB$8,IF(F174="07",데이터입력!$AD$8,IF(F174="05",데이터입력!$AF$8,데이터입력!$AB$8))),데이터입력!$AB$8)</f>
        <v>00</v>
      </c>
      <c r="C174" s="720" t="str">
        <f>데이터입력!$AC$9</f>
        <v>일반사업[일반]</v>
      </c>
      <c r="D174" s="721" t="str">
        <f>IFERROR(IF(AND(데이터입력!$AE$2="추경",데이터입력!$AM$2=TRUE),VLOOKUP($A174,데이터입력!$A:$H,4,FALSE),""),"")</f>
        <v/>
      </c>
      <c r="E174" s="721" t="str">
        <f>IFERROR(IF(AND(데이터입력!$AE$2="추경",데이터입력!$AM$2=TRUE),VLOOKUP($A174,데이터입력!$A:$H,2,FALSE),""),"")</f>
        <v/>
      </c>
      <c r="F174" s="721" t="str">
        <f>IFERROR(IF(AND(데이터입력!$AE$2="추경",데이터입력!$AM$2=TRUE),VLOOKUP($A174,데이터입력!$A:$H,5,FALSE),""),"")</f>
        <v/>
      </c>
      <c r="G174" s="721" t="str">
        <f>IFERROR(IF(AND(데이터입력!$AE$2="추경",데이터입력!$AM$2=TRUE),VLOOKUP($A174,데이터입력!$A:$H,6,FALSE),""),"")</f>
        <v/>
      </c>
      <c r="H174" s="722" t="str">
        <f>IFERROR(IF(AND(데이터입력!$AE$2="추경",데이터입력!$AM$2=TRUE),VLOOKUP($A174,데이터입력!$A:$L,7,FALSE),""),"")</f>
        <v/>
      </c>
      <c r="I174" s="722" t="str">
        <f>IFERROR(IF(AND(데이터입력!$AE$2="추경",데이터입력!$AM$2=TRUE),VLOOKUP($A174,데이터입력!$A:$L,8,FALSE)+VLOOKUP($A174,데이터입력!$A:$L,9,FALSE)+VLOOKUP($A174,데이터입력!$A:$L,10,FALSE),""),"")</f>
        <v/>
      </c>
      <c r="J174" s="723" t="s">
        <v>136</v>
      </c>
      <c r="K174" s="723" t="s">
        <v>136</v>
      </c>
      <c r="L174" s="723" t="s">
        <v>136</v>
      </c>
      <c r="M174" s="715"/>
      <c r="N174" s="233">
        <v>372</v>
      </c>
      <c r="O174" s="727" t="str">
        <f>IFERROR(IF(S174="06",데이터입력!$AB$8,IF(S174="07",데이터입력!$AD$8,IF(S174="05",데이터입력!$AF$8,데이터입력!$AB$8))),데이터입력!$AB$8)</f>
        <v>00</v>
      </c>
      <c r="P174" s="728" t="str">
        <f>데이터입력!$AC$9</f>
        <v>일반사업[일반]</v>
      </c>
      <c r="Q174" s="729" t="str">
        <f>IFERROR(IF(데이터입력!$AE$2="추경",VLOOKUP($N174,데이터입력!$A:$H,4,FALSE),""),"")</f>
        <v/>
      </c>
      <c r="R174" s="729" t="str">
        <f>IFERROR(IF(데이터입력!$AE$2="추경",VLOOKUP($N174,데이터입력!$A:$H,2,FALSE),""),"")</f>
        <v/>
      </c>
      <c r="S174" s="729" t="str">
        <f>IFERROR(IF(데이터입력!$AE$2="추경",VLOOKUP($N174,데이터입력!$A:$H,5,FALSE),""),"")</f>
        <v/>
      </c>
      <c r="T174" s="729" t="str">
        <f>IFERROR(IF(데이터입력!$AE$2="추경",VLOOKUP($N174,데이터입력!$A:$H,6,FALSE),""),"")</f>
        <v/>
      </c>
      <c r="U174" s="730" t="str">
        <f>IFERROR(IF(데이터입력!$AE$2="추경",VLOOKUP($N174,데이터입력!$A:$L,8,FALSE)+VLOOKUP($N174,데이터입력!$A:$L,9,FALSE)+VLOOKUP($N174,데이터입력!$A:$L,10,FALSE),""),"")</f>
        <v/>
      </c>
      <c r="V174" s="731" t="s">
        <v>136</v>
      </c>
      <c r="W174" s="731" t="s">
        <v>136</v>
      </c>
      <c r="X174" s="731" t="s">
        <v>136</v>
      </c>
      <c r="Y174" s="712"/>
      <c r="Z174" s="235" t="str">
        <f>데이터입력!$AB$8</f>
        <v>00</v>
      </c>
      <c r="AA174" s="238" t="str">
        <f>데이터입력!$AC$9</f>
        <v>일반사업[일반]</v>
      </c>
      <c r="AB174" s="236" t="str">
        <f>IFERROR(IF(데이터입력!$AE$2="추경",VLOOKUP($A174,보수일람표!$A:$M,4,FALSE),""),"")</f>
        <v/>
      </c>
      <c r="AC174" s="236" t="str">
        <f>IFERROR(IF(데이터입력!$AE$2="추경",VLOOKUP($A174,보수일람표!$A:$M,5,FALSE),""),"")</f>
        <v/>
      </c>
      <c r="AD174" s="236" t="str">
        <f>IFERROR(IF(데이터입력!$AE$2="추경",VLOOKUP($A174,보수일람표!$A:$M,6,FALSE),""),"")</f>
        <v/>
      </c>
      <c r="AE174" s="236" t="str">
        <f>IFERROR(IF(데이터입력!$AE$2="추경",VLOOKUP($A174,보수일람표!$A:$M,7,FALSE),""),"")</f>
        <v>직접</v>
      </c>
      <c r="AF174" s="236"/>
      <c r="AG174" s="237">
        <f>IFERROR(IF(데이터입력!$AE$2="추경",VLOOKUP($A174,보수일람표!$A:$M,9,FALSE),""),"")</f>
        <v>0</v>
      </c>
      <c r="AH174" s="237">
        <f>IFERROR(IF(데이터입력!$AE$2="추경",VLOOKUP($A174,보수일람표!$A:$M,10,FALSE),""),"")</f>
        <v>0</v>
      </c>
      <c r="AI174" s="237">
        <f>IFERROR(IF(데이터입력!$AE$2="추경",VLOOKUP($A174,보수일람표!$A:$M,11,FALSE),""),"")</f>
        <v>0</v>
      </c>
      <c r="AJ174" s="237">
        <f>IFERROR(IF(데이터입력!$AE$2="추경",VLOOKUP($A174,보수일람표!$A:$M,12,FALSE),""),"")</f>
        <v>0</v>
      </c>
      <c r="AK174" s="237">
        <f>IFERROR(IF(데이터입력!$AE$2="추경",VLOOKUP($A174,보수일람표!$A:$M,13,FALSE),""),"")</f>
        <v>0</v>
      </c>
    </row>
    <row r="175" spans="1:37">
      <c r="A175" s="233">
        <v>173</v>
      </c>
      <c r="B175" s="719" t="str">
        <f>IFERROR(IF(F175="06",데이터입력!$AB$8,IF(F175="07",데이터입력!$AD$8,IF(F175="05",데이터입력!$AF$8,데이터입력!$AB$8))),데이터입력!$AB$8)</f>
        <v>00</v>
      </c>
      <c r="C175" s="720" t="str">
        <f>데이터입력!$AC$9</f>
        <v>일반사업[일반]</v>
      </c>
      <c r="D175" s="721" t="str">
        <f>IFERROR(IF(AND(데이터입력!$AE$2="추경",데이터입력!$AM$2=TRUE),VLOOKUP($A175,데이터입력!$A:$H,4,FALSE),""),"")</f>
        <v/>
      </c>
      <c r="E175" s="721" t="str">
        <f>IFERROR(IF(AND(데이터입력!$AE$2="추경",데이터입력!$AM$2=TRUE),VLOOKUP($A175,데이터입력!$A:$H,2,FALSE),""),"")</f>
        <v/>
      </c>
      <c r="F175" s="721" t="str">
        <f>IFERROR(IF(AND(데이터입력!$AE$2="추경",데이터입력!$AM$2=TRUE),VLOOKUP($A175,데이터입력!$A:$H,5,FALSE),""),"")</f>
        <v/>
      </c>
      <c r="G175" s="721" t="str">
        <f>IFERROR(IF(AND(데이터입력!$AE$2="추경",데이터입력!$AM$2=TRUE),VLOOKUP($A175,데이터입력!$A:$H,6,FALSE),""),"")</f>
        <v/>
      </c>
      <c r="H175" s="722" t="str">
        <f>IFERROR(IF(AND(데이터입력!$AE$2="추경",데이터입력!$AM$2=TRUE),VLOOKUP($A175,데이터입력!$A:$L,7,FALSE),""),"")</f>
        <v/>
      </c>
      <c r="I175" s="722" t="str">
        <f>IFERROR(IF(AND(데이터입력!$AE$2="추경",데이터입력!$AM$2=TRUE),VLOOKUP($A175,데이터입력!$A:$L,8,FALSE)+VLOOKUP($A175,데이터입력!$A:$L,9,FALSE)+VLOOKUP($A175,데이터입력!$A:$L,10,FALSE),""),"")</f>
        <v/>
      </c>
      <c r="J175" s="723" t="s">
        <v>136</v>
      </c>
      <c r="K175" s="723" t="s">
        <v>136</v>
      </c>
      <c r="L175" s="723" t="s">
        <v>136</v>
      </c>
      <c r="M175" s="715"/>
      <c r="N175" s="233">
        <v>373</v>
      </c>
      <c r="O175" s="727" t="str">
        <f>IFERROR(IF(S175="06",데이터입력!$AB$8,IF(S175="07",데이터입력!$AD$8,IF(S175="05",데이터입력!$AF$8,데이터입력!$AB$8))),데이터입력!$AB$8)</f>
        <v>00</v>
      </c>
      <c r="P175" s="728" t="str">
        <f>데이터입력!$AC$9</f>
        <v>일반사업[일반]</v>
      </c>
      <c r="Q175" s="729" t="str">
        <f>IFERROR(IF(데이터입력!$AE$2="추경",VLOOKUP($N175,데이터입력!$A:$H,4,FALSE),""),"")</f>
        <v/>
      </c>
      <c r="R175" s="729" t="str">
        <f>IFERROR(IF(데이터입력!$AE$2="추경",VLOOKUP($N175,데이터입력!$A:$H,2,FALSE),""),"")</f>
        <v/>
      </c>
      <c r="S175" s="729" t="str">
        <f>IFERROR(IF(데이터입력!$AE$2="추경",VLOOKUP($N175,데이터입력!$A:$H,5,FALSE),""),"")</f>
        <v/>
      </c>
      <c r="T175" s="729" t="str">
        <f>IFERROR(IF(데이터입력!$AE$2="추경",VLOOKUP($N175,데이터입력!$A:$H,6,FALSE),""),"")</f>
        <v/>
      </c>
      <c r="U175" s="730" t="str">
        <f>IFERROR(IF(데이터입력!$AE$2="추경",VLOOKUP($N175,데이터입력!$A:$L,8,FALSE)+VLOOKUP($N175,데이터입력!$A:$L,9,FALSE)+VLOOKUP($N175,데이터입력!$A:$L,10,FALSE),""),"")</f>
        <v/>
      </c>
      <c r="V175" s="731" t="s">
        <v>136</v>
      </c>
      <c r="W175" s="731" t="s">
        <v>136</v>
      </c>
      <c r="X175" s="731" t="s">
        <v>136</v>
      </c>
      <c r="Y175" s="712"/>
      <c r="Z175" s="235" t="str">
        <f>데이터입력!$AB$8</f>
        <v>00</v>
      </c>
      <c r="AA175" s="238" t="str">
        <f>데이터입력!$AC$9</f>
        <v>일반사업[일반]</v>
      </c>
      <c r="AB175" s="236" t="str">
        <f>IFERROR(IF(데이터입력!$AE$2="추경",VLOOKUP($A175,보수일람표!$A:$M,4,FALSE),""),"")</f>
        <v/>
      </c>
      <c r="AC175" s="236" t="str">
        <f>IFERROR(IF(데이터입력!$AE$2="추경",VLOOKUP($A175,보수일람표!$A:$M,5,FALSE),""),"")</f>
        <v/>
      </c>
      <c r="AD175" s="236" t="str">
        <f>IFERROR(IF(데이터입력!$AE$2="추경",VLOOKUP($A175,보수일람표!$A:$M,6,FALSE),""),"")</f>
        <v/>
      </c>
      <c r="AE175" s="236" t="str">
        <f>IFERROR(IF(데이터입력!$AE$2="추경",VLOOKUP($A175,보수일람표!$A:$M,7,FALSE),""),"")</f>
        <v>직접</v>
      </c>
      <c r="AF175" s="236"/>
      <c r="AG175" s="237">
        <f>IFERROR(IF(데이터입력!$AE$2="추경",VLOOKUP($A175,보수일람표!$A:$M,9,FALSE),""),"")</f>
        <v>0</v>
      </c>
      <c r="AH175" s="237">
        <f>IFERROR(IF(데이터입력!$AE$2="추경",VLOOKUP($A175,보수일람표!$A:$M,10,FALSE),""),"")</f>
        <v>0</v>
      </c>
      <c r="AI175" s="237">
        <f>IFERROR(IF(데이터입력!$AE$2="추경",VLOOKUP($A175,보수일람표!$A:$M,11,FALSE),""),"")</f>
        <v>0</v>
      </c>
      <c r="AJ175" s="237">
        <f>IFERROR(IF(데이터입력!$AE$2="추경",VLOOKUP($A175,보수일람표!$A:$M,12,FALSE),""),"")</f>
        <v>0</v>
      </c>
      <c r="AK175" s="237">
        <f>IFERROR(IF(데이터입력!$AE$2="추경",VLOOKUP($A175,보수일람표!$A:$M,13,FALSE),""),"")</f>
        <v>0</v>
      </c>
    </row>
    <row r="176" spans="1:37">
      <c r="A176" s="233">
        <v>174</v>
      </c>
      <c r="B176" s="719" t="str">
        <f>IFERROR(IF(F176="06",데이터입력!$AB$8,IF(F176="07",데이터입력!$AD$8,IF(F176="05",데이터입력!$AF$8,데이터입력!$AB$8))),데이터입력!$AB$8)</f>
        <v>00</v>
      </c>
      <c r="C176" s="720" t="str">
        <f>데이터입력!$AC$9</f>
        <v>일반사업[일반]</v>
      </c>
      <c r="D176" s="721" t="str">
        <f>IFERROR(IF(AND(데이터입력!$AE$2="추경",데이터입력!$AM$2=TRUE),VLOOKUP($A176,데이터입력!$A:$H,4,FALSE),""),"")</f>
        <v/>
      </c>
      <c r="E176" s="721" t="str">
        <f>IFERROR(IF(AND(데이터입력!$AE$2="추경",데이터입력!$AM$2=TRUE),VLOOKUP($A176,데이터입력!$A:$H,2,FALSE),""),"")</f>
        <v/>
      </c>
      <c r="F176" s="721" t="str">
        <f>IFERROR(IF(AND(데이터입력!$AE$2="추경",데이터입력!$AM$2=TRUE),VLOOKUP($A176,데이터입력!$A:$H,5,FALSE),""),"")</f>
        <v/>
      </c>
      <c r="G176" s="721" t="str">
        <f>IFERROR(IF(AND(데이터입력!$AE$2="추경",데이터입력!$AM$2=TRUE),VLOOKUP($A176,데이터입력!$A:$H,6,FALSE),""),"")</f>
        <v/>
      </c>
      <c r="H176" s="722" t="str">
        <f>IFERROR(IF(AND(데이터입력!$AE$2="추경",데이터입력!$AM$2=TRUE),VLOOKUP($A176,데이터입력!$A:$L,7,FALSE),""),"")</f>
        <v/>
      </c>
      <c r="I176" s="722" t="str">
        <f>IFERROR(IF(AND(데이터입력!$AE$2="추경",데이터입력!$AM$2=TRUE),VLOOKUP($A176,데이터입력!$A:$L,8,FALSE)+VLOOKUP($A176,데이터입력!$A:$L,9,FALSE)+VLOOKUP($A176,데이터입력!$A:$L,10,FALSE),""),"")</f>
        <v/>
      </c>
      <c r="J176" s="723" t="s">
        <v>136</v>
      </c>
      <c r="K176" s="723" t="s">
        <v>136</v>
      </c>
      <c r="L176" s="723" t="s">
        <v>136</v>
      </c>
      <c r="M176" s="715"/>
      <c r="N176" s="233">
        <v>374</v>
      </c>
      <c r="O176" s="727" t="str">
        <f>IFERROR(IF(S176="06",데이터입력!$AB$8,IF(S176="07",데이터입력!$AD$8,IF(S176="05",데이터입력!$AF$8,데이터입력!$AB$8))),데이터입력!$AB$8)</f>
        <v>00</v>
      </c>
      <c r="P176" s="728" t="str">
        <f>데이터입력!$AC$9</f>
        <v>일반사업[일반]</v>
      </c>
      <c r="Q176" s="729" t="str">
        <f>IFERROR(IF(데이터입력!$AE$2="추경",VLOOKUP($N176,데이터입력!$A:$H,4,FALSE),""),"")</f>
        <v/>
      </c>
      <c r="R176" s="729" t="str">
        <f>IFERROR(IF(데이터입력!$AE$2="추경",VLOOKUP($N176,데이터입력!$A:$H,2,FALSE),""),"")</f>
        <v/>
      </c>
      <c r="S176" s="729" t="str">
        <f>IFERROR(IF(데이터입력!$AE$2="추경",VLOOKUP($N176,데이터입력!$A:$H,5,FALSE),""),"")</f>
        <v/>
      </c>
      <c r="T176" s="729" t="str">
        <f>IFERROR(IF(데이터입력!$AE$2="추경",VLOOKUP($N176,데이터입력!$A:$H,6,FALSE),""),"")</f>
        <v/>
      </c>
      <c r="U176" s="730" t="str">
        <f>IFERROR(IF(데이터입력!$AE$2="추경",VLOOKUP($N176,데이터입력!$A:$L,8,FALSE)+VLOOKUP($N176,데이터입력!$A:$L,9,FALSE)+VLOOKUP($N176,데이터입력!$A:$L,10,FALSE),""),"")</f>
        <v/>
      </c>
      <c r="V176" s="731" t="s">
        <v>136</v>
      </c>
      <c r="W176" s="731" t="s">
        <v>136</v>
      </c>
      <c r="X176" s="731" t="s">
        <v>136</v>
      </c>
      <c r="Y176" s="712"/>
      <c r="Z176" s="235" t="str">
        <f>데이터입력!$AB$8</f>
        <v>00</v>
      </c>
      <c r="AA176" s="238" t="str">
        <f>데이터입력!$AC$9</f>
        <v>일반사업[일반]</v>
      </c>
      <c r="AB176" s="236" t="str">
        <f>IFERROR(IF(데이터입력!$AE$2="추경",VLOOKUP($A176,보수일람표!$A:$M,4,FALSE),""),"")</f>
        <v/>
      </c>
      <c r="AC176" s="236" t="str">
        <f>IFERROR(IF(데이터입력!$AE$2="추경",VLOOKUP($A176,보수일람표!$A:$M,5,FALSE),""),"")</f>
        <v/>
      </c>
      <c r="AD176" s="236" t="str">
        <f>IFERROR(IF(데이터입력!$AE$2="추경",VLOOKUP($A176,보수일람표!$A:$M,6,FALSE),""),"")</f>
        <v/>
      </c>
      <c r="AE176" s="236" t="str">
        <f>IFERROR(IF(데이터입력!$AE$2="추경",VLOOKUP($A176,보수일람표!$A:$M,7,FALSE),""),"")</f>
        <v>직접</v>
      </c>
      <c r="AF176" s="236"/>
      <c r="AG176" s="237">
        <f>IFERROR(IF(데이터입력!$AE$2="추경",VLOOKUP($A176,보수일람표!$A:$M,9,FALSE),""),"")</f>
        <v>0</v>
      </c>
      <c r="AH176" s="237">
        <f>IFERROR(IF(데이터입력!$AE$2="추경",VLOOKUP($A176,보수일람표!$A:$M,10,FALSE),""),"")</f>
        <v>0</v>
      </c>
      <c r="AI176" s="237">
        <f>IFERROR(IF(데이터입력!$AE$2="추경",VLOOKUP($A176,보수일람표!$A:$M,11,FALSE),""),"")</f>
        <v>0</v>
      </c>
      <c r="AJ176" s="237">
        <f>IFERROR(IF(데이터입력!$AE$2="추경",VLOOKUP($A176,보수일람표!$A:$M,12,FALSE),""),"")</f>
        <v>0</v>
      </c>
      <c r="AK176" s="237">
        <f>IFERROR(IF(데이터입력!$AE$2="추경",VLOOKUP($A176,보수일람표!$A:$M,13,FALSE),""),"")</f>
        <v>0</v>
      </c>
    </row>
    <row r="177" spans="1:37">
      <c r="A177" s="233">
        <v>175</v>
      </c>
      <c r="B177" s="719" t="str">
        <f>IFERROR(IF(F177="06",데이터입력!$AB$8,IF(F177="07",데이터입력!$AD$8,IF(F177="05",데이터입력!$AF$8,데이터입력!$AB$8))),데이터입력!$AB$8)</f>
        <v>00</v>
      </c>
      <c r="C177" s="720" t="str">
        <f>데이터입력!$AC$9</f>
        <v>일반사업[일반]</v>
      </c>
      <c r="D177" s="721" t="str">
        <f>IFERROR(IF(AND(데이터입력!$AE$2="추경",데이터입력!$AM$2=TRUE),VLOOKUP($A177,데이터입력!$A:$H,4,FALSE),""),"")</f>
        <v/>
      </c>
      <c r="E177" s="721" t="str">
        <f>IFERROR(IF(AND(데이터입력!$AE$2="추경",데이터입력!$AM$2=TRUE),VLOOKUP($A177,데이터입력!$A:$H,2,FALSE),""),"")</f>
        <v/>
      </c>
      <c r="F177" s="721" t="str">
        <f>IFERROR(IF(AND(데이터입력!$AE$2="추경",데이터입력!$AM$2=TRUE),VLOOKUP($A177,데이터입력!$A:$H,5,FALSE),""),"")</f>
        <v/>
      </c>
      <c r="G177" s="721" t="str">
        <f>IFERROR(IF(AND(데이터입력!$AE$2="추경",데이터입력!$AM$2=TRUE),VLOOKUP($A177,데이터입력!$A:$H,6,FALSE),""),"")</f>
        <v/>
      </c>
      <c r="H177" s="722" t="str">
        <f>IFERROR(IF(AND(데이터입력!$AE$2="추경",데이터입력!$AM$2=TRUE),VLOOKUP($A177,데이터입력!$A:$L,7,FALSE),""),"")</f>
        <v/>
      </c>
      <c r="I177" s="722" t="str">
        <f>IFERROR(IF(AND(데이터입력!$AE$2="추경",데이터입력!$AM$2=TRUE),VLOOKUP($A177,데이터입력!$A:$L,8,FALSE)+VLOOKUP($A177,데이터입력!$A:$L,9,FALSE)+VLOOKUP($A177,데이터입력!$A:$L,10,FALSE),""),"")</f>
        <v/>
      </c>
      <c r="J177" s="723" t="s">
        <v>136</v>
      </c>
      <c r="K177" s="723" t="s">
        <v>136</v>
      </c>
      <c r="L177" s="723" t="s">
        <v>136</v>
      </c>
      <c r="M177" s="715"/>
      <c r="N177" s="233">
        <v>375</v>
      </c>
      <c r="O177" s="727" t="str">
        <f>IFERROR(IF(S177="06",데이터입력!$AB$8,IF(S177="07",데이터입력!$AD$8,IF(S177="05",데이터입력!$AF$8,데이터입력!$AB$8))),데이터입력!$AB$8)</f>
        <v>00</v>
      </c>
      <c r="P177" s="728" t="str">
        <f>데이터입력!$AC$9</f>
        <v>일반사업[일반]</v>
      </c>
      <c r="Q177" s="729" t="str">
        <f>IFERROR(IF(데이터입력!$AE$2="추경",VLOOKUP($N177,데이터입력!$A:$H,4,FALSE),""),"")</f>
        <v/>
      </c>
      <c r="R177" s="729" t="str">
        <f>IFERROR(IF(데이터입력!$AE$2="추경",VLOOKUP($N177,데이터입력!$A:$H,2,FALSE),""),"")</f>
        <v/>
      </c>
      <c r="S177" s="729" t="str">
        <f>IFERROR(IF(데이터입력!$AE$2="추경",VLOOKUP($N177,데이터입력!$A:$H,5,FALSE),""),"")</f>
        <v/>
      </c>
      <c r="T177" s="729" t="str">
        <f>IFERROR(IF(데이터입력!$AE$2="추경",VLOOKUP($N177,데이터입력!$A:$H,6,FALSE),""),"")</f>
        <v/>
      </c>
      <c r="U177" s="730" t="str">
        <f>IFERROR(IF(데이터입력!$AE$2="추경",VLOOKUP($N177,데이터입력!$A:$L,8,FALSE)+VLOOKUP($N177,데이터입력!$A:$L,9,FALSE)+VLOOKUP($N177,데이터입력!$A:$L,10,FALSE),""),"")</f>
        <v/>
      </c>
      <c r="V177" s="731" t="s">
        <v>136</v>
      </c>
      <c r="W177" s="731" t="s">
        <v>136</v>
      </c>
      <c r="X177" s="731" t="s">
        <v>136</v>
      </c>
      <c r="Y177" s="712"/>
      <c r="Z177" s="235" t="str">
        <f>데이터입력!$AB$8</f>
        <v>00</v>
      </c>
      <c r="AA177" s="238" t="str">
        <f>데이터입력!$AC$9</f>
        <v>일반사업[일반]</v>
      </c>
      <c r="AB177" s="236" t="str">
        <f>IFERROR(IF(데이터입력!$AE$2="추경",VLOOKUP($A177,보수일람표!$A:$M,4,FALSE),""),"")</f>
        <v/>
      </c>
      <c r="AC177" s="236" t="str">
        <f>IFERROR(IF(데이터입력!$AE$2="추경",VLOOKUP($A177,보수일람표!$A:$M,5,FALSE),""),"")</f>
        <v/>
      </c>
      <c r="AD177" s="236" t="str">
        <f>IFERROR(IF(데이터입력!$AE$2="추경",VLOOKUP($A177,보수일람표!$A:$M,6,FALSE),""),"")</f>
        <v/>
      </c>
      <c r="AE177" s="236" t="str">
        <f>IFERROR(IF(데이터입력!$AE$2="추경",VLOOKUP($A177,보수일람표!$A:$M,7,FALSE),""),"")</f>
        <v>직접</v>
      </c>
      <c r="AF177" s="236"/>
      <c r="AG177" s="237">
        <f>IFERROR(IF(데이터입력!$AE$2="추경",VLOOKUP($A177,보수일람표!$A:$M,9,FALSE),""),"")</f>
        <v>0</v>
      </c>
      <c r="AH177" s="237">
        <f>IFERROR(IF(데이터입력!$AE$2="추경",VLOOKUP($A177,보수일람표!$A:$M,10,FALSE),""),"")</f>
        <v>0</v>
      </c>
      <c r="AI177" s="237">
        <f>IFERROR(IF(데이터입력!$AE$2="추경",VLOOKUP($A177,보수일람표!$A:$M,11,FALSE),""),"")</f>
        <v>0</v>
      </c>
      <c r="AJ177" s="237">
        <f>IFERROR(IF(데이터입력!$AE$2="추경",VLOOKUP($A177,보수일람표!$A:$M,12,FALSE),""),"")</f>
        <v>0</v>
      </c>
      <c r="AK177" s="237">
        <f>IFERROR(IF(데이터입력!$AE$2="추경",VLOOKUP($A177,보수일람표!$A:$M,13,FALSE),""),"")</f>
        <v>0</v>
      </c>
    </row>
    <row r="178" spans="1:37">
      <c r="A178" s="233">
        <v>176</v>
      </c>
      <c r="B178" s="719" t="str">
        <f>IFERROR(IF(F178="06",데이터입력!$AB$8,IF(F178="07",데이터입력!$AD$8,IF(F178="05",데이터입력!$AF$8,데이터입력!$AB$8))),데이터입력!$AB$8)</f>
        <v>00</v>
      </c>
      <c r="C178" s="720" t="str">
        <f>데이터입력!$AC$9</f>
        <v>일반사업[일반]</v>
      </c>
      <c r="D178" s="721" t="str">
        <f>IFERROR(IF(AND(데이터입력!$AE$2="추경",데이터입력!$AM$2=TRUE),VLOOKUP($A178,데이터입력!$A:$H,4,FALSE),""),"")</f>
        <v/>
      </c>
      <c r="E178" s="721" t="str">
        <f>IFERROR(IF(AND(데이터입력!$AE$2="추경",데이터입력!$AM$2=TRUE),VLOOKUP($A178,데이터입력!$A:$H,2,FALSE),""),"")</f>
        <v/>
      </c>
      <c r="F178" s="721" t="str">
        <f>IFERROR(IF(AND(데이터입력!$AE$2="추경",데이터입력!$AM$2=TRUE),VLOOKUP($A178,데이터입력!$A:$H,5,FALSE),""),"")</f>
        <v/>
      </c>
      <c r="G178" s="721" t="str">
        <f>IFERROR(IF(AND(데이터입력!$AE$2="추경",데이터입력!$AM$2=TRUE),VLOOKUP($A178,데이터입력!$A:$H,6,FALSE),""),"")</f>
        <v/>
      </c>
      <c r="H178" s="722" t="str">
        <f>IFERROR(IF(AND(데이터입력!$AE$2="추경",데이터입력!$AM$2=TRUE),VLOOKUP($A178,데이터입력!$A:$L,7,FALSE),""),"")</f>
        <v/>
      </c>
      <c r="I178" s="722" t="str">
        <f>IFERROR(IF(AND(데이터입력!$AE$2="추경",데이터입력!$AM$2=TRUE),VLOOKUP($A178,데이터입력!$A:$L,8,FALSE)+VLOOKUP($A178,데이터입력!$A:$L,9,FALSE)+VLOOKUP($A178,데이터입력!$A:$L,10,FALSE),""),"")</f>
        <v/>
      </c>
      <c r="J178" s="723" t="s">
        <v>136</v>
      </c>
      <c r="K178" s="723" t="s">
        <v>136</v>
      </c>
      <c r="L178" s="723" t="s">
        <v>136</v>
      </c>
      <c r="M178" s="715"/>
      <c r="N178" s="233">
        <v>376</v>
      </c>
      <c r="O178" s="727" t="str">
        <f>IFERROR(IF(S178="06",데이터입력!$AB$8,IF(S178="07",데이터입력!$AD$8,IF(S178="05",데이터입력!$AF$8,데이터입력!$AB$8))),데이터입력!$AB$8)</f>
        <v>00</v>
      </c>
      <c r="P178" s="728" t="str">
        <f>데이터입력!$AC$9</f>
        <v>일반사업[일반]</v>
      </c>
      <c r="Q178" s="729" t="str">
        <f>IFERROR(IF(데이터입력!$AE$2="추경",VLOOKUP($N178,데이터입력!$A:$H,4,FALSE),""),"")</f>
        <v/>
      </c>
      <c r="R178" s="729" t="str">
        <f>IFERROR(IF(데이터입력!$AE$2="추경",VLOOKUP($N178,데이터입력!$A:$H,2,FALSE),""),"")</f>
        <v/>
      </c>
      <c r="S178" s="729" t="str">
        <f>IFERROR(IF(데이터입력!$AE$2="추경",VLOOKUP($N178,데이터입력!$A:$H,5,FALSE),""),"")</f>
        <v/>
      </c>
      <c r="T178" s="729" t="str">
        <f>IFERROR(IF(데이터입력!$AE$2="추경",VLOOKUP($N178,데이터입력!$A:$H,6,FALSE),""),"")</f>
        <v/>
      </c>
      <c r="U178" s="730" t="str">
        <f>IFERROR(IF(데이터입력!$AE$2="추경",VLOOKUP($N178,데이터입력!$A:$L,8,FALSE)+VLOOKUP($N178,데이터입력!$A:$L,9,FALSE)+VLOOKUP($N178,데이터입력!$A:$L,10,FALSE),""),"")</f>
        <v/>
      </c>
      <c r="V178" s="731" t="s">
        <v>136</v>
      </c>
      <c r="W178" s="731" t="s">
        <v>136</v>
      </c>
      <c r="X178" s="731" t="s">
        <v>136</v>
      </c>
      <c r="Y178" s="712"/>
      <c r="Z178" s="235" t="str">
        <f>데이터입력!$AB$8</f>
        <v>00</v>
      </c>
      <c r="AA178" s="238" t="str">
        <f>데이터입력!$AC$9</f>
        <v>일반사업[일반]</v>
      </c>
      <c r="AB178" s="236" t="str">
        <f>IFERROR(IF(데이터입력!$AE$2="추경",VLOOKUP($A178,보수일람표!$A:$M,4,FALSE),""),"")</f>
        <v/>
      </c>
      <c r="AC178" s="236" t="str">
        <f>IFERROR(IF(데이터입력!$AE$2="추경",VLOOKUP($A178,보수일람표!$A:$M,5,FALSE),""),"")</f>
        <v/>
      </c>
      <c r="AD178" s="236" t="str">
        <f>IFERROR(IF(데이터입력!$AE$2="추경",VLOOKUP($A178,보수일람표!$A:$M,6,FALSE),""),"")</f>
        <v/>
      </c>
      <c r="AE178" s="236" t="str">
        <f>IFERROR(IF(데이터입력!$AE$2="추경",VLOOKUP($A178,보수일람표!$A:$M,7,FALSE),""),"")</f>
        <v>직접</v>
      </c>
      <c r="AF178" s="236"/>
      <c r="AG178" s="237">
        <f>IFERROR(IF(데이터입력!$AE$2="추경",VLOOKUP($A178,보수일람표!$A:$M,9,FALSE),""),"")</f>
        <v>0</v>
      </c>
      <c r="AH178" s="237">
        <f>IFERROR(IF(데이터입력!$AE$2="추경",VLOOKUP($A178,보수일람표!$A:$M,10,FALSE),""),"")</f>
        <v>0</v>
      </c>
      <c r="AI178" s="237">
        <f>IFERROR(IF(데이터입력!$AE$2="추경",VLOOKUP($A178,보수일람표!$A:$M,11,FALSE),""),"")</f>
        <v>0</v>
      </c>
      <c r="AJ178" s="237">
        <f>IFERROR(IF(데이터입력!$AE$2="추경",VLOOKUP($A178,보수일람표!$A:$M,12,FALSE),""),"")</f>
        <v>0</v>
      </c>
      <c r="AK178" s="237">
        <f>IFERROR(IF(데이터입력!$AE$2="추경",VLOOKUP($A178,보수일람표!$A:$M,13,FALSE),""),"")</f>
        <v>0</v>
      </c>
    </row>
    <row r="179" spans="1:37">
      <c r="A179" s="233">
        <v>177</v>
      </c>
      <c r="B179" s="719" t="str">
        <f>IFERROR(IF(F179="06",데이터입력!$AB$8,IF(F179="07",데이터입력!$AD$8,IF(F179="05",데이터입력!$AF$8,데이터입력!$AB$8))),데이터입력!$AB$8)</f>
        <v>00</v>
      </c>
      <c r="C179" s="720" t="str">
        <f>데이터입력!$AC$9</f>
        <v>일반사업[일반]</v>
      </c>
      <c r="D179" s="721" t="str">
        <f>IFERROR(IF(AND(데이터입력!$AE$2="추경",데이터입력!$AM$2=TRUE),VLOOKUP($A179,데이터입력!$A:$H,4,FALSE),""),"")</f>
        <v/>
      </c>
      <c r="E179" s="721" t="str">
        <f>IFERROR(IF(AND(데이터입력!$AE$2="추경",데이터입력!$AM$2=TRUE),VLOOKUP($A179,데이터입력!$A:$H,2,FALSE),""),"")</f>
        <v/>
      </c>
      <c r="F179" s="721" t="str">
        <f>IFERROR(IF(AND(데이터입력!$AE$2="추경",데이터입력!$AM$2=TRUE),VLOOKUP($A179,데이터입력!$A:$H,5,FALSE),""),"")</f>
        <v/>
      </c>
      <c r="G179" s="721" t="str">
        <f>IFERROR(IF(AND(데이터입력!$AE$2="추경",데이터입력!$AM$2=TRUE),VLOOKUP($A179,데이터입력!$A:$H,6,FALSE),""),"")</f>
        <v/>
      </c>
      <c r="H179" s="722" t="str">
        <f>IFERROR(IF(AND(데이터입력!$AE$2="추경",데이터입력!$AM$2=TRUE),VLOOKUP($A179,데이터입력!$A:$L,7,FALSE),""),"")</f>
        <v/>
      </c>
      <c r="I179" s="722" t="str">
        <f>IFERROR(IF(AND(데이터입력!$AE$2="추경",데이터입력!$AM$2=TRUE),VLOOKUP($A179,데이터입력!$A:$L,8,FALSE)+VLOOKUP($A179,데이터입력!$A:$L,9,FALSE)+VLOOKUP($A179,데이터입력!$A:$L,10,FALSE),""),"")</f>
        <v/>
      </c>
      <c r="J179" s="723" t="s">
        <v>136</v>
      </c>
      <c r="K179" s="723" t="s">
        <v>136</v>
      </c>
      <c r="L179" s="723" t="s">
        <v>136</v>
      </c>
      <c r="M179" s="715"/>
      <c r="N179" s="233">
        <v>377</v>
      </c>
      <c r="O179" s="727" t="str">
        <f>IFERROR(IF(S179="06",데이터입력!$AB$8,IF(S179="07",데이터입력!$AD$8,IF(S179="05",데이터입력!$AF$8,데이터입력!$AB$8))),데이터입력!$AB$8)</f>
        <v>00</v>
      </c>
      <c r="P179" s="728" t="str">
        <f>데이터입력!$AC$9</f>
        <v>일반사업[일반]</v>
      </c>
      <c r="Q179" s="729" t="str">
        <f>IFERROR(IF(데이터입력!$AE$2="추경",VLOOKUP($N179,데이터입력!$A:$H,4,FALSE),""),"")</f>
        <v/>
      </c>
      <c r="R179" s="729" t="str">
        <f>IFERROR(IF(데이터입력!$AE$2="추경",VLOOKUP($N179,데이터입력!$A:$H,2,FALSE),""),"")</f>
        <v/>
      </c>
      <c r="S179" s="729" t="str">
        <f>IFERROR(IF(데이터입력!$AE$2="추경",VLOOKUP($N179,데이터입력!$A:$H,5,FALSE),""),"")</f>
        <v/>
      </c>
      <c r="T179" s="729" t="str">
        <f>IFERROR(IF(데이터입력!$AE$2="추경",VLOOKUP($N179,데이터입력!$A:$H,6,FALSE),""),"")</f>
        <v/>
      </c>
      <c r="U179" s="730" t="str">
        <f>IFERROR(IF(데이터입력!$AE$2="추경",VLOOKUP($N179,데이터입력!$A:$L,8,FALSE)+VLOOKUP($N179,데이터입력!$A:$L,9,FALSE)+VLOOKUP($N179,데이터입력!$A:$L,10,FALSE),""),"")</f>
        <v/>
      </c>
      <c r="V179" s="731" t="s">
        <v>136</v>
      </c>
      <c r="W179" s="731" t="s">
        <v>136</v>
      </c>
      <c r="X179" s="731" t="s">
        <v>136</v>
      </c>
      <c r="Y179" s="712"/>
      <c r="Z179" s="235" t="str">
        <f>데이터입력!$AB$8</f>
        <v>00</v>
      </c>
      <c r="AA179" s="238" t="str">
        <f>데이터입력!$AC$9</f>
        <v>일반사업[일반]</v>
      </c>
      <c r="AB179" s="236" t="str">
        <f>IFERROR(IF(데이터입력!$AE$2="추경",VLOOKUP($A179,보수일람표!$A:$M,4,FALSE),""),"")</f>
        <v/>
      </c>
      <c r="AC179" s="236" t="str">
        <f>IFERROR(IF(데이터입력!$AE$2="추경",VLOOKUP($A179,보수일람표!$A:$M,5,FALSE),""),"")</f>
        <v/>
      </c>
      <c r="AD179" s="236" t="str">
        <f>IFERROR(IF(데이터입력!$AE$2="추경",VLOOKUP($A179,보수일람표!$A:$M,6,FALSE),""),"")</f>
        <v/>
      </c>
      <c r="AE179" s="236" t="str">
        <f>IFERROR(IF(데이터입력!$AE$2="추경",VLOOKUP($A179,보수일람표!$A:$M,7,FALSE),""),"")</f>
        <v>직접</v>
      </c>
      <c r="AF179" s="236"/>
      <c r="AG179" s="237">
        <f>IFERROR(IF(데이터입력!$AE$2="추경",VLOOKUP($A179,보수일람표!$A:$M,9,FALSE),""),"")</f>
        <v>0</v>
      </c>
      <c r="AH179" s="237">
        <f>IFERROR(IF(데이터입력!$AE$2="추경",VLOOKUP($A179,보수일람표!$A:$M,10,FALSE),""),"")</f>
        <v>0</v>
      </c>
      <c r="AI179" s="237">
        <f>IFERROR(IF(데이터입력!$AE$2="추경",VLOOKUP($A179,보수일람표!$A:$M,11,FALSE),""),"")</f>
        <v>0</v>
      </c>
      <c r="AJ179" s="237">
        <f>IFERROR(IF(데이터입력!$AE$2="추경",VLOOKUP($A179,보수일람표!$A:$M,12,FALSE),""),"")</f>
        <v>0</v>
      </c>
      <c r="AK179" s="237">
        <f>IFERROR(IF(데이터입력!$AE$2="추경",VLOOKUP($A179,보수일람표!$A:$M,13,FALSE),""),"")</f>
        <v>0</v>
      </c>
    </row>
    <row r="180" spans="1:37">
      <c r="A180" s="233">
        <v>178</v>
      </c>
      <c r="B180" s="719" t="str">
        <f>IFERROR(IF(F180="06",데이터입력!$AB$8,IF(F180="07",데이터입력!$AD$8,IF(F180="05",데이터입력!$AF$8,데이터입력!$AB$8))),데이터입력!$AB$8)</f>
        <v>00</v>
      </c>
      <c r="C180" s="720" t="str">
        <f>데이터입력!$AC$9</f>
        <v>일반사업[일반]</v>
      </c>
      <c r="D180" s="721" t="str">
        <f>IFERROR(IF(AND(데이터입력!$AE$2="추경",데이터입력!$AM$2=TRUE),VLOOKUP($A180,데이터입력!$A:$H,4,FALSE),""),"")</f>
        <v/>
      </c>
      <c r="E180" s="721" t="str">
        <f>IFERROR(IF(AND(데이터입력!$AE$2="추경",데이터입력!$AM$2=TRUE),VLOOKUP($A180,데이터입력!$A:$H,2,FALSE),""),"")</f>
        <v/>
      </c>
      <c r="F180" s="721" t="str">
        <f>IFERROR(IF(AND(데이터입력!$AE$2="추경",데이터입력!$AM$2=TRUE),VLOOKUP($A180,데이터입력!$A:$H,5,FALSE),""),"")</f>
        <v/>
      </c>
      <c r="G180" s="721" t="str">
        <f>IFERROR(IF(AND(데이터입력!$AE$2="추경",데이터입력!$AM$2=TRUE),VLOOKUP($A180,데이터입력!$A:$H,6,FALSE),""),"")</f>
        <v/>
      </c>
      <c r="H180" s="722" t="str">
        <f>IFERROR(IF(AND(데이터입력!$AE$2="추경",데이터입력!$AM$2=TRUE),VLOOKUP($A180,데이터입력!$A:$L,7,FALSE),""),"")</f>
        <v/>
      </c>
      <c r="I180" s="722" t="str">
        <f>IFERROR(IF(AND(데이터입력!$AE$2="추경",데이터입력!$AM$2=TRUE),VLOOKUP($A180,데이터입력!$A:$L,8,FALSE)+VLOOKUP($A180,데이터입력!$A:$L,9,FALSE)+VLOOKUP($A180,데이터입력!$A:$L,10,FALSE),""),"")</f>
        <v/>
      </c>
      <c r="J180" s="723" t="s">
        <v>136</v>
      </c>
      <c r="K180" s="723" t="s">
        <v>136</v>
      </c>
      <c r="L180" s="723" t="s">
        <v>136</v>
      </c>
      <c r="M180" s="715"/>
      <c r="N180" s="233">
        <v>378</v>
      </c>
      <c r="O180" s="727" t="str">
        <f>IFERROR(IF(S180="06",데이터입력!$AB$8,IF(S180="07",데이터입력!$AD$8,IF(S180="05",데이터입력!$AF$8,데이터입력!$AB$8))),데이터입력!$AB$8)</f>
        <v>00</v>
      </c>
      <c r="P180" s="728" t="str">
        <f>데이터입력!$AC$9</f>
        <v>일반사업[일반]</v>
      </c>
      <c r="Q180" s="729" t="str">
        <f>IFERROR(IF(데이터입력!$AE$2="추경",VLOOKUP($N180,데이터입력!$A:$H,4,FALSE),""),"")</f>
        <v/>
      </c>
      <c r="R180" s="729" t="str">
        <f>IFERROR(IF(데이터입력!$AE$2="추경",VLOOKUP($N180,데이터입력!$A:$H,2,FALSE),""),"")</f>
        <v/>
      </c>
      <c r="S180" s="729" t="str">
        <f>IFERROR(IF(데이터입력!$AE$2="추경",VLOOKUP($N180,데이터입력!$A:$H,5,FALSE),""),"")</f>
        <v/>
      </c>
      <c r="T180" s="729" t="str">
        <f>IFERROR(IF(데이터입력!$AE$2="추경",VLOOKUP($N180,데이터입력!$A:$H,6,FALSE),""),"")</f>
        <v/>
      </c>
      <c r="U180" s="730" t="str">
        <f>IFERROR(IF(데이터입력!$AE$2="추경",VLOOKUP($N180,데이터입력!$A:$L,8,FALSE)+VLOOKUP($N180,데이터입력!$A:$L,9,FALSE)+VLOOKUP($N180,데이터입력!$A:$L,10,FALSE),""),"")</f>
        <v/>
      </c>
      <c r="V180" s="731" t="s">
        <v>136</v>
      </c>
      <c r="W180" s="731" t="s">
        <v>136</v>
      </c>
      <c r="X180" s="731" t="s">
        <v>136</v>
      </c>
      <c r="Y180" s="712"/>
      <c r="Z180" s="235" t="str">
        <f>데이터입력!$AB$8</f>
        <v>00</v>
      </c>
      <c r="AA180" s="238" t="str">
        <f>데이터입력!$AC$9</f>
        <v>일반사업[일반]</v>
      </c>
      <c r="AB180" s="236" t="str">
        <f>IFERROR(IF(데이터입력!$AE$2="추경",VLOOKUP($A180,보수일람표!$A:$M,4,FALSE),""),"")</f>
        <v/>
      </c>
      <c r="AC180" s="236" t="str">
        <f>IFERROR(IF(데이터입력!$AE$2="추경",VLOOKUP($A180,보수일람표!$A:$M,5,FALSE),""),"")</f>
        <v/>
      </c>
      <c r="AD180" s="236" t="str">
        <f>IFERROR(IF(데이터입력!$AE$2="추경",VLOOKUP($A180,보수일람표!$A:$M,6,FALSE),""),"")</f>
        <v/>
      </c>
      <c r="AE180" s="236" t="str">
        <f>IFERROR(IF(데이터입력!$AE$2="추경",VLOOKUP($A180,보수일람표!$A:$M,7,FALSE),""),"")</f>
        <v>직접</v>
      </c>
      <c r="AF180" s="236"/>
      <c r="AG180" s="237">
        <f>IFERROR(IF(데이터입력!$AE$2="추경",VLOOKUP($A180,보수일람표!$A:$M,9,FALSE),""),"")</f>
        <v>0</v>
      </c>
      <c r="AH180" s="237">
        <f>IFERROR(IF(데이터입력!$AE$2="추경",VLOOKUP($A180,보수일람표!$A:$M,10,FALSE),""),"")</f>
        <v>0</v>
      </c>
      <c r="AI180" s="237">
        <f>IFERROR(IF(데이터입력!$AE$2="추경",VLOOKUP($A180,보수일람표!$A:$M,11,FALSE),""),"")</f>
        <v>0</v>
      </c>
      <c r="AJ180" s="237">
        <f>IFERROR(IF(데이터입력!$AE$2="추경",VLOOKUP($A180,보수일람표!$A:$M,12,FALSE),""),"")</f>
        <v>0</v>
      </c>
      <c r="AK180" s="237">
        <f>IFERROR(IF(데이터입력!$AE$2="추경",VLOOKUP($A180,보수일람표!$A:$M,13,FALSE),""),"")</f>
        <v>0</v>
      </c>
    </row>
    <row r="181" spans="1:37">
      <c r="A181" s="233">
        <v>179</v>
      </c>
      <c r="B181" s="719" t="str">
        <f>IFERROR(IF(F181="06",데이터입력!$AB$8,IF(F181="07",데이터입력!$AD$8,IF(F181="05",데이터입력!$AF$8,데이터입력!$AB$8))),데이터입력!$AB$8)</f>
        <v>00</v>
      </c>
      <c r="C181" s="720" t="str">
        <f>데이터입력!$AC$9</f>
        <v>일반사업[일반]</v>
      </c>
      <c r="D181" s="721" t="str">
        <f>IFERROR(IF(AND(데이터입력!$AE$2="추경",데이터입력!$AM$2=TRUE),VLOOKUP($A181,데이터입력!$A:$H,4,FALSE),""),"")</f>
        <v/>
      </c>
      <c r="E181" s="721" t="str">
        <f>IFERROR(IF(AND(데이터입력!$AE$2="추경",데이터입력!$AM$2=TRUE),VLOOKUP($A181,데이터입력!$A:$H,2,FALSE),""),"")</f>
        <v/>
      </c>
      <c r="F181" s="721" t="str">
        <f>IFERROR(IF(AND(데이터입력!$AE$2="추경",데이터입력!$AM$2=TRUE),VLOOKUP($A181,데이터입력!$A:$H,5,FALSE),""),"")</f>
        <v/>
      </c>
      <c r="G181" s="721" t="str">
        <f>IFERROR(IF(AND(데이터입력!$AE$2="추경",데이터입력!$AM$2=TRUE),VLOOKUP($A181,데이터입력!$A:$H,6,FALSE),""),"")</f>
        <v/>
      </c>
      <c r="H181" s="722" t="str">
        <f>IFERROR(IF(AND(데이터입력!$AE$2="추경",데이터입력!$AM$2=TRUE),VLOOKUP($A181,데이터입력!$A:$L,7,FALSE),""),"")</f>
        <v/>
      </c>
      <c r="I181" s="722" t="str">
        <f>IFERROR(IF(AND(데이터입력!$AE$2="추경",데이터입력!$AM$2=TRUE),VLOOKUP($A181,데이터입력!$A:$L,8,FALSE)+VLOOKUP($A181,데이터입력!$A:$L,9,FALSE)+VLOOKUP($A181,데이터입력!$A:$L,10,FALSE),""),"")</f>
        <v/>
      </c>
      <c r="J181" s="723" t="s">
        <v>136</v>
      </c>
      <c r="K181" s="723" t="s">
        <v>136</v>
      </c>
      <c r="L181" s="723" t="s">
        <v>136</v>
      </c>
      <c r="M181" s="715"/>
      <c r="N181" s="233">
        <v>379</v>
      </c>
      <c r="O181" s="727" t="str">
        <f>IFERROR(IF(S181="06",데이터입력!$AB$8,IF(S181="07",데이터입력!$AD$8,IF(S181="05",데이터입력!$AF$8,데이터입력!$AB$8))),데이터입력!$AB$8)</f>
        <v>00</v>
      </c>
      <c r="P181" s="728" t="str">
        <f>데이터입력!$AC$9</f>
        <v>일반사업[일반]</v>
      </c>
      <c r="Q181" s="729" t="str">
        <f>IFERROR(IF(데이터입력!$AE$2="추경",VLOOKUP($N181,데이터입력!$A:$H,4,FALSE),""),"")</f>
        <v/>
      </c>
      <c r="R181" s="729" t="str">
        <f>IFERROR(IF(데이터입력!$AE$2="추경",VLOOKUP($N181,데이터입력!$A:$H,2,FALSE),""),"")</f>
        <v/>
      </c>
      <c r="S181" s="729" t="str">
        <f>IFERROR(IF(데이터입력!$AE$2="추경",VLOOKUP($N181,데이터입력!$A:$H,5,FALSE),""),"")</f>
        <v/>
      </c>
      <c r="T181" s="729" t="str">
        <f>IFERROR(IF(데이터입력!$AE$2="추경",VLOOKUP($N181,데이터입력!$A:$H,6,FALSE),""),"")</f>
        <v/>
      </c>
      <c r="U181" s="730" t="str">
        <f>IFERROR(IF(데이터입력!$AE$2="추경",VLOOKUP($N181,데이터입력!$A:$L,8,FALSE)+VLOOKUP($N181,데이터입력!$A:$L,9,FALSE)+VLOOKUP($N181,데이터입력!$A:$L,10,FALSE),""),"")</f>
        <v/>
      </c>
      <c r="V181" s="731" t="s">
        <v>136</v>
      </c>
      <c r="W181" s="731" t="s">
        <v>136</v>
      </c>
      <c r="X181" s="731" t="s">
        <v>136</v>
      </c>
      <c r="Y181" s="712"/>
      <c r="Z181" s="235" t="str">
        <f>데이터입력!$AB$8</f>
        <v>00</v>
      </c>
      <c r="AA181" s="238" t="str">
        <f>데이터입력!$AC$9</f>
        <v>일반사업[일반]</v>
      </c>
      <c r="AB181" s="236" t="str">
        <f>IFERROR(IF(데이터입력!$AE$2="추경",VLOOKUP($A181,보수일람표!$A:$M,4,FALSE),""),"")</f>
        <v/>
      </c>
      <c r="AC181" s="236" t="str">
        <f>IFERROR(IF(데이터입력!$AE$2="추경",VLOOKUP($A181,보수일람표!$A:$M,5,FALSE),""),"")</f>
        <v/>
      </c>
      <c r="AD181" s="236" t="str">
        <f>IFERROR(IF(데이터입력!$AE$2="추경",VLOOKUP($A181,보수일람표!$A:$M,6,FALSE),""),"")</f>
        <v/>
      </c>
      <c r="AE181" s="236" t="str">
        <f>IFERROR(IF(데이터입력!$AE$2="추경",VLOOKUP($A181,보수일람표!$A:$M,7,FALSE),""),"")</f>
        <v>직접</v>
      </c>
      <c r="AF181" s="236"/>
      <c r="AG181" s="237">
        <f>IFERROR(IF(데이터입력!$AE$2="추경",VLOOKUP($A181,보수일람표!$A:$M,9,FALSE),""),"")</f>
        <v>0</v>
      </c>
      <c r="AH181" s="237">
        <f>IFERROR(IF(데이터입력!$AE$2="추경",VLOOKUP($A181,보수일람표!$A:$M,10,FALSE),""),"")</f>
        <v>0</v>
      </c>
      <c r="AI181" s="237">
        <f>IFERROR(IF(데이터입력!$AE$2="추경",VLOOKUP($A181,보수일람표!$A:$M,11,FALSE),""),"")</f>
        <v>0</v>
      </c>
      <c r="AJ181" s="237">
        <f>IFERROR(IF(데이터입력!$AE$2="추경",VLOOKUP($A181,보수일람표!$A:$M,12,FALSE),""),"")</f>
        <v>0</v>
      </c>
      <c r="AK181" s="237">
        <f>IFERROR(IF(데이터입력!$AE$2="추경",VLOOKUP($A181,보수일람표!$A:$M,13,FALSE),""),"")</f>
        <v>0</v>
      </c>
    </row>
    <row r="182" spans="1:37">
      <c r="A182" s="233">
        <v>180</v>
      </c>
      <c r="B182" s="719" t="str">
        <f>IFERROR(IF(F182="06",데이터입력!$AB$8,IF(F182="07",데이터입력!$AD$8,IF(F182="05",데이터입력!$AF$8,데이터입력!$AB$8))),데이터입력!$AB$8)</f>
        <v>00</v>
      </c>
      <c r="C182" s="720" t="str">
        <f>데이터입력!$AC$9</f>
        <v>일반사업[일반]</v>
      </c>
      <c r="D182" s="721" t="str">
        <f>IFERROR(IF(AND(데이터입력!$AE$2="추경",데이터입력!$AM$2=TRUE),VLOOKUP($A182,데이터입력!$A:$H,4,FALSE),""),"")</f>
        <v/>
      </c>
      <c r="E182" s="721" t="str">
        <f>IFERROR(IF(AND(데이터입력!$AE$2="추경",데이터입력!$AM$2=TRUE),VLOOKUP($A182,데이터입력!$A:$H,2,FALSE),""),"")</f>
        <v/>
      </c>
      <c r="F182" s="721" t="str">
        <f>IFERROR(IF(AND(데이터입력!$AE$2="추경",데이터입력!$AM$2=TRUE),VLOOKUP($A182,데이터입력!$A:$H,5,FALSE),""),"")</f>
        <v/>
      </c>
      <c r="G182" s="721" t="str">
        <f>IFERROR(IF(AND(데이터입력!$AE$2="추경",데이터입력!$AM$2=TRUE),VLOOKUP($A182,데이터입력!$A:$H,6,FALSE),""),"")</f>
        <v/>
      </c>
      <c r="H182" s="722" t="str">
        <f>IFERROR(IF(AND(데이터입력!$AE$2="추경",데이터입력!$AM$2=TRUE),VLOOKUP($A182,데이터입력!$A:$L,7,FALSE),""),"")</f>
        <v/>
      </c>
      <c r="I182" s="722" t="str">
        <f>IFERROR(IF(AND(데이터입력!$AE$2="추경",데이터입력!$AM$2=TRUE),VLOOKUP($A182,데이터입력!$A:$L,8,FALSE)+VLOOKUP($A182,데이터입력!$A:$L,9,FALSE)+VLOOKUP($A182,데이터입력!$A:$L,10,FALSE),""),"")</f>
        <v/>
      </c>
      <c r="J182" s="723" t="s">
        <v>136</v>
      </c>
      <c r="K182" s="723" t="s">
        <v>136</v>
      </c>
      <c r="L182" s="723" t="s">
        <v>136</v>
      </c>
      <c r="M182" s="715"/>
      <c r="N182" s="233">
        <v>380</v>
      </c>
      <c r="O182" s="727" t="str">
        <f>IFERROR(IF(S182="06",데이터입력!$AB$8,IF(S182="07",데이터입력!$AD$8,IF(S182="05",데이터입력!$AF$8,데이터입력!$AB$8))),데이터입력!$AB$8)</f>
        <v>00</v>
      </c>
      <c r="P182" s="728" t="str">
        <f>데이터입력!$AC$9</f>
        <v>일반사업[일반]</v>
      </c>
      <c r="Q182" s="729" t="str">
        <f>IFERROR(IF(데이터입력!$AE$2="추경",VLOOKUP($N182,데이터입력!$A:$H,4,FALSE),""),"")</f>
        <v/>
      </c>
      <c r="R182" s="729" t="str">
        <f>IFERROR(IF(데이터입력!$AE$2="추경",VLOOKUP($N182,데이터입력!$A:$H,2,FALSE),""),"")</f>
        <v/>
      </c>
      <c r="S182" s="729" t="str">
        <f>IFERROR(IF(데이터입력!$AE$2="추경",VLOOKUP($N182,데이터입력!$A:$H,5,FALSE),""),"")</f>
        <v/>
      </c>
      <c r="T182" s="729" t="str">
        <f>IFERROR(IF(데이터입력!$AE$2="추경",VLOOKUP($N182,데이터입력!$A:$H,6,FALSE),""),"")</f>
        <v/>
      </c>
      <c r="U182" s="730" t="str">
        <f>IFERROR(IF(데이터입력!$AE$2="추경",VLOOKUP($N182,데이터입력!$A:$L,8,FALSE)+VLOOKUP($N182,데이터입력!$A:$L,9,FALSE)+VLOOKUP($N182,데이터입력!$A:$L,10,FALSE),""),"")</f>
        <v/>
      </c>
      <c r="V182" s="731" t="s">
        <v>136</v>
      </c>
      <c r="W182" s="731" t="s">
        <v>136</v>
      </c>
      <c r="X182" s="731" t="s">
        <v>136</v>
      </c>
      <c r="Y182" s="712"/>
      <c r="Z182" s="235" t="str">
        <f>데이터입력!$AB$8</f>
        <v>00</v>
      </c>
      <c r="AA182" s="238" t="str">
        <f>데이터입력!$AC$9</f>
        <v>일반사업[일반]</v>
      </c>
      <c r="AB182" s="236" t="str">
        <f>IFERROR(IF(데이터입력!$AE$2="추경",VLOOKUP($A182,보수일람표!$A:$M,4,FALSE),""),"")</f>
        <v/>
      </c>
      <c r="AC182" s="236" t="str">
        <f>IFERROR(IF(데이터입력!$AE$2="추경",VLOOKUP($A182,보수일람표!$A:$M,5,FALSE),""),"")</f>
        <v/>
      </c>
      <c r="AD182" s="236" t="str">
        <f>IFERROR(IF(데이터입력!$AE$2="추경",VLOOKUP($A182,보수일람표!$A:$M,6,FALSE),""),"")</f>
        <v/>
      </c>
      <c r="AE182" s="236" t="str">
        <f>IFERROR(IF(데이터입력!$AE$2="추경",VLOOKUP($A182,보수일람표!$A:$M,7,FALSE),""),"")</f>
        <v>직접</v>
      </c>
      <c r="AF182" s="236"/>
      <c r="AG182" s="237">
        <f>IFERROR(IF(데이터입력!$AE$2="추경",VLOOKUP($A182,보수일람표!$A:$M,9,FALSE),""),"")</f>
        <v>0</v>
      </c>
      <c r="AH182" s="237">
        <f>IFERROR(IF(데이터입력!$AE$2="추경",VLOOKUP($A182,보수일람표!$A:$M,10,FALSE),""),"")</f>
        <v>0</v>
      </c>
      <c r="AI182" s="237">
        <f>IFERROR(IF(데이터입력!$AE$2="추경",VLOOKUP($A182,보수일람표!$A:$M,11,FALSE),""),"")</f>
        <v>0</v>
      </c>
      <c r="AJ182" s="237">
        <f>IFERROR(IF(데이터입력!$AE$2="추경",VLOOKUP($A182,보수일람표!$A:$M,12,FALSE),""),"")</f>
        <v>0</v>
      </c>
      <c r="AK182" s="237">
        <f>IFERROR(IF(데이터입력!$AE$2="추경",VLOOKUP($A182,보수일람표!$A:$M,13,FALSE),""),"")</f>
        <v>0</v>
      </c>
    </row>
    <row r="183" spans="1:37">
      <c r="A183" s="233">
        <v>181</v>
      </c>
      <c r="B183" s="719" t="str">
        <f>IFERROR(IF(F183="06",데이터입력!$AB$8,IF(F183="07",데이터입력!$AD$8,IF(F183="05",데이터입력!$AF$8,데이터입력!$AB$8))),데이터입력!$AB$8)</f>
        <v>00</v>
      </c>
      <c r="C183" s="720" t="str">
        <f>데이터입력!$AC$9</f>
        <v>일반사업[일반]</v>
      </c>
      <c r="D183" s="721" t="str">
        <f>IFERROR(IF(AND(데이터입력!$AE$2="추경",데이터입력!$AM$2=TRUE),VLOOKUP($A183,데이터입력!$A:$H,4,FALSE),""),"")</f>
        <v/>
      </c>
      <c r="E183" s="721" t="str">
        <f>IFERROR(IF(AND(데이터입력!$AE$2="추경",데이터입력!$AM$2=TRUE),VLOOKUP($A183,데이터입력!$A:$H,2,FALSE),""),"")</f>
        <v/>
      </c>
      <c r="F183" s="721" t="str">
        <f>IFERROR(IF(AND(데이터입력!$AE$2="추경",데이터입력!$AM$2=TRUE),VLOOKUP($A183,데이터입력!$A:$H,5,FALSE),""),"")</f>
        <v/>
      </c>
      <c r="G183" s="721" t="str">
        <f>IFERROR(IF(AND(데이터입력!$AE$2="추경",데이터입력!$AM$2=TRUE),VLOOKUP($A183,데이터입력!$A:$H,6,FALSE),""),"")</f>
        <v/>
      </c>
      <c r="H183" s="722" t="str">
        <f>IFERROR(IF(AND(데이터입력!$AE$2="추경",데이터입력!$AM$2=TRUE),VLOOKUP($A183,데이터입력!$A:$L,7,FALSE),""),"")</f>
        <v/>
      </c>
      <c r="I183" s="722" t="str">
        <f>IFERROR(IF(AND(데이터입력!$AE$2="추경",데이터입력!$AM$2=TRUE),VLOOKUP($A183,데이터입력!$A:$L,8,FALSE)+VLOOKUP($A183,데이터입력!$A:$L,9,FALSE)+VLOOKUP($A183,데이터입력!$A:$L,10,FALSE),""),"")</f>
        <v/>
      </c>
      <c r="J183" s="723" t="s">
        <v>136</v>
      </c>
      <c r="K183" s="723" t="s">
        <v>136</v>
      </c>
      <c r="L183" s="723" t="s">
        <v>136</v>
      </c>
      <c r="M183" s="715"/>
      <c r="N183" s="233">
        <v>381</v>
      </c>
      <c r="O183" s="727" t="str">
        <f>IFERROR(IF(S183="06",데이터입력!$AB$8,IF(S183="07",데이터입력!$AD$8,IF(S183="05",데이터입력!$AF$8,데이터입력!$AB$8))),데이터입력!$AB$8)</f>
        <v>00</v>
      </c>
      <c r="P183" s="728" t="str">
        <f>데이터입력!$AC$9</f>
        <v>일반사업[일반]</v>
      </c>
      <c r="Q183" s="729" t="str">
        <f>IFERROR(IF(데이터입력!$AE$2="추경",VLOOKUP($N183,데이터입력!$A:$H,4,FALSE),""),"")</f>
        <v/>
      </c>
      <c r="R183" s="729" t="str">
        <f>IFERROR(IF(데이터입력!$AE$2="추경",VLOOKUP($N183,데이터입력!$A:$H,2,FALSE),""),"")</f>
        <v/>
      </c>
      <c r="S183" s="729" t="str">
        <f>IFERROR(IF(데이터입력!$AE$2="추경",VLOOKUP($N183,데이터입력!$A:$H,5,FALSE),""),"")</f>
        <v/>
      </c>
      <c r="T183" s="729" t="str">
        <f>IFERROR(IF(데이터입력!$AE$2="추경",VLOOKUP($N183,데이터입력!$A:$H,6,FALSE),""),"")</f>
        <v/>
      </c>
      <c r="U183" s="730" t="str">
        <f>IFERROR(IF(데이터입력!$AE$2="추경",VLOOKUP($N183,데이터입력!$A:$L,8,FALSE)+VLOOKUP($N183,데이터입력!$A:$L,9,FALSE)+VLOOKUP($N183,데이터입력!$A:$L,10,FALSE),""),"")</f>
        <v/>
      </c>
      <c r="V183" s="731" t="s">
        <v>136</v>
      </c>
      <c r="W183" s="731" t="s">
        <v>136</v>
      </c>
      <c r="X183" s="731" t="s">
        <v>136</v>
      </c>
      <c r="Y183" s="712"/>
      <c r="Z183" s="235" t="str">
        <f>데이터입력!$AB$8</f>
        <v>00</v>
      </c>
      <c r="AA183" s="238" t="str">
        <f>데이터입력!$AC$9</f>
        <v>일반사업[일반]</v>
      </c>
      <c r="AB183" s="236" t="str">
        <f>IFERROR(IF(데이터입력!$AE$2="추경",VLOOKUP($A183,보수일람표!$A:$M,4,FALSE),""),"")</f>
        <v/>
      </c>
      <c r="AC183" s="236" t="str">
        <f>IFERROR(IF(데이터입력!$AE$2="추경",VLOOKUP($A183,보수일람표!$A:$M,5,FALSE),""),"")</f>
        <v/>
      </c>
      <c r="AD183" s="236" t="str">
        <f>IFERROR(IF(데이터입력!$AE$2="추경",VLOOKUP($A183,보수일람표!$A:$M,6,FALSE),""),"")</f>
        <v/>
      </c>
      <c r="AE183" s="236" t="str">
        <f>IFERROR(IF(데이터입력!$AE$2="추경",VLOOKUP($A183,보수일람표!$A:$M,7,FALSE),""),"")</f>
        <v>직접</v>
      </c>
      <c r="AF183" s="236"/>
      <c r="AG183" s="237">
        <f>IFERROR(IF(데이터입력!$AE$2="추경",VLOOKUP($A183,보수일람표!$A:$M,9,FALSE),""),"")</f>
        <v>0</v>
      </c>
      <c r="AH183" s="237">
        <f>IFERROR(IF(데이터입력!$AE$2="추경",VLOOKUP($A183,보수일람표!$A:$M,10,FALSE),""),"")</f>
        <v>0</v>
      </c>
      <c r="AI183" s="237">
        <f>IFERROR(IF(데이터입력!$AE$2="추경",VLOOKUP($A183,보수일람표!$A:$M,11,FALSE),""),"")</f>
        <v>0</v>
      </c>
      <c r="AJ183" s="237">
        <f>IFERROR(IF(데이터입력!$AE$2="추경",VLOOKUP($A183,보수일람표!$A:$M,12,FALSE),""),"")</f>
        <v>0</v>
      </c>
      <c r="AK183" s="237">
        <f>IFERROR(IF(데이터입력!$AE$2="추경",VLOOKUP($A183,보수일람표!$A:$M,13,FALSE),""),"")</f>
        <v>0</v>
      </c>
    </row>
    <row r="184" spans="1:37">
      <c r="A184" s="233">
        <v>182</v>
      </c>
      <c r="B184" s="719" t="str">
        <f>IFERROR(IF(F184="06",데이터입력!$AB$8,IF(F184="07",데이터입력!$AD$8,IF(F184="05",데이터입력!$AF$8,데이터입력!$AB$8))),데이터입력!$AB$8)</f>
        <v>00</v>
      </c>
      <c r="C184" s="720" t="str">
        <f>데이터입력!$AC$9</f>
        <v>일반사업[일반]</v>
      </c>
      <c r="D184" s="721" t="str">
        <f>IFERROR(IF(AND(데이터입력!$AE$2="추경",데이터입력!$AM$2=TRUE),VLOOKUP($A184,데이터입력!$A:$H,4,FALSE),""),"")</f>
        <v/>
      </c>
      <c r="E184" s="721" t="str">
        <f>IFERROR(IF(AND(데이터입력!$AE$2="추경",데이터입력!$AM$2=TRUE),VLOOKUP($A184,데이터입력!$A:$H,2,FALSE),""),"")</f>
        <v/>
      </c>
      <c r="F184" s="721" t="str">
        <f>IFERROR(IF(AND(데이터입력!$AE$2="추경",데이터입력!$AM$2=TRUE),VLOOKUP($A184,데이터입력!$A:$H,5,FALSE),""),"")</f>
        <v/>
      </c>
      <c r="G184" s="721" t="str">
        <f>IFERROR(IF(AND(데이터입력!$AE$2="추경",데이터입력!$AM$2=TRUE),VLOOKUP($A184,데이터입력!$A:$H,6,FALSE),""),"")</f>
        <v/>
      </c>
      <c r="H184" s="722" t="str">
        <f>IFERROR(IF(AND(데이터입력!$AE$2="추경",데이터입력!$AM$2=TRUE),VLOOKUP($A184,데이터입력!$A:$L,7,FALSE),""),"")</f>
        <v/>
      </c>
      <c r="I184" s="722" t="str">
        <f>IFERROR(IF(AND(데이터입력!$AE$2="추경",데이터입력!$AM$2=TRUE),VLOOKUP($A184,데이터입력!$A:$L,8,FALSE)+VLOOKUP($A184,데이터입력!$A:$L,9,FALSE)+VLOOKUP($A184,데이터입력!$A:$L,10,FALSE),""),"")</f>
        <v/>
      </c>
      <c r="J184" s="723" t="s">
        <v>136</v>
      </c>
      <c r="K184" s="723" t="s">
        <v>136</v>
      </c>
      <c r="L184" s="723" t="s">
        <v>136</v>
      </c>
      <c r="M184" s="715"/>
      <c r="N184" s="233">
        <v>382</v>
      </c>
      <c r="O184" s="727" t="str">
        <f>IFERROR(IF(S184="06",데이터입력!$AB$8,IF(S184="07",데이터입력!$AD$8,IF(S184="05",데이터입력!$AF$8,데이터입력!$AB$8))),데이터입력!$AB$8)</f>
        <v>00</v>
      </c>
      <c r="P184" s="728" t="str">
        <f>데이터입력!$AC$9</f>
        <v>일반사업[일반]</v>
      </c>
      <c r="Q184" s="729" t="str">
        <f>IFERROR(IF(데이터입력!$AE$2="추경",VLOOKUP($N184,데이터입력!$A:$H,4,FALSE),""),"")</f>
        <v/>
      </c>
      <c r="R184" s="729" t="str">
        <f>IFERROR(IF(데이터입력!$AE$2="추경",VLOOKUP($N184,데이터입력!$A:$H,2,FALSE),""),"")</f>
        <v/>
      </c>
      <c r="S184" s="729" t="str">
        <f>IFERROR(IF(데이터입력!$AE$2="추경",VLOOKUP($N184,데이터입력!$A:$H,5,FALSE),""),"")</f>
        <v/>
      </c>
      <c r="T184" s="729" t="str">
        <f>IFERROR(IF(데이터입력!$AE$2="추경",VLOOKUP($N184,데이터입력!$A:$H,6,FALSE),""),"")</f>
        <v/>
      </c>
      <c r="U184" s="730" t="str">
        <f>IFERROR(IF(데이터입력!$AE$2="추경",VLOOKUP($N184,데이터입력!$A:$L,8,FALSE)+VLOOKUP($N184,데이터입력!$A:$L,9,FALSE)+VLOOKUP($N184,데이터입력!$A:$L,10,FALSE),""),"")</f>
        <v/>
      </c>
      <c r="V184" s="731" t="s">
        <v>136</v>
      </c>
      <c r="W184" s="731" t="s">
        <v>136</v>
      </c>
      <c r="X184" s="731" t="s">
        <v>136</v>
      </c>
      <c r="Y184" s="712"/>
      <c r="Z184" s="235" t="str">
        <f>데이터입력!$AB$8</f>
        <v>00</v>
      </c>
      <c r="AA184" s="238" t="str">
        <f>데이터입력!$AC$9</f>
        <v>일반사업[일반]</v>
      </c>
      <c r="AB184" s="236" t="str">
        <f>IFERROR(IF(데이터입력!$AE$2="추경",VLOOKUP($A184,보수일람표!$A:$M,4,FALSE),""),"")</f>
        <v/>
      </c>
      <c r="AC184" s="236" t="str">
        <f>IFERROR(IF(데이터입력!$AE$2="추경",VLOOKUP($A184,보수일람표!$A:$M,5,FALSE),""),"")</f>
        <v/>
      </c>
      <c r="AD184" s="236" t="str">
        <f>IFERROR(IF(데이터입력!$AE$2="추경",VLOOKUP($A184,보수일람표!$A:$M,6,FALSE),""),"")</f>
        <v/>
      </c>
      <c r="AE184" s="236" t="str">
        <f>IFERROR(IF(데이터입력!$AE$2="추경",VLOOKUP($A184,보수일람표!$A:$M,7,FALSE),""),"")</f>
        <v>직접</v>
      </c>
      <c r="AF184" s="236"/>
      <c r="AG184" s="237">
        <f>IFERROR(IF(데이터입력!$AE$2="추경",VLOOKUP($A184,보수일람표!$A:$M,9,FALSE),""),"")</f>
        <v>0</v>
      </c>
      <c r="AH184" s="237">
        <f>IFERROR(IF(데이터입력!$AE$2="추경",VLOOKUP($A184,보수일람표!$A:$M,10,FALSE),""),"")</f>
        <v>0</v>
      </c>
      <c r="AI184" s="237">
        <f>IFERROR(IF(데이터입력!$AE$2="추경",VLOOKUP($A184,보수일람표!$A:$M,11,FALSE),""),"")</f>
        <v>0</v>
      </c>
      <c r="AJ184" s="237">
        <f>IFERROR(IF(데이터입력!$AE$2="추경",VLOOKUP($A184,보수일람표!$A:$M,12,FALSE),""),"")</f>
        <v>0</v>
      </c>
      <c r="AK184" s="237">
        <f>IFERROR(IF(데이터입력!$AE$2="추경",VLOOKUP($A184,보수일람표!$A:$M,13,FALSE),""),"")</f>
        <v>0</v>
      </c>
    </row>
    <row r="185" spans="1:37">
      <c r="A185" s="233">
        <v>183</v>
      </c>
      <c r="B185" s="719" t="str">
        <f>IFERROR(IF(F185="06",데이터입력!$AB$8,IF(F185="07",데이터입력!$AD$8,IF(F185="05",데이터입력!$AF$8,데이터입력!$AB$8))),데이터입력!$AB$8)</f>
        <v>00</v>
      </c>
      <c r="C185" s="720" t="str">
        <f>데이터입력!$AC$9</f>
        <v>일반사업[일반]</v>
      </c>
      <c r="D185" s="721" t="str">
        <f>IFERROR(IF(AND(데이터입력!$AE$2="추경",데이터입력!$AM$2=TRUE),VLOOKUP($A185,데이터입력!$A:$H,4,FALSE),""),"")</f>
        <v/>
      </c>
      <c r="E185" s="721" t="str">
        <f>IFERROR(IF(AND(데이터입력!$AE$2="추경",데이터입력!$AM$2=TRUE),VLOOKUP($A185,데이터입력!$A:$H,2,FALSE),""),"")</f>
        <v/>
      </c>
      <c r="F185" s="721" t="str">
        <f>IFERROR(IF(AND(데이터입력!$AE$2="추경",데이터입력!$AM$2=TRUE),VLOOKUP($A185,데이터입력!$A:$H,5,FALSE),""),"")</f>
        <v/>
      </c>
      <c r="G185" s="721" t="str">
        <f>IFERROR(IF(AND(데이터입력!$AE$2="추경",데이터입력!$AM$2=TRUE),VLOOKUP($A185,데이터입력!$A:$H,6,FALSE),""),"")</f>
        <v/>
      </c>
      <c r="H185" s="722" t="str">
        <f>IFERROR(IF(AND(데이터입력!$AE$2="추경",데이터입력!$AM$2=TRUE),VLOOKUP($A185,데이터입력!$A:$L,7,FALSE),""),"")</f>
        <v/>
      </c>
      <c r="I185" s="722" t="str">
        <f>IFERROR(IF(AND(데이터입력!$AE$2="추경",데이터입력!$AM$2=TRUE),VLOOKUP($A185,데이터입력!$A:$L,8,FALSE)+VLOOKUP($A185,데이터입력!$A:$L,9,FALSE)+VLOOKUP($A185,데이터입력!$A:$L,10,FALSE),""),"")</f>
        <v/>
      </c>
      <c r="J185" s="723" t="s">
        <v>136</v>
      </c>
      <c r="K185" s="723" t="s">
        <v>136</v>
      </c>
      <c r="L185" s="723" t="s">
        <v>136</v>
      </c>
      <c r="M185" s="715"/>
      <c r="N185" s="233">
        <v>383</v>
      </c>
      <c r="O185" s="727" t="str">
        <f>IFERROR(IF(S185="06",데이터입력!$AB$8,IF(S185="07",데이터입력!$AD$8,IF(S185="05",데이터입력!$AF$8,데이터입력!$AB$8))),데이터입력!$AB$8)</f>
        <v>00</v>
      </c>
      <c r="P185" s="728" t="str">
        <f>데이터입력!$AC$9</f>
        <v>일반사업[일반]</v>
      </c>
      <c r="Q185" s="729" t="str">
        <f>IFERROR(IF(데이터입력!$AE$2="추경",VLOOKUP($N185,데이터입력!$A:$H,4,FALSE),""),"")</f>
        <v/>
      </c>
      <c r="R185" s="729" t="str">
        <f>IFERROR(IF(데이터입력!$AE$2="추경",VLOOKUP($N185,데이터입력!$A:$H,2,FALSE),""),"")</f>
        <v/>
      </c>
      <c r="S185" s="729" t="str">
        <f>IFERROR(IF(데이터입력!$AE$2="추경",VLOOKUP($N185,데이터입력!$A:$H,5,FALSE),""),"")</f>
        <v/>
      </c>
      <c r="T185" s="729" t="str">
        <f>IFERROR(IF(데이터입력!$AE$2="추경",VLOOKUP($N185,데이터입력!$A:$H,6,FALSE),""),"")</f>
        <v/>
      </c>
      <c r="U185" s="730" t="str">
        <f>IFERROR(IF(데이터입력!$AE$2="추경",VLOOKUP($N185,데이터입력!$A:$L,8,FALSE)+VLOOKUP($N185,데이터입력!$A:$L,9,FALSE)+VLOOKUP($N185,데이터입력!$A:$L,10,FALSE),""),"")</f>
        <v/>
      </c>
      <c r="V185" s="731" t="s">
        <v>136</v>
      </c>
      <c r="W185" s="731" t="s">
        <v>136</v>
      </c>
      <c r="X185" s="731" t="s">
        <v>136</v>
      </c>
      <c r="Y185" s="712"/>
      <c r="Z185" s="235" t="str">
        <f>데이터입력!$AB$8</f>
        <v>00</v>
      </c>
      <c r="AA185" s="238" t="str">
        <f>데이터입력!$AC$9</f>
        <v>일반사업[일반]</v>
      </c>
      <c r="AB185" s="236" t="str">
        <f>IFERROR(IF(데이터입력!$AE$2="추경",VLOOKUP($A185,보수일람표!$A:$M,4,FALSE),""),"")</f>
        <v/>
      </c>
      <c r="AC185" s="236" t="str">
        <f>IFERROR(IF(데이터입력!$AE$2="추경",VLOOKUP($A185,보수일람표!$A:$M,5,FALSE),""),"")</f>
        <v/>
      </c>
      <c r="AD185" s="236" t="str">
        <f>IFERROR(IF(데이터입력!$AE$2="추경",VLOOKUP($A185,보수일람표!$A:$M,6,FALSE),""),"")</f>
        <v/>
      </c>
      <c r="AE185" s="236" t="str">
        <f>IFERROR(IF(데이터입력!$AE$2="추경",VLOOKUP($A185,보수일람표!$A:$M,7,FALSE),""),"")</f>
        <v>직접</v>
      </c>
      <c r="AF185" s="236"/>
      <c r="AG185" s="237">
        <f>IFERROR(IF(데이터입력!$AE$2="추경",VLOOKUP($A185,보수일람표!$A:$M,9,FALSE),""),"")</f>
        <v>0</v>
      </c>
      <c r="AH185" s="237">
        <f>IFERROR(IF(데이터입력!$AE$2="추경",VLOOKUP($A185,보수일람표!$A:$M,10,FALSE),""),"")</f>
        <v>0</v>
      </c>
      <c r="AI185" s="237">
        <f>IFERROR(IF(데이터입력!$AE$2="추경",VLOOKUP($A185,보수일람표!$A:$M,11,FALSE),""),"")</f>
        <v>0</v>
      </c>
      <c r="AJ185" s="237">
        <f>IFERROR(IF(데이터입력!$AE$2="추경",VLOOKUP($A185,보수일람표!$A:$M,12,FALSE),""),"")</f>
        <v>0</v>
      </c>
      <c r="AK185" s="237">
        <f>IFERROR(IF(데이터입력!$AE$2="추경",VLOOKUP($A185,보수일람표!$A:$M,13,FALSE),""),"")</f>
        <v>0</v>
      </c>
    </row>
    <row r="186" spans="1:37">
      <c r="A186" s="233">
        <v>184</v>
      </c>
      <c r="B186" s="719" t="str">
        <f>IFERROR(IF(F186="06",데이터입력!$AB$8,IF(F186="07",데이터입력!$AD$8,IF(F186="05",데이터입력!$AF$8,데이터입력!$AB$8))),데이터입력!$AB$8)</f>
        <v>00</v>
      </c>
      <c r="C186" s="720" t="str">
        <f>데이터입력!$AC$9</f>
        <v>일반사업[일반]</v>
      </c>
      <c r="D186" s="721" t="str">
        <f>IFERROR(IF(AND(데이터입력!$AE$2="추경",데이터입력!$AM$2=TRUE),VLOOKUP($A186,데이터입력!$A:$H,4,FALSE),""),"")</f>
        <v/>
      </c>
      <c r="E186" s="721" t="str">
        <f>IFERROR(IF(AND(데이터입력!$AE$2="추경",데이터입력!$AM$2=TRUE),VLOOKUP($A186,데이터입력!$A:$H,2,FALSE),""),"")</f>
        <v/>
      </c>
      <c r="F186" s="721" t="str">
        <f>IFERROR(IF(AND(데이터입력!$AE$2="추경",데이터입력!$AM$2=TRUE),VLOOKUP($A186,데이터입력!$A:$H,5,FALSE),""),"")</f>
        <v/>
      </c>
      <c r="G186" s="721" t="str">
        <f>IFERROR(IF(AND(데이터입력!$AE$2="추경",데이터입력!$AM$2=TRUE),VLOOKUP($A186,데이터입력!$A:$H,6,FALSE),""),"")</f>
        <v/>
      </c>
      <c r="H186" s="722" t="str">
        <f>IFERROR(IF(AND(데이터입력!$AE$2="추경",데이터입력!$AM$2=TRUE),VLOOKUP($A186,데이터입력!$A:$L,7,FALSE),""),"")</f>
        <v/>
      </c>
      <c r="I186" s="722" t="str">
        <f>IFERROR(IF(AND(데이터입력!$AE$2="추경",데이터입력!$AM$2=TRUE),VLOOKUP($A186,데이터입력!$A:$L,8,FALSE)+VLOOKUP($A186,데이터입력!$A:$L,9,FALSE)+VLOOKUP($A186,데이터입력!$A:$L,10,FALSE),""),"")</f>
        <v/>
      </c>
      <c r="J186" s="723" t="s">
        <v>136</v>
      </c>
      <c r="K186" s="723" t="s">
        <v>136</v>
      </c>
      <c r="L186" s="723" t="s">
        <v>136</v>
      </c>
      <c r="M186" s="715"/>
      <c r="N186" s="233">
        <v>384</v>
      </c>
      <c r="O186" s="727" t="str">
        <f>IFERROR(IF(S186="06",데이터입력!$AB$8,IF(S186="07",데이터입력!$AD$8,IF(S186="05",데이터입력!$AF$8,데이터입력!$AB$8))),데이터입력!$AB$8)</f>
        <v>00</v>
      </c>
      <c r="P186" s="728" t="str">
        <f>데이터입력!$AC$9</f>
        <v>일반사업[일반]</v>
      </c>
      <c r="Q186" s="729" t="str">
        <f>IFERROR(IF(데이터입력!$AE$2="추경",VLOOKUP($N186,데이터입력!$A:$H,4,FALSE),""),"")</f>
        <v/>
      </c>
      <c r="R186" s="729" t="str">
        <f>IFERROR(IF(데이터입력!$AE$2="추경",VLOOKUP($N186,데이터입력!$A:$H,2,FALSE),""),"")</f>
        <v/>
      </c>
      <c r="S186" s="729" t="str">
        <f>IFERROR(IF(데이터입력!$AE$2="추경",VLOOKUP($N186,데이터입력!$A:$H,5,FALSE),""),"")</f>
        <v/>
      </c>
      <c r="T186" s="729" t="str">
        <f>IFERROR(IF(데이터입력!$AE$2="추경",VLOOKUP($N186,데이터입력!$A:$H,6,FALSE),""),"")</f>
        <v/>
      </c>
      <c r="U186" s="730" t="str">
        <f>IFERROR(IF(데이터입력!$AE$2="추경",VLOOKUP($N186,데이터입력!$A:$L,8,FALSE)+VLOOKUP($N186,데이터입력!$A:$L,9,FALSE)+VLOOKUP($N186,데이터입력!$A:$L,10,FALSE),""),"")</f>
        <v/>
      </c>
      <c r="V186" s="731" t="s">
        <v>136</v>
      </c>
      <c r="W186" s="731" t="s">
        <v>136</v>
      </c>
      <c r="X186" s="731" t="s">
        <v>136</v>
      </c>
      <c r="Y186" s="712"/>
      <c r="Z186" s="235" t="str">
        <f>데이터입력!$AB$8</f>
        <v>00</v>
      </c>
      <c r="AA186" s="238" t="str">
        <f>데이터입력!$AC$9</f>
        <v>일반사업[일반]</v>
      </c>
      <c r="AB186" s="236" t="str">
        <f>IFERROR(IF(데이터입력!$AE$2="추경",VLOOKUP($A186,보수일람표!$A:$M,4,FALSE),""),"")</f>
        <v/>
      </c>
      <c r="AC186" s="236" t="str">
        <f>IFERROR(IF(데이터입력!$AE$2="추경",VLOOKUP($A186,보수일람표!$A:$M,5,FALSE),""),"")</f>
        <v/>
      </c>
      <c r="AD186" s="236" t="str">
        <f>IFERROR(IF(데이터입력!$AE$2="추경",VLOOKUP($A186,보수일람표!$A:$M,6,FALSE),""),"")</f>
        <v/>
      </c>
      <c r="AE186" s="236" t="str">
        <f>IFERROR(IF(데이터입력!$AE$2="추경",VLOOKUP($A186,보수일람표!$A:$M,7,FALSE),""),"")</f>
        <v>직접</v>
      </c>
      <c r="AF186" s="236"/>
      <c r="AG186" s="237">
        <f>IFERROR(IF(데이터입력!$AE$2="추경",VLOOKUP($A186,보수일람표!$A:$M,9,FALSE),""),"")</f>
        <v>0</v>
      </c>
      <c r="AH186" s="237">
        <f>IFERROR(IF(데이터입력!$AE$2="추경",VLOOKUP($A186,보수일람표!$A:$M,10,FALSE),""),"")</f>
        <v>0</v>
      </c>
      <c r="AI186" s="237">
        <f>IFERROR(IF(데이터입력!$AE$2="추경",VLOOKUP($A186,보수일람표!$A:$M,11,FALSE),""),"")</f>
        <v>0</v>
      </c>
      <c r="AJ186" s="237">
        <f>IFERROR(IF(데이터입력!$AE$2="추경",VLOOKUP($A186,보수일람표!$A:$M,12,FALSE),""),"")</f>
        <v>0</v>
      </c>
      <c r="AK186" s="237">
        <f>IFERROR(IF(데이터입력!$AE$2="추경",VLOOKUP($A186,보수일람표!$A:$M,13,FALSE),""),"")</f>
        <v>0</v>
      </c>
    </row>
    <row r="187" spans="1:37">
      <c r="A187" s="233">
        <v>185</v>
      </c>
      <c r="B187" s="719" t="str">
        <f>IFERROR(IF(F187="06",데이터입력!$AB$8,IF(F187="07",데이터입력!$AD$8,IF(F187="05",데이터입력!$AF$8,데이터입력!$AB$8))),데이터입력!$AB$8)</f>
        <v>00</v>
      </c>
      <c r="C187" s="720" t="str">
        <f>데이터입력!$AC$9</f>
        <v>일반사업[일반]</v>
      </c>
      <c r="D187" s="721" t="str">
        <f>IFERROR(IF(AND(데이터입력!$AE$2="추경",데이터입력!$AM$2=TRUE),VLOOKUP($A187,데이터입력!$A:$H,4,FALSE),""),"")</f>
        <v/>
      </c>
      <c r="E187" s="721" t="str">
        <f>IFERROR(IF(AND(데이터입력!$AE$2="추경",데이터입력!$AM$2=TRUE),VLOOKUP($A187,데이터입력!$A:$H,2,FALSE),""),"")</f>
        <v/>
      </c>
      <c r="F187" s="721" t="str">
        <f>IFERROR(IF(AND(데이터입력!$AE$2="추경",데이터입력!$AM$2=TRUE),VLOOKUP($A187,데이터입력!$A:$H,5,FALSE),""),"")</f>
        <v/>
      </c>
      <c r="G187" s="721" t="str">
        <f>IFERROR(IF(AND(데이터입력!$AE$2="추경",데이터입력!$AM$2=TRUE),VLOOKUP($A187,데이터입력!$A:$H,6,FALSE),""),"")</f>
        <v/>
      </c>
      <c r="H187" s="722" t="str">
        <f>IFERROR(IF(AND(데이터입력!$AE$2="추경",데이터입력!$AM$2=TRUE),VLOOKUP($A187,데이터입력!$A:$L,7,FALSE),""),"")</f>
        <v/>
      </c>
      <c r="I187" s="722" t="str">
        <f>IFERROR(IF(AND(데이터입력!$AE$2="추경",데이터입력!$AM$2=TRUE),VLOOKUP($A187,데이터입력!$A:$L,8,FALSE)+VLOOKUP($A187,데이터입력!$A:$L,9,FALSE)+VLOOKUP($A187,데이터입력!$A:$L,10,FALSE),""),"")</f>
        <v/>
      </c>
      <c r="J187" s="723" t="s">
        <v>136</v>
      </c>
      <c r="K187" s="723" t="s">
        <v>136</v>
      </c>
      <c r="L187" s="723" t="s">
        <v>136</v>
      </c>
      <c r="M187" s="715"/>
      <c r="N187" s="233">
        <v>385</v>
      </c>
      <c r="O187" s="727" t="str">
        <f>IFERROR(IF(S187="06",데이터입력!$AB$8,IF(S187="07",데이터입력!$AD$8,IF(S187="05",데이터입력!$AF$8,데이터입력!$AB$8))),데이터입력!$AB$8)</f>
        <v>00</v>
      </c>
      <c r="P187" s="728" t="str">
        <f>데이터입력!$AC$9</f>
        <v>일반사업[일반]</v>
      </c>
      <c r="Q187" s="729" t="str">
        <f>IFERROR(IF(데이터입력!$AE$2="추경",VLOOKUP($N187,데이터입력!$A:$H,4,FALSE),""),"")</f>
        <v/>
      </c>
      <c r="R187" s="729" t="str">
        <f>IFERROR(IF(데이터입력!$AE$2="추경",VLOOKUP($N187,데이터입력!$A:$H,2,FALSE),""),"")</f>
        <v/>
      </c>
      <c r="S187" s="729" t="str">
        <f>IFERROR(IF(데이터입력!$AE$2="추경",VLOOKUP($N187,데이터입력!$A:$H,5,FALSE),""),"")</f>
        <v/>
      </c>
      <c r="T187" s="729" t="str">
        <f>IFERROR(IF(데이터입력!$AE$2="추경",VLOOKUP($N187,데이터입력!$A:$H,6,FALSE),""),"")</f>
        <v/>
      </c>
      <c r="U187" s="730" t="str">
        <f>IFERROR(IF(데이터입력!$AE$2="추경",VLOOKUP($N187,데이터입력!$A:$L,8,FALSE)+VLOOKUP($N187,데이터입력!$A:$L,9,FALSE)+VLOOKUP($N187,데이터입력!$A:$L,10,FALSE),""),"")</f>
        <v/>
      </c>
      <c r="V187" s="731" t="s">
        <v>136</v>
      </c>
      <c r="W187" s="731" t="s">
        <v>136</v>
      </c>
      <c r="X187" s="731" t="s">
        <v>136</v>
      </c>
      <c r="Y187" s="712"/>
      <c r="Z187" s="235" t="str">
        <f>데이터입력!$AB$8</f>
        <v>00</v>
      </c>
      <c r="AA187" s="238" t="str">
        <f>데이터입력!$AC$9</f>
        <v>일반사업[일반]</v>
      </c>
      <c r="AB187" s="236" t="str">
        <f>IFERROR(IF(데이터입력!$AE$2="추경",VLOOKUP($A187,보수일람표!$A:$M,4,FALSE),""),"")</f>
        <v/>
      </c>
      <c r="AC187" s="236" t="str">
        <f>IFERROR(IF(데이터입력!$AE$2="추경",VLOOKUP($A187,보수일람표!$A:$M,5,FALSE),""),"")</f>
        <v/>
      </c>
      <c r="AD187" s="236" t="str">
        <f>IFERROR(IF(데이터입력!$AE$2="추경",VLOOKUP($A187,보수일람표!$A:$M,6,FALSE),""),"")</f>
        <v/>
      </c>
      <c r="AE187" s="236" t="str">
        <f>IFERROR(IF(데이터입력!$AE$2="추경",VLOOKUP($A187,보수일람표!$A:$M,7,FALSE),""),"")</f>
        <v>직접</v>
      </c>
      <c r="AF187" s="236"/>
      <c r="AG187" s="237">
        <f>IFERROR(IF(데이터입력!$AE$2="추경",VLOOKUP($A187,보수일람표!$A:$M,9,FALSE),""),"")</f>
        <v>0</v>
      </c>
      <c r="AH187" s="237">
        <f>IFERROR(IF(데이터입력!$AE$2="추경",VLOOKUP($A187,보수일람표!$A:$M,10,FALSE),""),"")</f>
        <v>0</v>
      </c>
      <c r="AI187" s="237">
        <f>IFERROR(IF(데이터입력!$AE$2="추경",VLOOKUP($A187,보수일람표!$A:$M,11,FALSE),""),"")</f>
        <v>0</v>
      </c>
      <c r="AJ187" s="237">
        <f>IFERROR(IF(데이터입력!$AE$2="추경",VLOOKUP($A187,보수일람표!$A:$M,12,FALSE),""),"")</f>
        <v>0</v>
      </c>
      <c r="AK187" s="237">
        <f>IFERROR(IF(데이터입력!$AE$2="추경",VLOOKUP($A187,보수일람표!$A:$M,13,FALSE),""),"")</f>
        <v>0</v>
      </c>
    </row>
    <row r="188" spans="1:37">
      <c r="A188" s="233">
        <v>186</v>
      </c>
      <c r="B188" s="719" t="str">
        <f>IFERROR(IF(F188="06",데이터입력!$AB$8,IF(F188="07",데이터입력!$AD$8,IF(F188="05",데이터입력!$AF$8,데이터입력!$AB$8))),데이터입력!$AB$8)</f>
        <v>00</v>
      </c>
      <c r="C188" s="720" t="str">
        <f>데이터입력!$AC$9</f>
        <v>일반사업[일반]</v>
      </c>
      <c r="D188" s="721" t="str">
        <f>IFERROR(IF(AND(데이터입력!$AE$2="추경",데이터입력!$AM$2=TRUE),VLOOKUP($A188,데이터입력!$A:$H,4,FALSE),""),"")</f>
        <v/>
      </c>
      <c r="E188" s="721" t="str">
        <f>IFERROR(IF(AND(데이터입력!$AE$2="추경",데이터입력!$AM$2=TRUE),VLOOKUP($A188,데이터입력!$A:$H,2,FALSE),""),"")</f>
        <v/>
      </c>
      <c r="F188" s="721" t="str">
        <f>IFERROR(IF(AND(데이터입력!$AE$2="추경",데이터입력!$AM$2=TRUE),VLOOKUP($A188,데이터입력!$A:$H,5,FALSE),""),"")</f>
        <v/>
      </c>
      <c r="G188" s="721" t="str">
        <f>IFERROR(IF(AND(데이터입력!$AE$2="추경",데이터입력!$AM$2=TRUE),VLOOKUP($A188,데이터입력!$A:$H,6,FALSE),""),"")</f>
        <v/>
      </c>
      <c r="H188" s="722" t="str">
        <f>IFERROR(IF(AND(데이터입력!$AE$2="추경",데이터입력!$AM$2=TRUE),VLOOKUP($A188,데이터입력!$A:$L,7,FALSE),""),"")</f>
        <v/>
      </c>
      <c r="I188" s="722" t="str">
        <f>IFERROR(IF(AND(데이터입력!$AE$2="추경",데이터입력!$AM$2=TRUE),VLOOKUP($A188,데이터입력!$A:$L,8,FALSE)+VLOOKUP($A188,데이터입력!$A:$L,9,FALSE)+VLOOKUP($A188,데이터입력!$A:$L,10,FALSE),""),"")</f>
        <v/>
      </c>
      <c r="J188" s="723" t="s">
        <v>136</v>
      </c>
      <c r="K188" s="723" t="s">
        <v>136</v>
      </c>
      <c r="L188" s="723" t="s">
        <v>136</v>
      </c>
      <c r="M188" s="715"/>
      <c r="N188" s="233">
        <v>386</v>
      </c>
      <c r="O188" s="727" t="str">
        <f>IFERROR(IF(S188="06",데이터입력!$AB$8,IF(S188="07",데이터입력!$AD$8,IF(S188="05",데이터입력!$AF$8,데이터입력!$AB$8))),데이터입력!$AB$8)</f>
        <v>00</v>
      </c>
      <c r="P188" s="728" t="str">
        <f>데이터입력!$AC$9</f>
        <v>일반사업[일반]</v>
      </c>
      <c r="Q188" s="729" t="str">
        <f>IFERROR(IF(데이터입력!$AE$2="추경",VLOOKUP($N188,데이터입력!$A:$H,4,FALSE),""),"")</f>
        <v/>
      </c>
      <c r="R188" s="729" t="str">
        <f>IFERROR(IF(데이터입력!$AE$2="추경",VLOOKUP($N188,데이터입력!$A:$H,2,FALSE),""),"")</f>
        <v/>
      </c>
      <c r="S188" s="729" t="str">
        <f>IFERROR(IF(데이터입력!$AE$2="추경",VLOOKUP($N188,데이터입력!$A:$H,5,FALSE),""),"")</f>
        <v/>
      </c>
      <c r="T188" s="729" t="str">
        <f>IFERROR(IF(데이터입력!$AE$2="추경",VLOOKUP($N188,데이터입력!$A:$H,6,FALSE),""),"")</f>
        <v/>
      </c>
      <c r="U188" s="730" t="str">
        <f>IFERROR(IF(데이터입력!$AE$2="추경",VLOOKUP($N188,데이터입력!$A:$L,8,FALSE)+VLOOKUP($N188,데이터입력!$A:$L,9,FALSE)+VLOOKUP($N188,데이터입력!$A:$L,10,FALSE),""),"")</f>
        <v/>
      </c>
      <c r="V188" s="731" t="s">
        <v>136</v>
      </c>
      <c r="W188" s="731" t="s">
        <v>136</v>
      </c>
      <c r="X188" s="731" t="s">
        <v>136</v>
      </c>
      <c r="Y188" s="712"/>
      <c r="Z188" s="235" t="str">
        <f>데이터입력!$AB$8</f>
        <v>00</v>
      </c>
      <c r="AA188" s="238" t="str">
        <f>데이터입력!$AC$9</f>
        <v>일반사업[일반]</v>
      </c>
      <c r="AB188" s="236" t="str">
        <f>IFERROR(IF(데이터입력!$AE$2="추경",VLOOKUP($A188,보수일람표!$A:$M,4,FALSE),""),"")</f>
        <v/>
      </c>
      <c r="AC188" s="236" t="str">
        <f>IFERROR(IF(데이터입력!$AE$2="추경",VLOOKUP($A188,보수일람표!$A:$M,5,FALSE),""),"")</f>
        <v/>
      </c>
      <c r="AD188" s="236" t="str">
        <f>IFERROR(IF(데이터입력!$AE$2="추경",VLOOKUP($A188,보수일람표!$A:$M,6,FALSE),""),"")</f>
        <v/>
      </c>
      <c r="AE188" s="236" t="str">
        <f>IFERROR(IF(데이터입력!$AE$2="추경",VLOOKUP($A188,보수일람표!$A:$M,7,FALSE),""),"")</f>
        <v>직접</v>
      </c>
      <c r="AF188" s="236"/>
      <c r="AG188" s="237">
        <f>IFERROR(IF(데이터입력!$AE$2="추경",VLOOKUP($A188,보수일람표!$A:$M,9,FALSE),""),"")</f>
        <v>0</v>
      </c>
      <c r="AH188" s="237">
        <f>IFERROR(IF(데이터입력!$AE$2="추경",VLOOKUP($A188,보수일람표!$A:$M,10,FALSE),""),"")</f>
        <v>0</v>
      </c>
      <c r="AI188" s="237">
        <f>IFERROR(IF(데이터입력!$AE$2="추경",VLOOKUP($A188,보수일람표!$A:$M,11,FALSE),""),"")</f>
        <v>0</v>
      </c>
      <c r="AJ188" s="237">
        <f>IFERROR(IF(데이터입력!$AE$2="추경",VLOOKUP($A188,보수일람표!$A:$M,12,FALSE),""),"")</f>
        <v>0</v>
      </c>
      <c r="AK188" s="237">
        <f>IFERROR(IF(데이터입력!$AE$2="추경",VLOOKUP($A188,보수일람표!$A:$M,13,FALSE),""),"")</f>
        <v>0</v>
      </c>
    </row>
    <row r="189" spans="1:37">
      <c r="A189" s="233">
        <v>187</v>
      </c>
      <c r="B189" s="719" t="str">
        <f>IFERROR(IF(F189="06",데이터입력!$AB$8,IF(F189="07",데이터입력!$AD$8,IF(F189="05",데이터입력!$AF$8,데이터입력!$AB$8))),데이터입력!$AB$8)</f>
        <v>00</v>
      </c>
      <c r="C189" s="720" t="str">
        <f>데이터입력!$AC$9</f>
        <v>일반사업[일반]</v>
      </c>
      <c r="D189" s="721" t="str">
        <f>IFERROR(IF(AND(데이터입력!$AE$2="추경",데이터입력!$AM$2=TRUE),VLOOKUP($A189,데이터입력!$A:$H,4,FALSE),""),"")</f>
        <v/>
      </c>
      <c r="E189" s="721" t="str">
        <f>IFERROR(IF(AND(데이터입력!$AE$2="추경",데이터입력!$AM$2=TRUE),VLOOKUP($A189,데이터입력!$A:$H,2,FALSE),""),"")</f>
        <v/>
      </c>
      <c r="F189" s="721" t="str">
        <f>IFERROR(IF(AND(데이터입력!$AE$2="추경",데이터입력!$AM$2=TRUE),VLOOKUP($A189,데이터입력!$A:$H,5,FALSE),""),"")</f>
        <v/>
      </c>
      <c r="G189" s="721" t="str">
        <f>IFERROR(IF(AND(데이터입력!$AE$2="추경",데이터입력!$AM$2=TRUE),VLOOKUP($A189,데이터입력!$A:$H,6,FALSE),""),"")</f>
        <v/>
      </c>
      <c r="H189" s="722" t="str">
        <f>IFERROR(IF(AND(데이터입력!$AE$2="추경",데이터입력!$AM$2=TRUE),VLOOKUP($A189,데이터입력!$A:$L,7,FALSE),""),"")</f>
        <v/>
      </c>
      <c r="I189" s="722" t="str">
        <f>IFERROR(IF(AND(데이터입력!$AE$2="추경",데이터입력!$AM$2=TRUE),VLOOKUP($A189,데이터입력!$A:$L,8,FALSE)+VLOOKUP($A189,데이터입력!$A:$L,9,FALSE)+VLOOKUP($A189,데이터입력!$A:$L,10,FALSE),""),"")</f>
        <v/>
      </c>
      <c r="J189" s="723" t="s">
        <v>136</v>
      </c>
      <c r="K189" s="723" t="s">
        <v>136</v>
      </c>
      <c r="L189" s="723" t="s">
        <v>136</v>
      </c>
      <c r="M189" s="715"/>
      <c r="N189" s="233">
        <v>387</v>
      </c>
      <c r="O189" s="727" t="str">
        <f>IFERROR(IF(S189="06",데이터입력!$AB$8,IF(S189="07",데이터입력!$AD$8,IF(S189="05",데이터입력!$AF$8,데이터입력!$AB$8))),데이터입력!$AB$8)</f>
        <v>00</v>
      </c>
      <c r="P189" s="728" t="str">
        <f>데이터입력!$AC$9</f>
        <v>일반사업[일반]</v>
      </c>
      <c r="Q189" s="729" t="str">
        <f>IFERROR(IF(데이터입력!$AE$2="추경",VLOOKUP($N189,데이터입력!$A:$H,4,FALSE),""),"")</f>
        <v/>
      </c>
      <c r="R189" s="729" t="str">
        <f>IFERROR(IF(데이터입력!$AE$2="추경",VLOOKUP($N189,데이터입력!$A:$H,2,FALSE),""),"")</f>
        <v/>
      </c>
      <c r="S189" s="729" t="str">
        <f>IFERROR(IF(데이터입력!$AE$2="추경",VLOOKUP($N189,데이터입력!$A:$H,5,FALSE),""),"")</f>
        <v/>
      </c>
      <c r="T189" s="729" t="str">
        <f>IFERROR(IF(데이터입력!$AE$2="추경",VLOOKUP($N189,데이터입력!$A:$H,6,FALSE),""),"")</f>
        <v/>
      </c>
      <c r="U189" s="730" t="str">
        <f>IFERROR(IF(데이터입력!$AE$2="추경",VLOOKUP($N189,데이터입력!$A:$L,8,FALSE)+VLOOKUP($N189,데이터입력!$A:$L,9,FALSE)+VLOOKUP($N189,데이터입력!$A:$L,10,FALSE),""),"")</f>
        <v/>
      </c>
      <c r="V189" s="731" t="s">
        <v>136</v>
      </c>
      <c r="W189" s="731" t="s">
        <v>136</v>
      </c>
      <c r="X189" s="731" t="s">
        <v>136</v>
      </c>
      <c r="Y189" s="712"/>
      <c r="Z189" s="235" t="str">
        <f>데이터입력!$AB$8</f>
        <v>00</v>
      </c>
      <c r="AA189" s="238" t="str">
        <f>데이터입력!$AC$9</f>
        <v>일반사업[일반]</v>
      </c>
      <c r="AB189" s="236" t="str">
        <f>IFERROR(IF(데이터입력!$AE$2="추경",VLOOKUP($A189,보수일람표!$A:$M,4,FALSE),""),"")</f>
        <v/>
      </c>
      <c r="AC189" s="236" t="str">
        <f>IFERROR(IF(데이터입력!$AE$2="추경",VLOOKUP($A189,보수일람표!$A:$M,5,FALSE),""),"")</f>
        <v/>
      </c>
      <c r="AD189" s="236" t="str">
        <f>IFERROR(IF(데이터입력!$AE$2="추경",VLOOKUP($A189,보수일람표!$A:$M,6,FALSE),""),"")</f>
        <v/>
      </c>
      <c r="AE189" s="236" t="str">
        <f>IFERROR(IF(데이터입력!$AE$2="추경",VLOOKUP($A189,보수일람표!$A:$M,7,FALSE),""),"")</f>
        <v>직접</v>
      </c>
      <c r="AF189" s="236"/>
      <c r="AG189" s="237">
        <f>IFERROR(IF(데이터입력!$AE$2="추경",VLOOKUP($A189,보수일람표!$A:$M,9,FALSE),""),"")</f>
        <v>0</v>
      </c>
      <c r="AH189" s="237">
        <f>IFERROR(IF(데이터입력!$AE$2="추경",VLOOKUP($A189,보수일람표!$A:$M,10,FALSE),""),"")</f>
        <v>0</v>
      </c>
      <c r="AI189" s="237">
        <f>IFERROR(IF(데이터입력!$AE$2="추경",VLOOKUP($A189,보수일람표!$A:$M,11,FALSE),""),"")</f>
        <v>0</v>
      </c>
      <c r="AJ189" s="237">
        <f>IFERROR(IF(데이터입력!$AE$2="추경",VLOOKUP($A189,보수일람표!$A:$M,12,FALSE),""),"")</f>
        <v>0</v>
      </c>
      <c r="AK189" s="237">
        <f>IFERROR(IF(데이터입력!$AE$2="추경",VLOOKUP($A189,보수일람표!$A:$M,13,FALSE),""),"")</f>
        <v>0</v>
      </c>
    </row>
    <row r="190" spans="1:37">
      <c r="A190" s="233">
        <v>188</v>
      </c>
      <c r="B190" s="719" t="str">
        <f>IFERROR(IF(F190="06",데이터입력!$AB$8,IF(F190="07",데이터입력!$AD$8,IF(F190="05",데이터입력!$AF$8,데이터입력!$AB$8))),데이터입력!$AB$8)</f>
        <v>00</v>
      </c>
      <c r="C190" s="720" t="str">
        <f>데이터입력!$AC$9</f>
        <v>일반사업[일반]</v>
      </c>
      <c r="D190" s="721" t="str">
        <f>IFERROR(IF(AND(데이터입력!$AE$2="추경",데이터입력!$AM$2=TRUE),VLOOKUP($A190,데이터입력!$A:$H,4,FALSE),""),"")</f>
        <v/>
      </c>
      <c r="E190" s="721" t="str">
        <f>IFERROR(IF(AND(데이터입력!$AE$2="추경",데이터입력!$AM$2=TRUE),VLOOKUP($A190,데이터입력!$A:$H,2,FALSE),""),"")</f>
        <v/>
      </c>
      <c r="F190" s="721" t="str">
        <f>IFERROR(IF(AND(데이터입력!$AE$2="추경",데이터입력!$AM$2=TRUE),VLOOKUP($A190,데이터입력!$A:$H,5,FALSE),""),"")</f>
        <v/>
      </c>
      <c r="G190" s="721" t="str">
        <f>IFERROR(IF(AND(데이터입력!$AE$2="추경",데이터입력!$AM$2=TRUE),VLOOKUP($A190,데이터입력!$A:$H,6,FALSE),""),"")</f>
        <v/>
      </c>
      <c r="H190" s="722" t="str">
        <f>IFERROR(IF(AND(데이터입력!$AE$2="추경",데이터입력!$AM$2=TRUE),VLOOKUP($A190,데이터입력!$A:$L,7,FALSE),""),"")</f>
        <v/>
      </c>
      <c r="I190" s="722" t="str">
        <f>IFERROR(IF(AND(데이터입력!$AE$2="추경",데이터입력!$AM$2=TRUE),VLOOKUP($A190,데이터입력!$A:$L,8,FALSE)+VLOOKUP($A190,데이터입력!$A:$L,9,FALSE)+VLOOKUP($A190,데이터입력!$A:$L,10,FALSE),""),"")</f>
        <v/>
      </c>
      <c r="J190" s="723" t="s">
        <v>136</v>
      </c>
      <c r="K190" s="723" t="s">
        <v>136</v>
      </c>
      <c r="L190" s="723" t="s">
        <v>136</v>
      </c>
      <c r="M190" s="715"/>
      <c r="N190" s="233">
        <v>388</v>
      </c>
      <c r="O190" s="727" t="str">
        <f>IFERROR(IF(S190="06",데이터입력!$AB$8,IF(S190="07",데이터입력!$AD$8,IF(S190="05",데이터입력!$AF$8,데이터입력!$AB$8))),데이터입력!$AB$8)</f>
        <v>00</v>
      </c>
      <c r="P190" s="728" t="str">
        <f>데이터입력!$AC$9</f>
        <v>일반사업[일반]</v>
      </c>
      <c r="Q190" s="729" t="str">
        <f>IFERROR(IF(데이터입력!$AE$2="추경",VLOOKUP($N190,데이터입력!$A:$H,4,FALSE),""),"")</f>
        <v/>
      </c>
      <c r="R190" s="729" t="str">
        <f>IFERROR(IF(데이터입력!$AE$2="추경",VLOOKUP($N190,데이터입력!$A:$H,2,FALSE),""),"")</f>
        <v/>
      </c>
      <c r="S190" s="729" t="str">
        <f>IFERROR(IF(데이터입력!$AE$2="추경",VLOOKUP($N190,데이터입력!$A:$H,5,FALSE),""),"")</f>
        <v/>
      </c>
      <c r="T190" s="729" t="str">
        <f>IFERROR(IF(데이터입력!$AE$2="추경",VLOOKUP($N190,데이터입력!$A:$H,6,FALSE),""),"")</f>
        <v/>
      </c>
      <c r="U190" s="730" t="str">
        <f>IFERROR(IF(데이터입력!$AE$2="추경",VLOOKUP($N190,데이터입력!$A:$L,8,FALSE)+VLOOKUP($N190,데이터입력!$A:$L,9,FALSE)+VLOOKUP($N190,데이터입력!$A:$L,10,FALSE),""),"")</f>
        <v/>
      </c>
      <c r="V190" s="731" t="s">
        <v>136</v>
      </c>
      <c r="W190" s="731" t="s">
        <v>136</v>
      </c>
      <c r="X190" s="731" t="s">
        <v>136</v>
      </c>
      <c r="Y190" s="712"/>
      <c r="Z190" s="235" t="str">
        <f>데이터입력!$AB$8</f>
        <v>00</v>
      </c>
      <c r="AA190" s="238" t="str">
        <f>데이터입력!$AC$9</f>
        <v>일반사업[일반]</v>
      </c>
      <c r="AB190" s="236" t="str">
        <f>IFERROR(IF(데이터입력!$AE$2="추경",VLOOKUP($A190,보수일람표!$A:$M,4,FALSE),""),"")</f>
        <v/>
      </c>
      <c r="AC190" s="236" t="str">
        <f>IFERROR(IF(데이터입력!$AE$2="추경",VLOOKUP($A190,보수일람표!$A:$M,5,FALSE),""),"")</f>
        <v/>
      </c>
      <c r="AD190" s="236" t="str">
        <f>IFERROR(IF(데이터입력!$AE$2="추경",VLOOKUP($A190,보수일람표!$A:$M,6,FALSE),""),"")</f>
        <v/>
      </c>
      <c r="AE190" s="236" t="str">
        <f>IFERROR(IF(데이터입력!$AE$2="추경",VLOOKUP($A190,보수일람표!$A:$M,7,FALSE),""),"")</f>
        <v>직접</v>
      </c>
      <c r="AF190" s="236"/>
      <c r="AG190" s="237">
        <f>IFERROR(IF(데이터입력!$AE$2="추경",VLOOKUP($A190,보수일람표!$A:$M,9,FALSE),""),"")</f>
        <v>0</v>
      </c>
      <c r="AH190" s="237">
        <f>IFERROR(IF(데이터입력!$AE$2="추경",VLOOKUP($A190,보수일람표!$A:$M,10,FALSE),""),"")</f>
        <v>0</v>
      </c>
      <c r="AI190" s="237">
        <f>IFERROR(IF(데이터입력!$AE$2="추경",VLOOKUP($A190,보수일람표!$A:$M,11,FALSE),""),"")</f>
        <v>0</v>
      </c>
      <c r="AJ190" s="237">
        <f>IFERROR(IF(데이터입력!$AE$2="추경",VLOOKUP($A190,보수일람표!$A:$M,12,FALSE),""),"")</f>
        <v>0</v>
      </c>
      <c r="AK190" s="237">
        <f>IFERROR(IF(데이터입력!$AE$2="추경",VLOOKUP($A190,보수일람표!$A:$M,13,FALSE),""),"")</f>
        <v>0</v>
      </c>
    </row>
    <row r="191" spans="1:37">
      <c r="A191" s="233">
        <v>189</v>
      </c>
      <c r="B191" s="719" t="str">
        <f>IFERROR(IF(F191="06",데이터입력!$AB$8,IF(F191="07",데이터입력!$AD$8,IF(F191="05",데이터입력!$AF$8,데이터입력!$AB$8))),데이터입력!$AB$8)</f>
        <v>00</v>
      </c>
      <c r="C191" s="720" t="str">
        <f>데이터입력!$AC$9</f>
        <v>일반사업[일반]</v>
      </c>
      <c r="D191" s="721" t="str">
        <f>IFERROR(IF(AND(데이터입력!$AE$2="추경",데이터입력!$AM$2=TRUE),VLOOKUP($A191,데이터입력!$A:$H,4,FALSE),""),"")</f>
        <v/>
      </c>
      <c r="E191" s="721" t="str">
        <f>IFERROR(IF(AND(데이터입력!$AE$2="추경",데이터입력!$AM$2=TRUE),VLOOKUP($A191,데이터입력!$A:$H,2,FALSE),""),"")</f>
        <v/>
      </c>
      <c r="F191" s="721" t="str">
        <f>IFERROR(IF(AND(데이터입력!$AE$2="추경",데이터입력!$AM$2=TRUE),VLOOKUP($A191,데이터입력!$A:$H,5,FALSE),""),"")</f>
        <v/>
      </c>
      <c r="G191" s="721" t="str">
        <f>IFERROR(IF(AND(데이터입력!$AE$2="추경",데이터입력!$AM$2=TRUE),VLOOKUP($A191,데이터입력!$A:$H,6,FALSE),""),"")</f>
        <v/>
      </c>
      <c r="H191" s="722" t="str">
        <f>IFERROR(IF(AND(데이터입력!$AE$2="추경",데이터입력!$AM$2=TRUE),VLOOKUP($A191,데이터입력!$A:$L,7,FALSE),""),"")</f>
        <v/>
      </c>
      <c r="I191" s="722" t="str">
        <f>IFERROR(IF(AND(데이터입력!$AE$2="추경",데이터입력!$AM$2=TRUE),VLOOKUP($A191,데이터입력!$A:$L,8,FALSE)+VLOOKUP($A191,데이터입력!$A:$L,9,FALSE)+VLOOKUP($A191,데이터입력!$A:$L,10,FALSE),""),"")</f>
        <v/>
      </c>
      <c r="J191" s="723" t="s">
        <v>136</v>
      </c>
      <c r="K191" s="723" t="s">
        <v>136</v>
      </c>
      <c r="L191" s="723" t="s">
        <v>136</v>
      </c>
      <c r="M191" s="715"/>
      <c r="N191" s="233">
        <v>389</v>
      </c>
      <c r="O191" s="727" t="str">
        <f>IFERROR(IF(S191="06",데이터입력!$AB$8,IF(S191="07",데이터입력!$AD$8,IF(S191="05",데이터입력!$AF$8,데이터입력!$AB$8))),데이터입력!$AB$8)</f>
        <v>00</v>
      </c>
      <c r="P191" s="728" t="str">
        <f>데이터입력!$AC$9</f>
        <v>일반사업[일반]</v>
      </c>
      <c r="Q191" s="729" t="str">
        <f>IFERROR(IF(데이터입력!$AE$2="추경",VLOOKUP($N191,데이터입력!$A:$H,4,FALSE),""),"")</f>
        <v/>
      </c>
      <c r="R191" s="729" t="str">
        <f>IFERROR(IF(데이터입력!$AE$2="추경",VLOOKUP($N191,데이터입력!$A:$H,2,FALSE),""),"")</f>
        <v/>
      </c>
      <c r="S191" s="729" t="str">
        <f>IFERROR(IF(데이터입력!$AE$2="추경",VLOOKUP($N191,데이터입력!$A:$H,5,FALSE),""),"")</f>
        <v/>
      </c>
      <c r="T191" s="729" t="str">
        <f>IFERROR(IF(데이터입력!$AE$2="추경",VLOOKUP($N191,데이터입력!$A:$H,6,FALSE),""),"")</f>
        <v/>
      </c>
      <c r="U191" s="730" t="str">
        <f>IFERROR(IF(데이터입력!$AE$2="추경",VLOOKUP($N191,데이터입력!$A:$L,8,FALSE)+VLOOKUP($N191,데이터입력!$A:$L,9,FALSE)+VLOOKUP($N191,데이터입력!$A:$L,10,FALSE),""),"")</f>
        <v/>
      </c>
      <c r="V191" s="731" t="s">
        <v>136</v>
      </c>
      <c r="W191" s="731" t="s">
        <v>136</v>
      </c>
      <c r="X191" s="731" t="s">
        <v>136</v>
      </c>
      <c r="Y191" s="712"/>
      <c r="Z191" s="235" t="str">
        <f>데이터입력!$AB$8</f>
        <v>00</v>
      </c>
      <c r="AA191" s="238" t="str">
        <f>데이터입력!$AC$9</f>
        <v>일반사업[일반]</v>
      </c>
      <c r="AB191" s="236" t="str">
        <f>IFERROR(IF(데이터입력!$AE$2="추경",VLOOKUP($A191,보수일람표!$A:$M,4,FALSE),""),"")</f>
        <v/>
      </c>
      <c r="AC191" s="236" t="str">
        <f>IFERROR(IF(데이터입력!$AE$2="추경",VLOOKUP($A191,보수일람표!$A:$M,5,FALSE),""),"")</f>
        <v/>
      </c>
      <c r="AD191" s="236" t="str">
        <f>IFERROR(IF(데이터입력!$AE$2="추경",VLOOKUP($A191,보수일람표!$A:$M,6,FALSE),""),"")</f>
        <v/>
      </c>
      <c r="AE191" s="236" t="str">
        <f>IFERROR(IF(데이터입력!$AE$2="추경",VLOOKUP($A191,보수일람표!$A:$M,7,FALSE),""),"")</f>
        <v>직접</v>
      </c>
      <c r="AF191" s="236"/>
      <c r="AG191" s="237">
        <f>IFERROR(IF(데이터입력!$AE$2="추경",VLOOKUP($A191,보수일람표!$A:$M,9,FALSE),""),"")</f>
        <v>0</v>
      </c>
      <c r="AH191" s="237">
        <f>IFERROR(IF(데이터입력!$AE$2="추경",VLOOKUP($A191,보수일람표!$A:$M,10,FALSE),""),"")</f>
        <v>0</v>
      </c>
      <c r="AI191" s="237">
        <f>IFERROR(IF(데이터입력!$AE$2="추경",VLOOKUP($A191,보수일람표!$A:$M,11,FALSE),""),"")</f>
        <v>0</v>
      </c>
      <c r="AJ191" s="237">
        <f>IFERROR(IF(데이터입력!$AE$2="추경",VLOOKUP($A191,보수일람표!$A:$M,12,FALSE),""),"")</f>
        <v>0</v>
      </c>
      <c r="AK191" s="237">
        <f>IFERROR(IF(데이터입력!$AE$2="추경",VLOOKUP($A191,보수일람표!$A:$M,13,FALSE),""),"")</f>
        <v>0</v>
      </c>
    </row>
    <row r="192" spans="1:37">
      <c r="A192" s="233">
        <v>190</v>
      </c>
      <c r="B192" s="719" t="str">
        <f>IFERROR(IF(F192="06",데이터입력!$AB$8,IF(F192="07",데이터입력!$AD$8,IF(F192="05",데이터입력!$AF$8,데이터입력!$AB$8))),데이터입력!$AB$8)</f>
        <v>00</v>
      </c>
      <c r="C192" s="720" t="str">
        <f>데이터입력!$AC$9</f>
        <v>일반사업[일반]</v>
      </c>
      <c r="D192" s="721" t="str">
        <f>IFERROR(IF(AND(데이터입력!$AE$2="추경",데이터입력!$AM$2=TRUE),VLOOKUP($A192,데이터입력!$A:$H,4,FALSE),""),"")</f>
        <v/>
      </c>
      <c r="E192" s="721" t="str">
        <f>IFERROR(IF(AND(데이터입력!$AE$2="추경",데이터입력!$AM$2=TRUE),VLOOKUP($A192,데이터입력!$A:$H,2,FALSE),""),"")</f>
        <v/>
      </c>
      <c r="F192" s="721" t="str">
        <f>IFERROR(IF(AND(데이터입력!$AE$2="추경",데이터입력!$AM$2=TRUE),VLOOKUP($A192,데이터입력!$A:$H,5,FALSE),""),"")</f>
        <v/>
      </c>
      <c r="G192" s="721" t="str">
        <f>IFERROR(IF(AND(데이터입력!$AE$2="추경",데이터입력!$AM$2=TRUE),VLOOKUP($A192,데이터입력!$A:$H,6,FALSE),""),"")</f>
        <v/>
      </c>
      <c r="H192" s="722" t="str">
        <f>IFERROR(IF(AND(데이터입력!$AE$2="추경",데이터입력!$AM$2=TRUE),VLOOKUP($A192,데이터입력!$A:$L,7,FALSE),""),"")</f>
        <v/>
      </c>
      <c r="I192" s="722" t="str">
        <f>IFERROR(IF(AND(데이터입력!$AE$2="추경",데이터입력!$AM$2=TRUE),VLOOKUP($A192,데이터입력!$A:$L,8,FALSE)+VLOOKUP($A192,데이터입력!$A:$L,9,FALSE)+VLOOKUP($A192,데이터입력!$A:$L,10,FALSE),""),"")</f>
        <v/>
      </c>
      <c r="J192" s="723" t="s">
        <v>136</v>
      </c>
      <c r="K192" s="723" t="s">
        <v>136</v>
      </c>
      <c r="L192" s="723" t="s">
        <v>136</v>
      </c>
      <c r="M192" s="715"/>
      <c r="N192" s="233">
        <v>390</v>
      </c>
      <c r="O192" s="727" t="str">
        <f>IFERROR(IF(S192="06",데이터입력!$AB$8,IF(S192="07",데이터입력!$AD$8,IF(S192="05",데이터입력!$AF$8,데이터입력!$AB$8))),데이터입력!$AB$8)</f>
        <v>00</v>
      </c>
      <c r="P192" s="728" t="str">
        <f>데이터입력!$AC$9</f>
        <v>일반사업[일반]</v>
      </c>
      <c r="Q192" s="729" t="str">
        <f>IFERROR(IF(데이터입력!$AE$2="추경",VLOOKUP($N192,데이터입력!$A:$H,4,FALSE),""),"")</f>
        <v/>
      </c>
      <c r="R192" s="729" t="str">
        <f>IFERROR(IF(데이터입력!$AE$2="추경",VLOOKUP($N192,데이터입력!$A:$H,2,FALSE),""),"")</f>
        <v/>
      </c>
      <c r="S192" s="729" t="str">
        <f>IFERROR(IF(데이터입력!$AE$2="추경",VLOOKUP($N192,데이터입력!$A:$H,5,FALSE),""),"")</f>
        <v/>
      </c>
      <c r="T192" s="729" t="str">
        <f>IFERROR(IF(데이터입력!$AE$2="추경",VLOOKUP($N192,데이터입력!$A:$H,6,FALSE),""),"")</f>
        <v/>
      </c>
      <c r="U192" s="730" t="str">
        <f>IFERROR(IF(데이터입력!$AE$2="추경",VLOOKUP($N192,데이터입력!$A:$L,8,FALSE)+VLOOKUP($N192,데이터입력!$A:$L,9,FALSE)+VLOOKUP($N192,데이터입력!$A:$L,10,FALSE),""),"")</f>
        <v/>
      </c>
      <c r="V192" s="731" t="s">
        <v>136</v>
      </c>
      <c r="W192" s="731" t="s">
        <v>136</v>
      </c>
      <c r="X192" s="731" t="s">
        <v>136</v>
      </c>
      <c r="Y192" s="712"/>
      <c r="Z192" s="235" t="str">
        <f>데이터입력!$AB$8</f>
        <v>00</v>
      </c>
      <c r="AA192" s="238" t="str">
        <f>데이터입력!$AC$9</f>
        <v>일반사업[일반]</v>
      </c>
      <c r="AB192" s="236" t="str">
        <f>IFERROR(IF(데이터입력!$AE$2="추경",VLOOKUP($A192,보수일람표!$A:$M,4,FALSE),""),"")</f>
        <v/>
      </c>
      <c r="AC192" s="236" t="str">
        <f>IFERROR(IF(데이터입력!$AE$2="추경",VLOOKUP($A192,보수일람표!$A:$M,5,FALSE),""),"")</f>
        <v/>
      </c>
      <c r="AD192" s="236" t="str">
        <f>IFERROR(IF(데이터입력!$AE$2="추경",VLOOKUP($A192,보수일람표!$A:$M,6,FALSE),""),"")</f>
        <v/>
      </c>
      <c r="AE192" s="236" t="str">
        <f>IFERROR(IF(데이터입력!$AE$2="추경",VLOOKUP($A192,보수일람표!$A:$M,7,FALSE),""),"")</f>
        <v>직접</v>
      </c>
      <c r="AF192" s="236"/>
      <c r="AG192" s="237">
        <f>IFERROR(IF(데이터입력!$AE$2="추경",VLOOKUP($A192,보수일람표!$A:$M,9,FALSE),""),"")</f>
        <v>0</v>
      </c>
      <c r="AH192" s="237">
        <f>IFERROR(IF(데이터입력!$AE$2="추경",VLOOKUP($A192,보수일람표!$A:$M,10,FALSE),""),"")</f>
        <v>0</v>
      </c>
      <c r="AI192" s="237">
        <f>IFERROR(IF(데이터입력!$AE$2="추경",VLOOKUP($A192,보수일람표!$A:$M,11,FALSE),""),"")</f>
        <v>0</v>
      </c>
      <c r="AJ192" s="237">
        <f>IFERROR(IF(데이터입력!$AE$2="추경",VLOOKUP($A192,보수일람표!$A:$M,12,FALSE),""),"")</f>
        <v>0</v>
      </c>
      <c r="AK192" s="237">
        <f>IFERROR(IF(데이터입력!$AE$2="추경",VLOOKUP($A192,보수일람표!$A:$M,13,FALSE),""),"")</f>
        <v>0</v>
      </c>
    </row>
    <row r="193" spans="1:37">
      <c r="A193" s="233">
        <v>191</v>
      </c>
      <c r="B193" s="719" t="str">
        <f>IFERROR(IF(F193="06",데이터입력!$AB$8,IF(F193="07",데이터입력!$AD$8,IF(F193="05",데이터입력!$AF$8,데이터입력!$AB$8))),데이터입력!$AB$8)</f>
        <v>00</v>
      </c>
      <c r="C193" s="720" t="str">
        <f>데이터입력!$AC$9</f>
        <v>일반사업[일반]</v>
      </c>
      <c r="D193" s="721" t="str">
        <f>IFERROR(IF(AND(데이터입력!$AE$2="추경",데이터입력!$AM$2=TRUE),VLOOKUP($A193,데이터입력!$A:$H,4,FALSE),""),"")</f>
        <v/>
      </c>
      <c r="E193" s="721" t="str">
        <f>IFERROR(IF(AND(데이터입력!$AE$2="추경",데이터입력!$AM$2=TRUE),VLOOKUP($A193,데이터입력!$A:$H,2,FALSE),""),"")</f>
        <v/>
      </c>
      <c r="F193" s="721" t="str">
        <f>IFERROR(IF(AND(데이터입력!$AE$2="추경",데이터입력!$AM$2=TRUE),VLOOKUP($A193,데이터입력!$A:$H,5,FALSE),""),"")</f>
        <v/>
      </c>
      <c r="G193" s="721" t="str">
        <f>IFERROR(IF(AND(데이터입력!$AE$2="추경",데이터입력!$AM$2=TRUE),VLOOKUP($A193,데이터입력!$A:$H,6,FALSE),""),"")</f>
        <v/>
      </c>
      <c r="H193" s="722" t="str">
        <f>IFERROR(IF(AND(데이터입력!$AE$2="추경",데이터입력!$AM$2=TRUE),VLOOKUP($A193,데이터입력!$A:$L,7,FALSE),""),"")</f>
        <v/>
      </c>
      <c r="I193" s="722" t="str">
        <f>IFERROR(IF(AND(데이터입력!$AE$2="추경",데이터입력!$AM$2=TRUE),VLOOKUP($A193,데이터입력!$A:$L,8,FALSE)+VLOOKUP($A193,데이터입력!$A:$L,9,FALSE)+VLOOKUP($A193,데이터입력!$A:$L,10,FALSE),""),"")</f>
        <v/>
      </c>
      <c r="J193" s="723" t="s">
        <v>136</v>
      </c>
      <c r="K193" s="723" t="s">
        <v>136</v>
      </c>
      <c r="L193" s="723" t="s">
        <v>136</v>
      </c>
      <c r="M193" s="715"/>
      <c r="N193" s="233">
        <v>391</v>
      </c>
      <c r="O193" s="727" t="str">
        <f>IFERROR(IF(S193="06",데이터입력!$AB$8,IF(S193="07",데이터입력!$AD$8,IF(S193="05",데이터입력!$AF$8,데이터입력!$AB$8))),데이터입력!$AB$8)</f>
        <v>00</v>
      </c>
      <c r="P193" s="728" t="str">
        <f>데이터입력!$AC$9</f>
        <v>일반사업[일반]</v>
      </c>
      <c r="Q193" s="729" t="str">
        <f>IFERROR(IF(데이터입력!$AE$2="추경",VLOOKUP($N193,데이터입력!$A:$H,4,FALSE),""),"")</f>
        <v/>
      </c>
      <c r="R193" s="729" t="str">
        <f>IFERROR(IF(데이터입력!$AE$2="추경",VLOOKUP($N193,데이터입력!$A:$H,2,FALSE),""),"")</f>
        <v/>
      </c>
      <c r="S193" s="729" t="str">
        <f>IFERROR(IF(데이터입력!$AE$2="추경",VLOOKUP($N193,데이터입력!$A:$H,5,FALSE),""),"")</f>
        <v/>
      </c>
      <c r="T193" s="729" t="str">
        <f>IFERROR(IF(데이터입력!$AE$2="추경",VLOOKUP($N193,데이터입력!$A:$H,6,FALSE),""),"")</f>
        <v/>
      </c>
      <c r="U193" s="730" t="str">
        <f>IFERROR(IF(데이터입력!$AE$2="추경",VLOOKUP($N193,데이터입력!$A:$L,8,FALSE)+VLOOKUP($N193,데이터입력!$A:$L,9,FALSE)+VLOOKUP($N193,데이터입력!$A:$L,10,FALSE),""),"")</f>
        <v/>
      </c>
      <c r="V193" s="731" t="s">
        <v>136</v>
      </c>
      <c r="W193" s="731" t="s">
        <v>136</v>
      </c>
      <c r="X193" s="731" t="s">
        <v>136</v>
      </c>
      <c r="Y193" s="712"/>
      <c r="Z193" s="235" t="str">
        <f>데이터입력!$AB$8</f>
        <v>00</v>
      </c>
      <c r="AA193" s="238" t="str">
        <f>데이터입력!$AC$9</f>
        <v>일반사업[일반]</v>
      </c>
      <c r="AB193" s="236" t="str">
        <f>IFERROR(IF(데이터입력!$AE$2="추경",VLOOKUP($A193,보수일람표!$A:$M,4,FALSE),""),"")</f>
        <v/>
      </c>
      <c r="AC193" s="236" t="str">
        <f>IFERROR(IF(데이터입력!$AE$2="추경",VLOOKUP($A193,보수일람표!$A:$M,5,FALSE),""),"")</f>
        <v/>
      </c>
      <c r="AD193" s="236" t="str">
        <f>IFERROR(IF(데이터입력!$AE$2="추경",VLOOKUP($A193,보수일람표!$A:$M,6,FALSE),""),"")</f>
        <v/>
      </c>
      <c r="AE193" s="236" t="str">
        <f>IFERROR(IF(데이터입력!$AE$2="추경",VLOOKUP($A193,보수일람표!$A:$M,7,FALSE),""),"")</f>
        <v>직접</v>
      </c>
      <c r="AF193" s="236"/>
      <c r="AG193" s="237">
        <f>IFERROR(IF(데이터입력!$AE$2="추경",VLOOKUP($A193,보수일람표!$A:$M,9,FALSE),""),"")</f>
        <v>0</v>
      </c>
      <c r="AH193" s="237">
        <f>IFERROR(IF(데이터입력!$AE$2="추경",VLOOKUP($A193,보수일람표!$A:$M,10,FALSE),""),"")</f>
        <v>0</v>
      </c>
      <c r="AI193" s="237">
        <f>IFERROR(IF(데이터입력!$AE$2="추경",VLOOKUP($A193,보수일람표!$A:$M,11,FALSE),""),"")</f>
        <v>0</v>
      </c>
      <c r="AJ193" s="237">
        <f>IFERROR(IF(데이터입력!$AE$2="추경",VLOOKUP($A193,보수일람표!$A:$M,12,FALSE),""),"")</f>
        <v>0</v>
      </c>
      <c r="AK193" s="237">
        <f>IFERROR(IF(데이터입력!$AE$2="추경",VLOOKUP($A193,보수일람표!$A:$M,13,FALSE),""),"")</f>
        <v>0</v>
      </c>
    </row>
    <row r="194" spans="1:37">
      <c r="A194" s="233">
        <v>192</v>
      </c>
      <c r="B194" s="719" t="str">
        <f>IFERROR(IF(F194="06",데이터입력!$AB$8,IF(F194="07",데이터입력!$AD$8,IF(F194="05",데이터입력!$AF$8,데이터입력!$AB$8))),데이터입력!$AB$8)</f>
        <v>00</v>
      </c>
      <c r="C194" s="720" t="str">
        <f>데이터입력!$AC$9</f>
        <v>일반사업[일반]</v>
      </c>
      <c r="D194" s="721" t="str">
        <f>IFERROR(IF(AND(데이터입력!$AE$2="추경",데이터입력!$AM$2=TRUE),VLOOKUP($A194,데이터입력!$A:$H,4,FALSE),""),"")</f>
        <v/>
      </c>
      <c r="E194" s="721" t="str">
        <f>IFERROR(IF(AND(데이터입력!$AE$2="추경",데이터입력!$AM$2=TRUE),VLOOKUP($A194,데이터입력!$A:$H,2,FALSE),""),"")</f>
        <v/>
      </c>
      <c r="F194" s="721" t="str">
        <f>IFERROR(IF(AND(데이터입력!$AE$2="추경",데이터입력!$AM$2=TRUE),VLOOKUP($A194,데이터입력!$A:$H,5,FALSE),""),"")</f>
        <v/>
      </c>
      <c r="G194" s="721" t="str">
        <f>IFERROR(IF(AND(데이터입력!$AE$2="추경",데이터입력!$AM$2=TRUE),VLOOKUP($A194,데이터입력!$A:$H,6,FALSE),""),"")</f>
        <v/>
      </c>
      <c r="H194" s="722" t="str">
        <f>IFERROR(IF(AND(데이터입력!$AE$2="추경",데이터입력!$AM$2=TRUE),VLOOKUP($A194,데이터입력!$A:$L,7,FALSE),""),"")</f>
        <v/>
      </c>
      <c r="I194" s="722" t="str">
        <f>IFERROR(IF(AND(데이터입력!$AE$2="추경",데이터입력!$AM$2=TRUE),VLOOKUP($A194,데이터입력!$A:$L,8,FALSE)+VLOOKUP($A194,데이터입력!$A:$L,9,FALSE)+VLOOKUP($A194,데이터입력!$A:$L,10,FALSE),""),"")</f>
        <v/>
      </c>
      <c r="J194" s="723" t="s">
        <v>136</v>
      </c>
      <c r="K194" s="723" t="s">
        <v>136</v>
      </c>
      <c r="L194" s="723" t="s">
        <v>136</v>
      </c>
      <c r="M194" s="715"/>
      <c r="N194" s="233">
        <v>392</v>
      </c>
      <c r="O194" s="727" t="str">
        <f>IFERROR(IF(S194="06",데이터입력!$AB$8,IF(S194="07",데이터입력!$AD$8,IF(S194="05",데이터입력!$AF$8,데이터입력!$AB$8))),데이터입력!$AB$8)</f>
        <v>00</v>
      </c>
      <c r="P194" s="728" t="str">
        <f>데이터입력!$AC$9</f>
        <v>일반사업[일반]</v>
      </c>
      <c r="Q194" s="729" t="str">
        <f>IFERROR(IF(데이터입력!$AE$2="추경",VLOOKUP($N194,데이터입력!$A:$H,4,FALSE),""),"")</f>
        <v/>
      </c>
      <c r="R194" s="729" t="str">
        <f>IFERROR(IF(데이터입력!$AE$2="추경",VLOOKUP($N194,데이터입력!$A:$H,2,FALSE),""),"")</f>
        <v/>
      </c>
      <c r="S194" s="729" t="str">
        <f>IFERROR(IF(데이터입력!$AE$2="추경",VLOOKUP($N194,데이터입력!$A:$H,5,FALSE),""),"")</f>
        <v/>
      </c>
      <c r="T194" s="729" t="str">
        <f>IFERROR(IF(데이터입력!$AE$2="추경",VLOOKUP($N194,데이터입력!$A:$H,6,FALSE),""),"")</f>
        <v/>
      </c>
      <c r="U194" s="730" t="str">
        <f>IFERROR(IF(데이터입력!$AE$2="추경",VLOOKUP($N194,데이터입력!$A:$L,8,FALSE)+VLOOKUP($N194,데이터입력!$A:$L,9,FALSE)+VLOOKUP($N194,데이터입력!$A:$L,10,FALSE),""),"")</f>
        <v/>
      </c>
      <c r="V194" s="731" t="s">
        <v>136</v>
      </c>
      <c r="W194" s="731" t="s">
        <v>136</v>
      </c>
      <c r="X194" s="731" t="s">
        <v>136</v>
      </c>
      <c r="Y194" s="712"/>
      <c r="Z194" s="235" t="str">
        <f>데이터입력!$AB$8</f>
        <v>00</v>
      </c>
      <c r="AA194" s="238" t="str">
        <f>데이터입력!$AC$9</f>
        <v>일반사업[일반]</v>
      </c>
      <c r="AB194" s="236" t="str">
        <f>IFERROR(IF(데이터입력!$AE$2="추경",VLOOKUP($A194,보수일람표!$A:$M,4,FALSE),""),"")</f>
        <v/>
      </c>
      <c r="AC194" s="236" t="str">
        <f>IFERROR(IF(데이터입력!$AE$2="추경",VLOOKUP($A194,보수일람표!$A:$M,5,FALSE),""),"")</f>
        <v/>
      </c>
      <c r="AD194" s="236" t="str">
        <f>IFERROR(IF(데이터입력!$AE$2="추경",VLOOKUP($A194,보수일람표!$A:$M,6,FALSE),""),"")</f>
        <v/>
      </c>
      <c r="AE194" s="236" t="str">
        <f>IFERROR(IF(데이터입력!$AE$2="추경",VLOOKUP($A194,보수일람표!$A:$M,7,FALSE),""),"")</f>
        <v>직접</v>
      </c>
      <c r="AF194" s="236"/>
      <c r="AG194" s="237">
        <f>IFERROR(IF(데이터입력!$AE$2="추경",VLOOKUP($A194,보수일람표!$A:$M,9,FALSE),""),"")</f>
        <v>0</v>
      </c>
      <c r="AH194" s="237">
        <f>IFERROR(IF(데이터입력!$AE$2="추경",VLOOKUP($A194,보수일람표!$A:$M,10,FALSE),""),"")</f>
        <v>0</v>
      </c>
      <c r="AI194" s="237">
        <f>IFERROR(IF(데이터입력!$AE$2="추경",VLOOKUP($A194,보수일람표!$A:$M,11,FALSE),""),"")</f>
        <v>0</v>
      </c>
      <c r="AJ194" s="237">
        <f>IFERROR(IF(데이터입력!$AE$2="추경",VLOOKUP($A194,보수일람표!$A:$M,12,FALSE),""),"")</f>
        <v>0</v>
      </c>
      <c r="AK194" s="237">
        <f>IFERROR(IF(데이터입력!$AE$2="추경",VLOOKUP($A194,보수일람표!$A:$M,13,FALSE),""),"")</f>
        <v>0</v>
      </c>
    </row>
    <row r="195" spans="1:37">
      <c r="A195" s="233">
        <v>193</v>
      </c>
      <c r="B195" s="719" t="str">
        <f>IFERROR(IF(F195="06",데이터입력!$AB$8,IF(F195="07",데이터입력!$AD$8,IF(F195="05",데이터입력!$AF$8,데이터입력!$AB$8))),데이터입력!$AB$8)</f>
        <v>00</v>
      </c>
      <c r="C195" s="720" t="str">
        <f>데이터입력!$AC$9</f>
        <v>일반사업[일반]</v>
      </c>
      <c r="D195" s="721" t="str">
        <f>IFERROR(IF(AND(데이터입력!$AE$2="추경",데이터입력!$AM$2=TRUE),VLOOKUP($A195,데이터입력!$A:$H,4,FALSE),""),"")</f>
        <v/>
      </c>
      <c r="E195" s="721" t="str">
        <f>IFERROR(IF(AND(데이터입력!$AE$2="추경",데이터입력!$AM$2=TRUE),VLOOKUP($A195,데이터입력!$A:$H,2,FALSE),""),"")</f>
        <v/>
      </c>
      <c r="F195" s="721" t="str">
        <f>IFERROR(IF(AND(데이터입력!$AE$2="추경",데이터입력!$AM$2=TRUE),VLOOKUP($A195,데이터입력!$A:$H,5,FALSE),""),"")</f>
        <v/>
      </c>
      <c r="G195" s="721" t="str">
        <f>IFERROR(IF(AND(데이터입력!$AE$2="추경",데이터입력!$AM$2=TRUE),VLOOKUP($A195,데이터입력!$A:$H,6,FALSE),""),"")</f>
        <v/>
      </c>
      <c r="H195" s="722" t="str">
        <f>IFERROR(IF(AND(데이터입력!$AE$2="추경",데이터입력!$AM$2=TRUE),VLOOKUP($A195,데이터입력!$A:$L,7,FALSE),""),"")</f>
        <v/>
      </c>
      <c r="I195" s="722" t="str">
        <f>IFERROR(IF(AND(데이터입력!$AE$2="추경",데이터입력!$AM$2=TRUE),VLOOKUP($A195,데이터입력!$A:$L,8,FALSE)+VLOOKUP($A195,데이터입력!$A:$L,9,FALSE)+VLOOKUP($A195,데이터입력!$A:$L,10,FALSE),""),"")</f>
        <v/>
      </c>
      <c r="J195" s="723" t="s">
        <v>136</v>
      </c>
      <c r="K195" s="723" t="s">
        <v>136</v>
      </c>
      <c r="L195" s="723" t="s">
        <v>136</v>
      </c>
      <c r="M195" s="715"/>
      <c r="N195" s="233">
        <v>393</v>
      </c>
      <c r="O195" s="727" t="str">
        <f>IFERROR(IF(S195="06",데이터입력!$AB$8,IF(S195="07",데이터입력!$AD$8,IF(S195="05",데이터입력!$AF$8,데이터입력!$AB$8))),데이터입력!$AB$8)</f>
        <v>00</v>
      </c>
      <c r="P195" s="728" t="str">
        <f>데이터입력!$AC$9</f>
        <v>일반사업[일반]</v>
      </c>
      <c r="Q195" s="729" t="str">
        <f>IFERROR(IF(데이터입력!$AE$2="추경",VLOOKUP($N195,데이터입력!$A:$H,4,FALSE),""),"")</f>
        <v/>
      </c>
      <c r="R195" s="729" t="str">
        <f>IFERROR(IF(데이터입력!$AE$2="추경",VLOOKUP($N195,데이터입력!$A:$H,2,FALSE),""),"")</f>
        <v/>
      </c>
      <c r="S195" s="729" t="str">
        <f>IFERROR(IF(데이터입력!$AE$2="추경",VLOOKUP($N195,데이터입력!$A:$H,5,FALSE),""),"")</f>
        <v/>
      </c>
      <c r="T195" s="729" t="str">
        <f>IFERROR(IF(데이터입력!$AE$2="추경",VLOOKUP($N195,데이터입력!$A:$H,6,FALSE),""),"")</f>
        <v/>
      </c>
      <c r="U195" s="730" t="str">
        <f>IFERROR(IF(데이터입력!$AE$2="추경",VLOOKUP($N195,데이터입력!$A:$L,8,FALSE)+VLOOKUP($N195,데이터입력!$A:$L,9,FALSE)+VLOOKUP($N195,데이터입력!$A:$L,10,FALSE),""),"")</f>
        <v/>
      </c>
      <c r="V195" s="731" t="s">
        <v>136</v>
      </c>
      <c r="W195" s="731" t="s">
        <v>136</v>
      </c>
      <c r="X195" s="731" t="s">
        <v>136</v>
      </c>
      <c r="Y195" s="712"/>
      <c r="Z195" s="235" t="str">
        <f>데이터입력!$AB$8</f>
        <v>00</v>
      </c>
      <c r="AA195" s="238" t="str">
        <f>데이터입력!$AC$9</f>
        <v>일반사업[일반]</v>
      </c>
      <c r="AB195" s="236" t="str">
        <f>IFERROR(IF(데이터입력!$AE$2="추경",VLOOKUP($A195,보수일람표!$A:$M,4,FALSE),""),"")</f>
        <v/>
      </c>
      <c r="AC195" s="236" t="str">
        <f>IFERROR(IF(데이터입력!$AE$2="추경",VLOOKUP($A195,보수일람표!$A:$M,5,FALSE),""),"")</f>
        <v/>
      </c>
      <c r="AD195" s="236" t="str">
        <f>IFERROR(IF(데이터입력!$AE$2="추경",VLOOKUP($A195,보수일람표!$A:$M,6,FALSE),""),"")</f>
        <v/>
      </c>
      <c r="AE195" s="236" t="str">
        <f>IFERROR(IF(데이터입력!$AE$2="추경",VLOOKUP($A195,보수일람표!$A:$M,7,FALSE),""),"")</f>
        <v>직접</v>
      </c>
      <c r="AF195" s="236"/>
      <c r="AG195" s="237">
        <f>IFERROR(IF(데이터입력!$AE$2="추경",VLOOKUP($A195,보수일람표!$A:$M,9,FALSE),""),"")</f>
        <v>0</v>
      </c>
      <c r="AH195" s="237">
        <f>IFERROR(IF(데이터입력!$AE$2="추경",VLOOKUP($A195,보수일람표!$A:$M,10,FALSE),""),"")</f>
        <v>0</v>
      </c>
      <c r="AI195" s="237">
        <f>IFERROR(IF(데이터입력!$AE$2="추경",VLOOKUP($A195,보수일람표!$A:$M,11,FALSE),""),"")</f>
        <v>0</v>
      </c>
      <c r="AJ195" s="237">
        <f>IFERROR(IF(데이터입력!$AE$2="추경",VLOOKUP($A195,보수일람표!$A:$M,12,FALSE),""),"")</f>
        <v>0</v>
      </c>
      <c r="AK195" s="237">
        <f>IFERROR(IF(데이터입력!$AE$2="추경",VLOOKUP($A195,보수일람표!$A:$M,13,FALSE),""),"")</f>
        <v>0</v>
      </c>
    </row>
    <row r="196" spans="1:37">
      <c r="A196" s="233">
        <v>194</v>
      </c>
      <c r="B196" s="719" t="str">
        <f>IFERROR(IF(F196="06",데이터입력!$AB$8,IF(F196="07",데이터입력!$AD$8,IF(F196="05",데이터입력!$AF$8,데이터입력!$AB$8))),데이터입력!$AB$8)</f>
        <v>00</v>
      </c>
      <c r="C196" s="720" t="str">
        <f>데이터입력!$AC$9</f>
        <v>일반사업[일반]</v>
      </c>
      <c r="D196" s="721" t="str">
        <f>IFERROR(IF(AND(데이터입력!$AE$2="추경",데이터입력!$AM$2=TRUE),VLOOKUP($A196,데이터입력!$A:$H,4,FALSE),""),"")</f>
        <v/>
      </c>
      <c r="E196" s="721" t="str">
        <f>IFERROR(IF(AND(데이터입력!$AE$2="추경",데이터입력!$AM$2=TRUE),VLOOKUP($A196,데이터입력!$A:$H,2,FALSE),""),"")</f>
        <v/>
      </c>
      <c r="F196" s="721" t="str">
        <f>IFERROR(IF(AND(데이터입력!$AE$2="추경",데이터입력!$AM$2=TRUE),VLOOKUP($A196,데이터입력!$A:$H,5,FALSE),""),"")</f>
        <v/>
      </c>
      <c r="G196" s="721" t="str">
        <f>IFERROR(IF(AND(데이터입력!$AE$2="추경",데이터입력!$AM$2=TRUE),VLOOKUP($A196,데이터입력!$A:$H,6,FALSE),""),"")</f>
        <v/>
      </c>
      <c r="H196" s="722" t="str">
        <f>IFERROR(IF(AND(데이터입력!$AE$2="추경",데이터입력!$AM$2=TRUE),VLOOKUP($A196,데이터입력!$A:$L,7,FALSE),""),"")</f>
        <v/>
      </c>
      <c r="I196" s="722" t="str">
        <f>IFERROR(IF(AND(데이터입력!$AE$2="추경",데이터입력!$AM$2=TRUE),VLOOKUP($A196,데이터입력!$A:$L,8,FALSE)+VLOOKUP($A196,데이터입력!$A:$L,9,FALSE)+VLOOKUP($A196,데이터입력!$A:$L,10,FALSE),""),"")</f>
        <v/>
      </c>
      <c r="J196" s="723" t="s">
        <v>136</v>
      </c>
      <c r="K196" s="723" t="s">
        <v>136</v>
      </c>
      <c r="L196" s="723" t="s">
        <v>136</v>
      </c>
      <c r="M196" s="715"/>
      <c r="N196" s="233">
        <v>394</v>
      </c>
      <c r="O196" s="727" t="str">
        <f>IFERROR(IF(S196="06",데이터입력!$AB$8,IF(S196="07",데이터입력!$AD$8,IF(S196="05",데이터입력!$AF$8,데이터입력!$AB$8))),데이터입력!$AB$8)</f>
        <v>00</v>
      </c>
      <c r="P196" s="728" t="str">
        <f>데이터입력!$AC$9</f>
        <v>일반사업[일반]</v>
      </c>
      <c r="Q196" s="729" t="str">
        <f>IFERROR(IF(데이터입력!$AE$2="추경",VLOOKUP($N196,데이터입력!$A:$H,4,FALSE),""),"")</f>
        <v/>
      </c>
      <c r="R196" s="729" t="str">
        <f>IFERROR(IF(데이터입력!$AE$2="추경",VLOOKUP($N196,데이터입력!$A:$H,2,FALSE),""),"")</f>
        <v/>
      </c>
      <c r="S196" s="729" t="str">
        <f>IFERROR(IF(데이터입력!$AE$2="추경",VLOOKUP($N196,데이터입력!$A:$H,5,FALSE),""),"")</f>
        <v/>
      </c>
      <c r="T196" s="729" t="str">
        <f>IFERROR(IF(데이터입력!$AE$2="추경",VLOOKUP($N196,데이터입력!$A:$H,6,FALSE),""),"")</f>
        <v/>
      </c>
      <c r="U196" s="730" t="str">
        <f>IFERROR(IF(데이터입력!$AE$2="추경",VLOOKUP($N196,데이터입력!$A:$L,8,FALSE)+VLOOKUP($N196,데이터입력!$A:$L,9,FALSE)+VLOOKUP($N196,데이터입력!$A:$L,10,FALSE),""),"")</f>
        <v/>
      </c>
      <c r="V196" s="731" t="s">
        <v>136</v>
      </c>
      <c r="W196" s="731" t="s">
        <v>136</v>
      </c>
      <c r="X196" s="731" t="s">
        <v>136</v>
      </c>
      <c r="Y196" s="712"/>
      <c r="Z196" s="235" t="str">
        <f>데이터입력!$AB$8</f>
        <v>00</v>
      </c>
      <c r="AA196" s="238" t="str">
        <f>데이터입력!$AC$9</f>
        <v>일반사업[일반]</v>
      </c>
      <c r="AB196" s="236" t="str">
        <f>IFERROR(IF(데이터입력!$AE$2="추경",VLOOKUP($A196,보수일람표!$A:$M,4,FALSE),""),"")</f>
        <v/>
      </c>
      <c r="AC196" s="236" t="str">
        <f>IFERROR(IF(데이터입력!$AE$2="추경",VLOOKUP($A196,보수일람표!$A:$M,5,FALSE),""),"")</f>
        <v/>
      </c>
      <c r="AD196" s="236" t="str">
        <f>IFERROR(IF(데이터입력!$AE$2="추경",VLOOKUP($A196,보수일람표!$A:$M,6,FALSE),""),"")</f>
        <v/>
      </c>
      <c r="AE196" s="236" t="str">
        <f>IFERROR(IF(데이터입력!$AE$2="추경",VLOOKUP($A196,보수일람표!$A:$M,7,FALSE),""),"")</f>
        <v>직접</v>
      </c>
      <c r="AF196" s="236"/>
      <c r="AG196" s="237">
        <f>IFERROR(IF(데이터입력!$AE$2="추경",VLOOKUP($A196,보수일람표!$A:$M,9,FALSE),""),"")</f>
        <v>0</v>
      </c>
      <c r="AH196" s="237">
        <f>IFERROR(IF(데이터입력!$AE$2="추경",VLOOKUP($A196,보수일람표!$A:$M,10,FALSE),""),"")</f>
        <v>0</v>
      </c>
      <c r="AI196" s="237">
        <f>IFERROR(IF(데이터입력!$AE$2="추경",VLOOKUP($A196,보수일람표!$A:$M,11,FALSE),""),"")</f>
        <v>0</v>
      </c>
      <c r="AJ196" s="237">
        <f>IFERROR(IF(데이터입력!$AE$2="추경",VLOOKUP($A196,보수일람표!$A:$M,12,FALSE),""),"")</f>
        <v>0</v>
      </c>
      <c r="AK196" s="237">
        <f>IFERROR(IF(데이터입력!$AE$2="추경",VLOOKUP($A196,보수일람표!$A:$M,13,FALSE),""),"")</f>
        <v>0</v>
      </c>
    </row>
    <row r="197" spans="1:37">
      <c r="A197" s="233">
        <v>195</v>
      </c>
      <c r="B197" s="719" t="str">
        <f>IFERROR(IF(F197="06",데이터입력!$AB$8,IF(F197="07",데이터입력!$AD$8,IF(F197="05",데이터입력!$AF$8,데이터입력!$AB$8))),데이터입력!$AB$8)</f>
        <v>00</v>
      </c>
      <c r="C197" s="720" t="str">
        <f>데이터입력!$AC$9</f>
        <v>일반사업[일반]</v>
      </c>
      <c r="D197" s="721" t="str">
        <f>IFERROR(IF(AND(데이터입력!$AE$2="추경",데이터입력!$AM$2=TRUE),VLOOKUP($A197,데이터입력!$A:$H,4,FALSE),""),"")</f>
        <v/>
      </c>
      <c r="E197" s="721" t="str">
        <f>IFERROR(IF(AND(데이터입력!$AE$2="추경",데이터입력!$AM$2=TRUE),VLOOKUP($A197,데이터입력!$A:$H,2,FALSE),""),"")</f>
        <v/>
      </c>
      <c r="F197" s="721" t="str">
        <f>IFERROR(IF(AND(데이터입력!$AE$2="추경",데이터입력!$AM$2=TRUE),VLOOKUP($A197,데이터입력!$A:$H,5,FALSE),""),"")</f>
        <v/>
      </c>
      <c r="G197" s="721" t="str">
        <f>IFERROR(IF(AND(데이터입력!$AE$2="추경",데이터입력!$AM$2=TRUE),VLOOKUP($A197,데이터입력!$A:$H,6,FALSE),""),"")</f>
        <v/>
      </c>
      <c r="H197" s="722" t="str">
        <f>IFERROR(IF(AND(데이터입력!$AE$2="추경",데이터입력!$AM$2=TRUE),VLOOKUP($A197,데이터입력!$A:$L,7,FALSE),""),"")</f>
        <v/>
      </c>
      <c r="I197" s="722" t="str">
        <f>IFERROR(IF(AND(데이터입력!$AE$2="추경",데이터입력!$AM$2=TRUE),VLOOKUP($A197,데이터입력!$A:$L,8,FALSE)+VLOOKUP($A197,데이터입력!$A:$L,9,FALSE)+VLOOKUP($A197,데이터입력!$A:$L,10,FALSE),""),"")</f>
        <v/>
      </c>
      <c r="J197" s="723" t="s">
        <v>136</v>
      </c>
      <c r="K197" s="723" t="s">
        <v>136</v>
      </c>
      <c r="L197" s="723" t="s">
        <v>136</v>
      </c>
      <c r="M197" s="715"/>
      <c r="N197" s="233">
        <v>395</v>
      </c>
      <c r="O197" s="727" t="str">
        <f>IFERROR(IF(S197="06",데이터입력!$AB$8,IF(S197="07",데이터입력!$AD$8,IF(S197="05",데이터입력!$AF$8,데이터입력!$AB$8))),데이터입력!$AB$8)</f>
        <v>00</v>
      </c>
      <c r="P197" s="728" t="str">
        <f>데이터입력!$AC$9</f>
        <v>일반사업[일반]</v>
      </c>
      <c r="Q197" s="729" t="str">
        <f>IFERROR(IF(데이터입력!$AE$2="추경",VLOOKUP($N197,데이터입력!$A:$H,4,FALSE),""),"")</f>
        <v/>
      </c>
      <c r="R197" s="729" t="str">
        <f>IFERROR(IF(데이터입력!$AE$2="추경",VLOOKUP($N197,데이터입력!$A:$H,2,FALSE),""),"")</f>
        <v/>
      </c>
      <c r="S197" s="729" t="str">
        <f>IFERROR(IF(데이터입력!$AE$2="추경",VLOOKUP($N197,데이터입력!$A:$H,5,FALSE),""),"")</f>
        <v/>
      </c>
      <c r="T197" s="729" t="str">
        <f>IFERROR(IF(데이터입력!$AE$2="추경",VLOOKUP($N197,데이터입력!$A:$H,6,FALSE),""),"")</f>
        <v/>
      </c>
      <c r="U197" s="730" t="str">
        <f>IFERROR(IF(데이터입력!$AE$2="추경",VLOOKUP($N197,데이터입력!$A:$L,8,FALSE)+VLOOKUP($N197,데이터입력!$A:$L,9,FALSE)+VLOOKUP($N197,데이터입력!$A:$L,10,FALSE),""),"")</f>
        <v/>
      </c>
      <c r="V197" s="731" t="s">
        <v>136</v>
      </c>
      <c r="W197" s="731" t="s">
        <v>136</v>
      </c>
      <c r="X197" s="731" t="s">
        <v>136</v>
      </c>
      <c r="Y197" s="712"/>
      <c r="Z197" s="235" t="str">
        <f>데이터입력!$AB$8</f>
        <v>00</v>
      </c>
      <c r="AA197" s="238" t="str">
        <f>데이터입력!$AC$9</f>
        <v>일반사업[일반]</v>
      </c>
      <c r="AB197" s="236" t="str">
        <f>IFERROR(IF(데이터입력!$AE$2="추경",VLOOKUP($A197,보수일람표!$A:$M,4,FALSE),""),"")</f>
        <v/>
      </c>
      <c r="AC197" s="236" t="str">
        <f>IFERROR(IF(데이터입력!$AE$2="추경",VLOOKUP($A197,보수일람표!$A:$M,5,FALSE),""),"")</f>
        <v/>
      </c>
      <c r="AD197" s="236" t="str">
        <f>IFERROR(IF(데이터입력!$AE$2="추경",VLOOKUP($A197,보수일람표!$A:$M,6,FALSE),""),"")</f>
        <v/>
      </c>
      <c r="AE197" s="236" t="str">
        <f>IFERROR(IF(데이터입력!$AE$2="추경",VLOOKUP($A197,보수일람표!$A:$M,7,FALSE),""),"")</f>
        <v>직접</v>
      </c>
      <c r="AF197" s="236"/>
      <c r="AG197" s="237">
        <f>IFERROR(IF(데이터입력!$AE$2="추경",VLOOKUP($A197,보수일람표!$A:$M,9,FALSE),""),"")</f>
        <v>0</v>
      </c>
      <c r="AH197" s="237">
        <f>IFERROR(IF(데이터입력!$AE$2="추경",VLOOKUP($A197,보수일람표!$A:$M,10,FALSE),""),"")</f>
        <v>0</v>
      </c>
      <c r="AI197" s="237">
        <f>IFERROR(IF(데이터입력!$AE$2="추경",VLOOKUP($A197,보수일람표!$A:$M,11,FALSE),""),"")</f>
        <v>0</v>
      </c>
      <c r="AJ197" s="237">
        <f>IFERROR(IF(데이터입력!$AE$2="추경",VLOOKUP($A197,보수일람표!$A:$M,12,FALSE),""),"")</f>
        <v>0</v>
      </c>
      <c r="AK197" s="237">
        <f>IFERROR(IF(데이터입력!$AE$2="추경",VLOOKUP($A197,보수일람표!$A:$M,13,FALSE),""),"")</f>
        <v>0</v>
      </c>
    </row>
    <row r="198" spans="1:37">
      <c r="A198" s="233">
        <v>196</v>
      </c>
      <c r="B198" s="719" t="str">
        <f>IFERROR(IF(F198="06",데이터입력!$AB$8,IF(F198="07",데이터입력!$AD$8,IF(F198="05",데이터입력!$AF$8,데이터입력!$AB$8))),데이터입력!$AB$8)</f>
        <v>00</v>
      </c>
      <c r="C198" s="720" t="str">
        <f>데이터입력!$AC$9</f>
        <v>일반사업[일반]</v>
      </c>
      <c r="D198" s="721" t="str">
        <f>IFERROR(IF(AND(데이터입력!$AE$2="추경",데이터입력!$AM$2=TRUE),VLOOKUP($A198,데이터입력!$A:$H,4,FALSE),""),"")</f>
        <v/>
      </c>
      <c r="E198" s="721" t="str">
        <f>IFERROR(IF(AND(데이터입력!$AE$2="추경",데이터입력!$AM$2=TRUE),VLOOKUP($A198,데이터입력!$A:$H,2,FALSE),""),"")</f>
        <v/>
      </c>
      <c r="F198" s="721" t="str">
        <f>IFERROR(IF(AND(데이터입력!$AE$2="추경",데이터입력!$AM$2=TRUE),VLOOKUP($A198,데이터입력!$A:$H,5,FALSE),""),"")</f>
        <v/>
      </c>
      <c r="G198" s="721" t="str">
        <f>IFERROR(IF(AND(데이터입력!$AE$2="추경",데이터입력!$AM$2=TRUE),VLOOKUP($A198,데이터입력!$A:$H,6,FALSE),""),"")</f>
        <v/>
      </c>
      <c r="H198" s="722" t="str">
        <f>IFERROR(IF(AND(데이터입력!$AE$2="추경",데이터입력!$AM$2=TRUE),VLOOKUP($A198,데이터입력!$A:$L,7,FALSE),""),"")</f>
        <v/>
      </c>
      <c r="I198" s="722" t="str">
        <f>IFERROR(IF(AND(데이터입력!$AE$2="추경",데이터입력!$AM$2=TRUE),VLOOKUP($A198,데이터입력!$A:$L,8,FALSE)+VLOOKUP($A198,데이터입력!$A:$L,9,FALSE)+VLOOKUP($A198,데이터입력!$A:$L,10,FALSE),""),"")</f>
        <v/>
      </c>
      <c r="J198" s="723" t="s">
        <v>136</v>
      </c>
      <c r="K198" s="723" t="s">
        <v>136</v>
      </c>
      <c r="L198" s="723" t="s">
        <v>136</v>
      </c>
      <c r="M198" s="715"/>
      <c r="N198" s="233">
        <v>396</v>
      </c>
      <c r="O198" s="727" t="str">
        <f>IFERROR(IF(S198="06",데이터입력!$AB$8,IF(S198="07",데이터입력!$AD$8,IF(S198="05",데이터입력!$AF$8,데이터입력!$AB$8))),데이터입력!$AB$8)</f>
        <v>00</v>
      </c>
      <c r="P198" s="728" t="str">
        <f>데이터입력!$AC$9</f>
        <v>일반사업[일반]</v>
      </c>
      <c r="Q198" s="729" t="str">
        <f>IFERROR(IF(데이터입력!$AE$2="추경",VLOOKUP($N198,데이터입력!$A:$H,4,FALSE),""),"")</f>
        <v/>
      </c>
      <c r="R198" s="729" t="str">
        <f>IFERROR(IF(데이터입력!$AE$2="추경",VLOOKUP($N198,데이터입력!$A:$H,2,FALSE),""),"")</f>
        <v/>
      </c>
      <c r="S198" s="729" t="str">
        <f>IFERROR(IF(데이터입력!$AE$2="추경",VLOOKUP($N198,데이터입력!$A:$H,5,FALSE),""),"")</f>
        <v/>
      </c>
      <c r="T198" s="729" t="str">
        <f>IFERROR(IF(데이터입력!$AE$2="추경",VLOOKUP($N198,데이터입력!$A:$H,6,FALSE),""),"")</f>
        <v/>
      </c>
      <c r="U198" s="730" t="str">
        <f>IFERROR(IF(데이터입력!$AE$2="추경",VLOOKUP($N198,데이터입력!$A:$L,8,FALSE)+VLOOKUP($N198,데이터입력!$A:$L,9,FALSE)+VLOOKUP($N198,데이터입력!$A:$L,10,FALSE),""),"")</f>
        <v/>
      </c>
      <c r="V198" s="731" t="s">
        <v>136</v>
      </c>
      <c r="W198" s="731" t="s">
        <v>136</v>
      </c>
      <c r="X198" s="731" t="s">
        <v>136</v>
      </c>
      <c r="Y198" s="712"/>
      <c r="Z198" s="235" t="str">
        <f>데이터입력!$AB$8</f>
        <v>00</v>
      </c>
      <c r="AA198" s="238" t="str">
        <f>데이터입력!$AC$9</f>
        <v>일반사업[일반]</v>
      </c>
      <c r="AB198" s="236" t="str">
        <f>IFERROR(IF(데이터입력!$AE$2="추경",VLOOKUP($A198,보수일람표!$A:$M,4,FALSE),""),"")</f>
        <v/>
      </c>
      <c r="AC198" s="236" t="str">
        <f>IFERROR(IF(데이터입력!$AE$2="추경",VLOOKUP($A198,보수일람표!$A:$M,5,FALSE),""),"")</f>
        <v/>
      </c>
      <c r="AD198" s="236" t="str">
        <f>IFERROR(IF(데이터입력!$AE$2="추경",VLOOKUP($A198,보수일람표!$A:$M,6,FALSE),""),"")</f>
        <v/>
      </c>
      <c r="AE198" s="236" t="str">
        <f>IFERROR(IF(데이터입력!$AE$2="추경",VLOOKUP($A198,보수일람표!$A:$M,7,FALSE),""),"")</f>
        <v>직접</v>
      </c>
      <c r="AF198" s="236"/>
      <c r="AG198" s="237">
        <f>IFERROR(IF(데이터입력!$AE$2="추경",VLOOKUP($A198,보수일람표!$A:$M,9,FALSE),""),"")</f>
        <v>0</v>
      </c>
      <c r="AH198" s="237">
        <f>IFERROR(IF(데이터입력!$AE$2="추경",VLOOKUP($A198,보수일람표!$A:$M,10,FALSE),""),"")</f>
        <v>0</v>
      </c>
      <c r="AI198" s="237">
        <f>IFERROR(IF(데이터입력!$AE$2="추경",VLOOKUP($A198,보수일람표!$A:$M,11,FALSE),""),"")</f>
        <v>0</v>
      </c>
      <c r="AJ198" s="237">
        <f>IFERROR(IF(데이터입력!$AE$2="추경",VLOOKUP($A198,보수일람표!$A:$M,12,FALSE),""),"")</f>
        <v>0</v>
      </c>
      <c r="AK198" s="237">
        <f>IFERROR(IF(데이터입력!$AE$2="추경",VLOOKUP($A198,보수일람표!$A:$M,13,FALSE),""),"")</f>
        <v>0</v>
      </c>
    </row>
    <row r="199" spans="1:37">
      <c r="A199" s="233">
        <v>197</v>
      </c>
      <c r="B199" s="719" t="str">
        <f>IFERROR(IF(F199="06",데이터입력!$AB$8,IF(F199="07",데이터입력!$AD$8,IF(F199="05",데이터입력!$AF$8,데이터입력!$AB$8))),데이터입력!$AB$8)</f>
        <v>00</v>
      </c>
      <c r="C199" s="720" t="str">
        <f>데이터입력!$AC$9</f>
        <v>일반사업[일반]</v>
      </c>
      <c r="D199" s="721" t="str">
        <f>IFERROR(IF(AND(데이터입력!$AE$2="추경",데이터입력!$AM$2=TRUE),VLOOKUP($A199,데이터입력!$A:$H,4,FALSE),""),"")</f>
        <v/>
      </c>
      <c r="E199" s="721" t="str">
        <f>IFERROR(IF(AND(데이터입력!$AE$2="추경",데이터입력!$AM$2=TRUE),VLOOKUP($A199,데이터입력!$A:$H,2,FALSE),""),"")</f>
        <v/>
      </c>
      <c r="F199" s="721" t="str">
        <f>IFERROR(IF(AND(데이터입력!$AE$2="추경",데이터입력!$AM$2=TRUE),VLOOKUP($A199,데이터입력!$A:$H,5,FALSE),""),"")</f>
        <v/>
      </c>
      <c r="G199" s="721" t="str">
        <f>IFERROR(IF(AND(데이터입력!$AE$2="추경",데이터입력!$AM$2=TRUE),VLOOKUP($A199,데이터입력!$A:$H,6,FALSE),""),"")</f>
        <v/>
      </c>
      <c r="H199" s="722" t="str">
        <f>IFERROR(IF(AND(데이터입력!$AE$2="추경",데이터입력!$AM$2=TRUE),VLOOKUP($A199,데이터입력!$A:$L,7,FALSE),""),"")</f>
        <v/>
      </c>
      <c r="I199" s="722" t="str">
        <f>IFERROR(IF(AND(데이터입력!$AE$2="추경",데이터입력!$AM$2=TRUE),VLOOKUP($A199,데이터입력!$A:$L,8,FALSE)+VLOOKUP($A199,데이터입력!$A:$L,9,FALSE)+VLOOKUP($A199,데이터입력!$A:$L,10,FALSE),""),"")</f>
        <v/>
      </c>
      <c r="J199" s="723" t="s">
        <v>136</v>
      </c>
      <c r="K199" s="723" t="s">
        <v>136</v>
      </c>
      <c r="L199" s="723" t="s">
        <v>136</v>
      </c>
      <c r="M199" s="715"/>
      <c r="N199" s="233">
        <v>397</v>
      </c>
      <c r="O199" s="727" t="str">
        <f>IFERROR(IF(S199="06",데이터입력!$AB$8,IF(S199="07",데이터입력!$AD$8,IF(S199="05",데이터입력!$AF$8,데이터입력!$AB$8))),데이터입력!$AB$8)</f>
        <v>00</v>
      </c>
      <c r="P199" s="728" t="str">
        <f>데이터입력!$AC$9</f>
        <v>일반사업[일반]</v>
      </c>
      <c r="Q199" s="729" t="str">
        <f>IFERROR(IF(데이터입력!$AE$2="추경",VLOOKUP($N199,데이터입력!$A:$H,4,FALSE),""),"")</f>
        <v/>
      </c>
      <c r="R199" s="729" t="str">
        <f>IFERROR(IF(데이터입력!$AE$2="추경",VLOOKUP($N199,데이터입력!$A:$H,2,FALSE),""),"")</f>
        <v/>
      </c>
      <c r="S199" s="729" t="str">
        <f>IFERROR(IF(데이터입력!$AE$2="추경",VLOOKUP($N199,데이터입력!$A:$H,5,FALSE),""),"")</f>
        <v/>
      </c>
      <c r="T199" s="729" t="str">
        <f>IFERROR(IF(데이터입력!$AE$2="추경",VLOOKUP($N199,데이터입력!$A:$H,6,FALSE),""),"")</f>
        <v/>
      </c>
      <c r="U199" s="730" t="str">
        <f>IFERROR(IF(데이터입력!$AE$2="추경",VLOOKUP($N199,데이터입력!$A:$L,8,FALSE)+VLOOKUP($N199,데이터입력!$A:$L,9,FALSE)+VLOOKUP($N199,데이터입력!$A:$L,10,FALSE),""),"")</f>
        <v/>
      </c>
      <c r="V199" s="731" t="s">
        <v>136</v>
      </c>
      <c r="W199" s="731" t="s">
        <v>136</v>
      </c>
      <c r="X199" s="731" t="s">
        <v>136</v>
      </c>
      <c r="Y199" s="712"/>
      <c r="Z199" s="235" t="str">
        <f>데이터입력!$AB$8</f>
        <v>00</v>
      </c>
      <c r="AA199" s="238" t="str">
        <f>데이터입력!$AC$9</f>
        <v>일반사업[일반]</v>
      </c>
      <c r="AB199" s="236" t="str">
        <f>IFERROR(IF(데이터입력!$AE$2="추경",VLOOKUP($A199,보수일람표!$A:$M,4,FALSE),""),"")</f>
        <v/>
      </c>
      <c r="AC199" s="236" t="str">
        <f>IFERROR(IF(데이터입력!$AE$2="추경",VLOOKUP($A199,보수일람표!$A:$M,5,FALSE),""),"")</f>
        <v/>
      </c>
      <c r="AD199" s="236" t="str">
        <f>IFERROR(IF(데이터입력!$AE$2="추경",VLOOKUP($A199,보수일람표!$A:$M,6,FALSE),""),"")</f>
        <v/>
      </c>
      <c r="AE199" s="236" t="str">
        <f>IFERROR(IF(데이터입력!$AE$2="추경",VLOOKUP($A199,보수일람표!$A:$M,7,FALSE),""),"")</f>
        <v>직접</v>
      </c>
      <c r="AF199" s="236"/>
      <c r="AG199" s="237">
        <f>IFERROR(IF(데이터입력!$AE$2="추경",VLOOKUP($A199,보수일람표!$A:$M,9,FALSE),""),"")</f>
        <v>0</v>
      </c>
      <c r="AH199" s="237">
        <f>IFERROR(IF(데이터입력!$AE$2="추경",VLOOKUP($A199,보수일람표!$A:$M,10,FALSE),""),"")</f>
        <v>0</v>
      </c>
      <c r="AI199" s="237">
        <f>IFERROR(IF(데이터입력!$AE$2="추경",VLOOKUP($A199,보수일람표!$A:$M,11,FALSE),""),"")</f>
        <v>0</v>
      </c>
      <c r="AJ199" s="237">
        <f>IFERROR(IF(데이터입력!$AE$2="추경",VLOOKUP($A199,보수일람표!$A:$M,12,FALSE),""),"")</f>
        <v>0</v>
      </c>
      <c r="AK199" s="237">
        <f>IFERROR(IF(데이터입력!$AE$2="추경",VLOOKUP($A199,보수일람표!$A:$M,13,FALSE),""),"")</f>
        <v>0</v>
      </c>
    </row>
    <row r="200" spans="1:37">
      <c r="A200" s="233">
        <v>198</v>
      </c>
      <c r="B200" s="719" t="str">
        <f>IFERROR(IF(F200="06",데이터입력!$AB$8,IF(F200="07",데이터입력!$AD$8,IF(F200="05",데이터입력!$AF$8,데이터입력!$AB$8))),데이터입력!$AB$8)</f>
        <v>00</v>
      </c>
      <c r="C200" s="720" t="str">
        <f>데이터입력!$AC$9</f>
        <v>일반사업[일반]</v>
      </c>
      <c r="D200" s="721" t="str">
        <f>IFERROR(IF(AND(데이터입력!$AE$2="추경",데이터입력!$AM$2=TRUE),VLOOKUP($A200,데이터입력!$A:$H,4,FALSE),""),"")</f>
        <v/>
      </c>
      <c r="E200" s="721" t="str">
        <f>IFERROR(IF(AND(데이터입력!$AE$2="추경",데이터입력!$AM$2=TRUE),VLOOKUP($A200,데이터입력!$A:$H,2,FALSE),""),"")</f>
        <v/>
      </c>
      <c r="F200" s="721" t="str">
        <f>IFERROR(IF(AND(데이터입력!$AE$2="추경",데이터입력!$AM$2=TRUE),VLOOKUP($A200,데이터입력!$A:$H,5,FALSE),""),"")</f>
        <v/>
      </c>
      <c r="G200" s="721" t="str">
        <f>IFERROR(IF(AND(데이터입력!$AE$2="추경",데이터입력!$AM$2=TRUE),VLOOKUP($A200,데이터입력!$A:$H,6,FALSE),""),"")</f>
        <v/>
      </c>
      <c r="H200" s="722" t="str">
        <f>IFERROR(IF(AND(데이터입력!$AE$2="추경",데이터입력!$AM$2=TRUE),VLOOKUP($A200,데이터입력!$A:$L,7,FALSE),""),"")</f>
        <v/>
      </c>
      <c r="I200" s="722" t="str">
        <f>IFERROR(IF(AND(데이터입력!$AE$2="추경",데이터입력!$AM$2=TRUE),VLOOKUP($A200,데이터입력!$A:$L,8,FALSE)+VLOOKUP($A200,데이터입력!$A:$L,9,FALSE)+VLOOKUP($A200,데이터입력!$A:$L,10,FALSE),""),"")</f>
        <v/>
      </c>
      <c r="J200" s="723" t="s">
        <v>136</v>
      </c>
      <c r="K200" s="723" t="s">
        <v>136</v>
      </c>
      <c r="L200" s="723" t="s">
        <v>136</v>
      </c>
      <c r="M200" s="715"/>
      <c r="N200" s="233">
        <v>398</v>
      </c>
      <c r="O200" s="727" t="str">
        <f>IFERROR(IF(S200="06",데이터입력!$AB$8,IF(S200="07",데이터입력!$AD$8,IF(S200="05",데이터입력!$AF$8,데이터입력!$AB$8))),데이터입력!$AB$8)</f>
        <v>00</v>
      </c>
      <c r="P200" s="728" t="str">
        <f>데이터입력!$AC$9</f>
        <v>일반사업[일반]</v>
      </c>
      <c r="Q200" s="729" t="str">
        <f>IFERROR(IF(데이터입력!$AE$2="추경",VLOOKUP($N200,데이터입력!$A:$H,4,FALSE),""),"")</f>
        <v/>
      </c>
      <c r="R200" s="729" t="str">
        <f>IFERROR(IF(데이터입력!$AE$2="추경",VLOOKUP($N200,데이터입력!$A:$H,2,FALSE),""),"")</f>
        <v/>
      </c>
      <c r="S200" s="729" t="str">
        <f>IFERROR(IF(데이터입력!$AE$2="추경",VLOOKUP($N200,데이터입력!$A:$H,5,FALSE),""),"")</f>
        <v/>
      </c>
      <c r="T200" s="729" t="str">
        <f>IFERROR(IF(데이터입력!$AE$2="추경",VLOOKUP($N200,데이터입력!$A:$H,6,FALSE),""),"")</f>
        <v/>
      </c>
      <c r="U200" s="730" t="str">
        <f>IFERROR(IF(데이터입력!$AE$2="추경",VLOOKUP($N200,데이터입력!$A:$L,8,FALSE)+VLOOKUP($N200,데이터입력!$A:$L,9,FALSE)+VLOOKUP($N200,데이터입력!$A:$L,10,FALSE),""),"")</f>
        <v/>
      </c>
      <c r="V200" s="731" t="s">
        <v>136</v>
      </c>
      <c r="W200" s="731" t="s">
        <v>136</v>
      </c>
      <c r="X200" s="731" t="s">
        <v>136</v>
      </c>
      <c r="Y200" s="712"/>
      <c r="Z200" s="235" t="str">
        <f>데이터입력!$AB$8</f>
        <v>00</v>
      </c>
      <c r="AA200" s="238" t="str">
        <f>데이터입력!$AC$9</f>
        <v>일반사업[일반]</v>
      </c>
      <c r="AB200" s="236" t="str">
        <f>IFERROR(IF(데이터입력!$AE$2="추경",VLOOKUP($A200,보수일람표!$A:$M,4,FALSE),""),"")</f>
        <v/>
      </c>
      <c r="AC200" s="236" t="str">
        <f>IFERROR(IF(데이터입력!$AE$2="추경",VLOOKUP($A200,보수일람표!$A:$M,5,FALSE),""),"")</f>
        <v/>
      </c>
      <c r="AD200" s="236" t="str">
        <f>IFERROR(IF(데이터입력!$AE$2="추경",VLOOKUP($A200,보수일람표!$A:$M,6,FALSE),""),"")</f>
        <v/>
      </c>
      <c r="AE200" s="236" t="str">
        <f>IFERROR(IF(데이터입력!$AE$2="추경",VLOOKUP($A200,보수일람표!$A:$M,7,FALSE),""),"")</f>
        <v>직접</v>
      </c>
      <c r="AF200" s="236"/>
      <c r="AG200" s="237">
        <f>IFERROR(IF(데이터입력!$AE$2="추경",VLOOKUP($A200,보수일람표!$A:$M,9,FALSE),""),"")</f>
        <v>0</v>
      </c>
      <c r="AH200" s="237">
        <f>IFERROR(IF(데이터입력!$AE$2="추경",VLOOKUP($A200,보수일람표!$A:$M,10,FALSE),""),"")</f>
        <v>0</v>
      </c>
      <c r="AI200" s="237">
        <f>IFERROR(IF(데이터입력!$AE$2="추경",VLOOKUP($A200,보수일람표!$A:$M,11,FALSE),""),"")</f>
        <v>0</v>
      </c>
      <c r="AJ200" s="237">
        <f>IFERROR(IF(데이터입력!$AE$2="추경",VLOOKUP($A200,보수일람표!$A:$M,12,FALSE),""),"")</f>
        <v>0</v>
      </c>
      <c r="AK200" s="237">
        <f>IFERROR(IF(데이터입력!$AE$2="추경",VLOOKUP($A200,보수일람표!$A:$M,13,FALSE),""),"")</f>
        <v>0</v>
      </c>
    </row>
    <row r="201" spans="1:37">
      <c r="A201" s="233">
        <v>199</v>
      </c>
      <c r="B201" s="719" t="str">
        <f>IFERROR(IF(F201="06",데이터입력!$AB$8,IF(F201="07",데이터입력!$AD$8,IF(F201="05",데이터입력!$AF$8,데이터입력!$AB$8))),데이터입력!$AB$8)</f>
        <v>00</v>
      </c>
      <c r="C201" s="720" t="str">
        <f>데이터입력!$AC$9</f>
        <v>일반사업[일반]</v>
      </c>
      <c r="D201" s="721" t="str">
        <f>IFERROR(IF(AND(데이터입력!$AE$2="추경",데이터입력!$AM$2=TRUE),VLOOKUP($A201,데이터입력!$A:$H,4,FALSE),""),"")</f>
        <v/>
      </c>
      <c r="E201" s="721" t="str">
        <f>IFERROR(IF(AND(데이터입력!$AE$2="추경",데이터입력!$AM$2=TRUE),VLOOKUP($A201,데이터입력!$A:$H,2,FALSE),""),"")</f>
        <v/>
      </c>
      <c r="F201" s="721" t="str">
        <f>IFERROR(IF(AND(데이터입력!$AE$2="추경",데이터입력!$AM$2=TRUE),VLOOKUP($A201,데이터입력!$A:$H,5,FALSE),""),"")</f>
        <v/>
      </c>
      <c r="G201" s="721" t="str">
        <f>IFERROR(IF(AND(데이터입력!$AE$2="추경",데이터입력!$AM$2=TRUE),VLOOKUP($A201,데이터입력!$A:$H,6,FALSE),""),"")</f>
        <v/>
      </c>
      <c r="H201" s="722" t="str">
        <f>IFERROR(IF(AND(데이터입력!$AE$2="추경",데이터입력!$AM$2=TRUE),VLOOKUP($A201,데이터입력!$A:$L,7,FALSE),""),"")</f>
        <v/>
      </c>
      <c r="I201" s="722" t="str">
        <f>IFERROR(IF(AND(데이터입력!$AE$2="추경",데이터입력!$AM$2=TRUE),VLOOKUP($A201,데이터입력!$A:$L,8,FALSE)+VLOOKUP($A201,데이터입력!$A:$L,9,FALSE)+VLOOKUP($A201,데이터입력!$A:$L,10,FALSE),""),"")</f>
        <v/>
      </c>
      <c r="J201" s="723" t="s">
        <v>136</v>
      </c>
      <c r="K201" s="723" t="s">
        <v>136</v>
      </c>
      <c r="L201" s="723" t="s">
        <v>136</v>
      </c>
      <c r="M201" s="715"/>
      <c r="N201" s="233">
        <v>399</v>
      </c>
      <c r="O201" s="727" t="str">
        <f>IFERROR(IF(S201="06",데이터입력!$AB$8,IF(S201="07",데이터입력!$AD$8,IF(S201="05",데이터입력!$AF$8,데이터입력!$AB$8))),데이터입력!$AB$8)</f>
        <v>00</v>
      </c>
      <c r="P201" s="728" t="str">
        <f>데이터입력!$AC$9</f>
        <v>일반사업[일반]</v>
      </c>
      <c r="Q201" s="729" t="str">
        <f>IFERROR(IF(데이터입력!$AE$2="추경",VLOOKUP($N201,데이터입력!$A:$H,4,FALSE),""),"")</f>
        <v/>
      </c>
      <c r="R201" s="729" t="str">
        <f>IFERROR(IF(데이터입력!$AE$2="추경",VLOOKUP($N201,데이터입력!$A:$H,2,FALSE),""),"")</f>
        <v/>
      </c>
      <c r="S201" s="729" t="str">
        <f>IFERROR(IF(데이터입력!$AE$2="추경",VLOOKUP($N201,데이터입력!$A:$H,5,FALSE),""),"")</f>
        <v/>
      </c>
      <c r="T201" s="729" t="str">
        <f>IFERROR(IF(데이터입력!$AE$2="추경",VLOOKUP($N201,데이터입력!$A:$H,6,FALSE),""),"")</f>
        <v/>
      </c>
      <c r="U201" s="730" t="str">
        <f>IFERROR(IF(데이터입력!$AE$2="추경",VLOOKUP($N201,데이터입력!$A:$L,8,FALSE)+VLOOKUP($N201,데이터입력!$A:$L,9,FALSE)+VLOOKUP($N201,데이터입력!$A:$L,10,FALSE),""),"")</f>
        <v/>
      </c>
      <c r="V201" s="731" t="s">
        <v>136</v>
      </c>
      <c r="W201" s="731" t="s">
        <v>136</v>
      </c>
      <c r="X201" s="731" t="s">
        <v>136</v>
      </c>
      <c r="Y201" s="712"/>
      <c r="Z201" s="235" t="str">
        <f>데이터입력!$AB$8</f>
        <v>00</v>
      </c>
      <c r="AA201" s="238" t="str">
        <f>데이터입력!$AC$9</f>
        <v>일반사업[일반]</v>
      </c>
      <c r="AB201" s="236" t="str">
        <f>IFERROR(IF(데이터입력!$AE$2="추경",VLOOKUP($A201,보수일람표!$A:$M,4,FALSE),""),"")</f>
        <v/>
      </c>
      <c r="AC201" s="236" t="str">
        <f>IFERROR(IF(데이터입력!$AE$2="추경",VLOOKUP($A201,보수일람표!$A:$M,5,FALSE),""),"")</f>
        <v/>
      </c>
      <c r="AD201" s="236" t="str">
        <f>IFERROR(IF(데이터입력!$AE$2="추경",VLOOKUP($A201,보수일람표!$A:$M,6,FALSE),""),"")</f>
        <v/>
      </c>
      <c r="AE201" s="236" t="str">
        <f>IFERROR(IF(데이터입력!$AE$2="추경",VLOOKUP($A201,보수일람표!$A:$M,7,FALSE),""),"")</f>
        <v>직접</v>
      </c>
      <c r="AF201" s="236"/>
      <c r="AG201" s="237">
        <f>IFERROR(IF(데이터입력!$AE$2="추경",VLOOKUP($A201,보수일람표!$A:$M,9,FALSE),""),"")</f>
        <v>0</v>
      </c>
      <c r="AH201" s="237">
        <f>IFERROR(IF(데이터입력!$AE$2="추경",VLOOKUP($A201,보수일람표!$A:$M,10,FALSE),""),"")</f>
        <v>0</v>
      </c>
      <c r="AI201" s="237">
        <f>IFERROR(IF(데이터입력!$AE$2="추경",VLOOKUP($A201,보수일람표!$A:$M,11,FALSE),""),"")</f>
        <v>0</v>
      </c>
      <c r="AJ201" s="237">
        <f>IFERROR(IF(데이터입력!$AE$2="추경",VLOOKUP($A201,보수일람표!$A:$M,12,FALSE),""),"")</f>
        <v>0</v>
      </c>
      <c r="AK201" s="237">
        <f>IFERROR(IF(데이터입력!$AE$2="추경",VLOOKUP($A201,보수일람표!$A:$M,13,FALSE),""),"")</f>
        <v>0</v>
      </c>
    </row>
    <row r="202" spans="1:37">
      <c r="A202" s="233">
        <v>200</v>
      </c>
      <c r="B202" s="719" t="str">
        <f>IFERROR(IF(F202="06",데이터입력!$AB$8,IF(F202="07",데이터입력!$AD$8,IF(F202="05",데이터입력!$AF$8,데이터입력!$AB$8))),데이터입력!$AB$8)</f>
        <v>00</v>
      </c>
      <c r="C202" s="720" t="str">
        <f>데이터입력!$AC$9</f>
        <v>일반사업[일반]</v>
      </c>
      <c r="D202" s="721" t="str">
        <f>IFERROR(IF(AND(데이터입력!$AE$2="추경",데이터입력!$AM$2=TRUE),VLOOKUP($A202,데이터입력!$A:$H,4,FALSE),""),"")</f>
        <v/>
      </c>
      <c r="E202" s="721" t="str">
        <f>IFERROR(IF(AND(데이터입력!$AE$2="추경",데이터입력!$AM$2=TRUE),VLOOKUP($A202,데이터입력!$A:$H,2,FALSE),""),"")</f>
        <v/>
      </c>
      <c r="F202" s="721" t="str">
        <f>IFERROR(IF(AND(데이터입력!$AE$2="추경",데이터입력!$AM$2=TRUE),VLOOKUP($A202,데이터입력!$A:$H,5,FALSE),""),"")</f>
        <v/>
      </c>
      <c r="G202" s="721" t="str">
        <f>IFERROR(IF(AND(데이터입력!$AE$2="추경",데이터입력!$AM$2=TRUE),VLOOKUP($A202,데이터입력!$A:$H,6,FALSE),""),"")</f>
        <v/>
      </c>
      <c r="H202" s="722" t="str">
        <f>IFERROR(IF(AND(데이터입력!$AE$2="추경",데이터입력!$AM$2=TRUE),VLOOKUP($A202,데이터입력!$A:$L,7,FALSE),""),"")</f>
        <v/>
      </c>
      <c r="I202" s="722" t="str">
        <f>IFERROR(IF(AND(데이터입력!$AE$2="추경",데이터입력!$AM$2=TRUE),VLOOKUP($A202,데이터입력!$A:$L,8,FALSE)+VLOOKUP($A202,데이터입력!$A:$L,9,FALSE)+VLOOKUP($A202,데이터입력!$A:$L,10,FALSE),""),"")</f>
        <v/>
      </c>
      <c r="J202" s="723" t="s">
        <v>136</v>
      </c>
      <c r="K202" s="723" t="s">
        <v>136</v>
      </c>
      <c r="L202" s="723" t="s">
        <v>136</v>
      </c>
      <c r="M202" s="715"/>
      <c r="N202" s="233">
        <v>400</v>
      </c>
      <c r="O202" s="727" t="str">
        <f>IFERROR(IF(S202="06",데이터입력!$AB$8,IF(S202="07",데이터입력!$AD$8,IF(S202="05",데이터입력!$AF$8,데이터입력!$AB$8))),데이터입력!$AB$8)</f>
        <v>00</v>
      </c>
      <c r="P202" s="728" t="str">
        <f>데이터입력!$AC$9</f>
        <v>일반사업[일반]</v>
      </c>
      <c r="Q202" s="729" t="str">
        <f>IFERROR(IF(데이터입력!$AE$2="추경",VLOOKUP($N202,데이터입력!$A:$H,4,FALSE),""),"")</f>
        <v/>
      </c>
      <c r="R202" s="729" t="str">
        <f>IFERROR(IF(데이터입력!$AE$2="추경",VLOOKUP($N202,데이터입력!$A:$H,2,FALSE),""),"")</f>
        <v/>
      </c>
      <c r="S202" s="729" t="str">
        <f>IFERROR(IF(데이터입력!$AE$2="추경",VLOOKUP($N202,데이터입력!$A:$H,5,FALSE),""),"")</f>
        <v/>
      </c>
      <c r="T202" s="729" t="str">
        <f>IFERROR(IF(데이터입력!$AE$2="추경",VLOOKUP($N202,데이터입력!$A:$H,6,FALSE),""),"")</f>
        <v/>
      </c>
      <c r="U202" s="730" t="str">
        <f>IFERROR(IF(데이터입력!$AE$2="추경",VLOOKUP($N202,데이터입력!$A:$L,8,FALSE)+VLOOKUP($N202,데이터입력!$A:$L,9,FALSE)+VLOOKUP($N202,데이터입력!$A:$L,10,FALSE),""),"")</f>
        <v/>
      </c>
      <c r="V202" s="731" t="s">
        <v>136</v>
      </c>
      <c r="W202" s="731" t="s">
        <v>136</v>
      </c>
      <c r="X202" s="731" t="s">
        <v>136</v>
      </c>
      <c r="Y202" s="712"/>
      <c r="Z202" s="235" t="str">
        <f>데이터입력!$AB$8</f>
        <v>00</v>
      </c>
      <c r="AA202" s="238" t="str">
        <f>데이터입력!$AC$9</f>
        <v>일반사업[일반]</v>
      </c>
      <c r="AB202" s="236" t="str">
        <f>IFERROR(IF(데이터입력!$AE$2="추경",VLOOKUP($A202,보수일람표!$A:$M,4,FALSE),""),"")</f>
        <v/>
      </c>
      <c r="AC202" s="236" t="str">
        <f>IFERROR(IF(데이터입력!$AE$2="추경",VLOOKUP($A202,보수일람표!$A:$M,5,FALSE),""),"")</f>
        <v/>
      </c>
      <c r="AD202" s="236" t="str">
        <f>IFERROR(IF(데이터입력!$AE$2="추경",VLOOKUP($A202,보수일람표!$A:$M,6,FALSE),""),"")</f>
        <v/>
      </c>
      <c r="AE202" s="236" t="str">
        <f>IFERROR(IF(데이터입력!$AE$2="추경",VLOOKUP($A202,보수일람표!$A:$M,7,FALSE),""),"")</f>
        <v>직접</v>
      </c>
      <c r="AF202" s="236"/>
      <c r="AG202" s="237">
        <f>IFERROR(IF(데이터입력!$AE$2="추경",VLOOKUP($A202,보수일람표!$A:$M,9,FALSE),""),"")</f>
        <v>0</v>
      </c>
      <c r="AH202" s="237">
        <f>IFERROR(IF(데이터입력!$AE$2="추경",VLOOKUP($A202,보수일람표!$A:$M,10,FALSE),""),"")</f>
        <v>0</v>
      </c>
      <c r="AI202" s="237">
        <f>IFERROR(IF(데이터입력!$AE$2="추경",VLOOKUP($A202,보수일람표!$A:$M,11,FALSE),""),"")</f>
        <v>0</v>
      </c>
      <c r="AJ202" s="237">
        <f>IFERROR(IF(데이터입력!$AE$2="추경",VLOOKUP($A202,보수일람표!$A:$M,12,FALSE),""),"")</f>
        <v>0</v>
      </c>
      <c r="AK202" s="237">
        <f>IFERROR(IF(데이터입력!$AE$2="추경",VLOOKUP($A202,보수일람표!$A:$M,13,FALSE),""),"")</f>
        <v>0</v>
      </c>
    </row>
    <row r="203" spans="1:37">
      <c r="Z203" s="245"/>
      <c r="AA203" s="245"/>
      <c r="AB203" s="245"/>
      <c r="AC203" s="245"/>
      <c r="AD203" s="245"/>
      <c r="AE203" s="245"/>
      <c r="AF203" s="245"/>
      <c r="AG203" s="245"/>
      <c r="AH203" s="245"/>
      <c r="AI203" s="245"/>
      <c r="AJ203" s="245"/>
      <c r="AK203" s="245"/>
    </row>
    <row r="204" spans="1:37">
      <c r="Z204" s="245"/>
      <c r="AA204" s="245"/>
      <c r="AB204" s="245"/>
      <c r="AC204" s="245"/>
      <c r="AD204" s="245"/>
      <c r="AE204" s="245"/>
      <c r="AF204" s="245"/>
      <c r="AG204" s="245"/>
      <c r="AH204" s="245"/>
      <c r="AI204" s="245"/>
      <c r="AJ204" s="245"/>
      <c r="AK204" s="245"/>
    </row>
    <row r="205" spans="1:37">
      <c r="Z205" s="245"/>
      <c r="AA205" s="245"/>
      <c r="AB205" s="245"/>
      <c r="AC205" s="245"/>
      <c r="AD205" s="245"/>
      <c r="AE205" s="245"/>
      <c r="AF205" s="245"/>
      <c r="AG205" s="245"/>
      <c r="AH205" s="245"/>
      <c r="AI205" s="245"/>
      <c r="AJ205" s="245"/>
      <c r="AK205" s="245"/>
    </row>
    <row r="206" spans="1:37">
      <c r="Z206" s="245"/>
      <c r="AA206" s="245"/>
      <c r="AB206" s="245"/>
      <c r="AC206" s="245"/>
      <c r="AD206" s="245"/>
      <c r="AE206" s="245"/>
      <c r="AF206" s="245"/>
      <c r="AG206" s="245"/>
      <c r="AH206" s="245"/>
      <c r="AI206" s="245"/>
      <c r="AJ206" s="245"/>
      <c r="AK206" s="245"/>
    </row>
  </sheetData>
  <mergeCells count="3">
    <mergeCell ref="B1:L1"/>
    <mergeCell ref="Z1:AK1"/>
    <mergeCell ref="O1:X1"/>
  </mergeCells>
  <phoneticPr fontId="1" type="noConversion"/>
  <conditionalFormatting sqref="E2 E203:E1048576">
    <cfRule type="duplicateValues" dxfId="27" priority="2"/>
  </conditionalFormatting>
  <conditionalFormatting sqref="R2 R203:R1048576">
    <cfRule type="duplicateValues" dxfId="26" priority="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0560E-21A7-412B-A439-2A14CBEBDECB}">
  <sheetPr>
    <tabColor theme="7"/>
  </sheetPr>
  <dimension ref="A1:AX264"/>
  <sheetViews>
    <sheetView workbookViewId="0">
      <selection sqref="A1:AX264"/>
    </sheetView>
  </sheetViews>
  <sheetFormatPr defaultRowHeight="16.5"/>
  <cols>
    <col min="1" max="1" width="15.875" style="524" customWidth="1"/>
    <col min="2" max="6" width="13.125" style="524" customWidth="1"/>
    <col min="7" max="9" width="12.75" style="524" customWidth="1"/>
    <col min="10" max="10" width="1.875" style="214" customWidth="1"/>
    <col min="11" max="11" width="7.5" customWidth="1"/>
    <col min="12" max="12" width="14.625" customWidth="1"/>
    <col min="13" max="13" width="14.875" customWidth="1"/>
    <col min="14" max="14" width="24.25" customWidth="1"/>
    <col min="15" max="15" width="23.75" customWidth="1"/>
    <col min="16" max="16" width="16.125" customWidth="1"/>
    <col min="17" max="17" width="18.75" customWidth="1"/>
    <col min="18" max="18" width="16.75" customWidth="1"/>
    <col min="19" max="19" width="3.625" style="9" customWidth="1"/>
    <col min="20" max="20" width="7.5" customWidth="1"/>
    <col min="21" max="21" width="14.625" customWidth="1"/>
    <col min="22" max="22" width="14.875" customWidth="1"/>
    <col min="23" max="23" width="24.25" customWidth="1"/>
    <col min="24" max="24" width="23.75" customWidth="1"/>
    <col min="25" max="25" width="16.125" customWidth="1"/>
    <col min="26" max="26" width="18.75" customWidth="1"/>
    <col min="27" max="27" width="16.75" customWidth="1"/>
    <col min="28" max="28" width="3.625" style="9" customWidth="1"/>
    <col min="29" max="29" width="7.5" customWidth="1"/>
    <col min="30" max="30" width="14.625" customWidth="1"/>
    <col min="31" max="31" width="14.875" customWidth="1"/>
    <col min="32" max="32" width="24.25" customWidth="1"/>
    <col min="33" max="33" width="23.75" customWidth="1"/>
    <col min="34" max="34" width="16.125" customWidth="1"/>
    <col min="35" max="35" width="18.75" customWidth="1"/>
    <col min="36" max="36" width="16.75" customWidth="1"/>
    <col min="38" max="38" width="9" style="98"/>
    <col min="39" max="39" width="12.125" style="98" customWidth="1"/>
    <col min="40" max="40" width="11.625" style="98" customWidth="1"/>
    <col min="41" max="41" width="10.5" style="98" customWidth="1"/>
    <col min="42" max="42" width="12.625" style="98" customWidth="1"/>
    <col min="43" max="43" width="9.625" style="98" customWidth="1"/>
    <col min="44" max="45" width="10.75" style="98" customWidth="1"/>
    <col min="46" max="46" width="12.625" style="98" customWidth="1"/>
    <col min="47" max="48" width="12.625" style="98" hidden="1" customWidth="1"/>
    <col min="49" max="50" width="9" style="98"/>
  </cols>
  <sheetData>
    <row r="1" spans="1:50" ht="17.25" customHeight="1" thickBot="1">
      <c r="A1" s="754" t="s">
        <v>147</v>
      </c>
      <c r="B1" s="755">
        <f>IFERROR(IF(I2=TRUE,데이터입력!Y1,데이터입력!Y1+1),"")</f>
        <v>2024</v>
      </c>
      <c r="C1" s="756"/>
      <c r="D1" s="757" t="s">
        <v>148</v>
      </c>
      <c r="E1" s="758" t="str">
        <f>IF(데이터입력!AB1="","",데이터입력!AB1)</f>
        <v>한마음데이케어센터</v>
      </c>
      <c r="F1" s="759"/>
      <c r="G1" s="757" t="s">
        <v>149</v>
      </c>
      <c r="H1" s="758" t="str">
        <f>IF(데이터입력!AE1="","",데이터입력!AE1)</f>
        <v>윤의영</v>
      </c>
      <c r="I1" s="760"/>
      <c r="K1" s="1227" t="s">
        <v>269</v>
      </c>
      <c r="L1" s="1227"/>
      <c r="M1" s="1227"/>
      <c r="N1" s="1227"/>
      <c r="O1" s="219"/>
      <c r="P1" s="219"/>
      <c r="Q1" s="219"/>
      <c r="R1" s="219"/>
      <c r="S1" s="216"/>
      <c r="T1" s="1227" t="s">
        <v>269</v>
      </c>
      <c r="U1" s="1227"/>
      <c r="V1" s="1227"/>
      <c r="W1" s="1227"/>
      <c r="X1" s="219"/>
      <c r="Y1" s="219"/>
      <c r="Z1" s="219"/>
      <c r="AA1" s="219"/>
      <c r="AC1" s="1227" t="s">
        <v>269</v>
      </c>
      <c r="AD1" s="1227"/>
      <c r="AE1" s="1227"/>
      <c r="AF1" s="1227"/>
      <c r="AG1" s="9"/>
      <c r="AH1" s="9"/>
      <c r="AI1" s="9"/>
      <c r="AJ1" s="9"/>
      <c r="AL1" s="1240"/>
      <c r="AM1" s="1241"/>
      <c r="AN1" s="1085"/>
      <c r="AO1" s="1086"/>
      <c r="AP1" s="1086"/>
      <c r="AQ1" s="1086"/>
      <c r="AR1" s="1086"/>
      <c r="AS1" s="1086"/>
      <c r="AT1" s="1086"/>
      <c r="AU1" s="1086"/>
      <c r="AV1" s="1086"/>
      <c r="AW1" s="214"/>
      <c r="AX1" s="214"/>
    </row>
    <row r="2" spans="1:50" ht="17.25" customHeight="1" thickBot="1">
      <c r="A2" s="910" t="s">
        <v>150</v>
      </c>
      <c r="B2" s="911"/>
      <c r="C2" s="912"/>
      <c r="D2" s="913" t="s">
        <v>151</v>
      </c>
      <c r="E2" s="914" t="str">
        <f>IF(AND(데이터입력!AC5=TRUE,데이터입력!AD5=FALSE),"",데이터입력!AB2)</f>
        <v>주야간</v>
      </c>
      <c r="F2" s="915" t="str">
        <f>IF(데이터입력!AC5=TRUE,데이터입력!AC4,"")</f>
        <v/>
      </c>
      <c r="G2" s="762" t="s">
        <v>152</v>
      </c>
      <c r="H2" s="706" t="str">
        <f>IF($I$2=TRUE,"추경","")</f>
        <v/>
      </c>
      <c r="I2" s="707" t="b">
        <v>0</v>
      </c>
      <c r="K2" s="1227"/>
      <c r="L2" s="1227"/>
      <c r="M2" s="1227"/>
      <c r="N2" s="1227"/>
      <c r="O2" s="219"/>
      <c r="P2" s="219"/>
      <c r="Q2" s="219"/>
      <c r="R2" s="219"/>
      <c r="S2" s="216"/>
      <c r="T2" s="1227"/>
      <c r="U2" s="1227"/>
      <c r="V2" s="1227"/>
      <c r="W2" s="1227"/>
      <c r="X2" s="219"/>
      <c r="Y2" s="219"/>
      <c r="Z2" s="219"/>
      <c r="AA2" s="219"/>
      <c r="AC2" s="1227"/>
      <c r="AD2" s="1227"/>
      <c r="AE2" s="1227"/>
      <c r="AF2" s="1227"/>
      <c r="AG2" s="9"/>
      <c r="AH2" s="9"/>
      <c r="AI2" s="9"/>
      <c r="AJ2" s="9"/>
      <c r="AL2" s="1087"/>
      <c r="AM2" s="1220"/>
      <c r="AN2" s="1221"/>
      <c r="AO2" s="1222"/>
      <c r="AP2" s="1087"/>
      <c r="AQ2" s="1242"/>
      <c r="AR2" s="1242"/>
      <c r="AS2" s="1242"/>
      <c r="AT2" s="1243"/>
      <c r="AU2" s="1086"/>
      <c r="AV2" s="1086"/>
      <c r="AW2" s="214"/>
      <c r="AX2" s="214"/>
    </row>
    <row r="3" spans="1:50" ht="17.25" customHeight="1" thickBot="1">
      <c r="A3" s="906" t="s">
        <v>158</v>
      </c>
      <c r="B3" s="916">
        <f>IF(I2=TRUE,데이터입력!Y8,12)</f>
        <v>12</v>
      </c>
      <c r="C3" s="917"/>
      <c r="D3" s="913" t="s">
        <v>218</v>
      </c>
      <c r="E3" s="914" t="str">
        <f>IF(데이터입력!AI1="","",데이터입력!AI1)</f>
        <v/>
      </c>
      <c r="F3" s="908"/>
      <c r="G3" s="766"/>
      <c r="H3" s="381" t="s">
        <v>717</v>
      </c>
      <c r="I3" s="944">
        <f>IF($B$3&lt;12,$B$3,12)</f>
        <v>12</v>
      </c>
      <c r="K3" s="1227"/>
      <c r="L3" s="1227"/>
      <c r="M3" s="1227"/>
      <c r="N3" s="1227"/>
      <c r="O3" s="219"/>
      <c r="P3" s="219"/>
      <c r="Q3" s="219"/>
      <c r="R3" s="219"/>
      <c r="S3" s="216"/>
      <c r="T3" s="1227"/>
      <c r="U3" s="1227"/>
      <c r="V3" s="1227"/>
      <c r="W3" s="1227"/>
      <c r="X3" s="219"/>
      <c r="Y3" s="219"/>
      <c r="Z3" s="219"/>
      <c r="AA3" s="219"/>
      <c r="AC3" s="1227"/>
      <c r="AD3" s="1227"/>
      <c r="AE3" s="1227"/>
      <c r="AF3" s="1227"/>
      <c r="AG3" s="9"/>
      <c r="AH3" s="9"/>
      <c r="AI3" s="9"/>
      <c r="AJ3" s="9"/>
      <c r="AL3" s="1088"/>
      <c r="AM3" s="1223"/>
      <c r="AN3" s="1223"/>
      <c r="AO3" s="1224"/>
      <c r="AP3" s="1089"/>
      <c r="AQ3" s="1090"/>
      <c r="AR3" s="1090"/>
      <c r="AS3" s="1090"/>
      <c r="AT3" s="1091"/>
      <c r="AU3" s="1086"/>
      <c r="AV3" s="1086"/>
      <c r="AW3" s="214"/>
      <c r="AX3" s="214"/>
    </row>
    <row r="4" spans="1:50" ht="17.25" customHeight="1" thickBot="1">
      <c r="A4" s="769" t="str">
        <f>B1&amp;"년도 수급자수(전체)"</f>
        <v>2024년도 수급자수(전체)</v>
      </c>
      <c r="B4" s="770"/>
      <c r="C4" s="771">
        <f>데이터입력!Y24</f>
        <v>17</v>
      </c>
      <c r="D4" s="772" t="str">
        <f>B1&amp;"년도 수급자수(보조금)"</f>
        <v>2024년도 수급자수(보조금)</v>
      </c>
      <c r="E4" s="773"/>
      <c r="F4" s="774">
        <f>데이터입력!Y26</f>
        <v>0</v>
      </c>
      <c r="G4" s="775"/>
      <c r="H4" s="386" t="s">
        <v>718</v>
      </c>
      <c r="I4" s="946">
        <f>IF($B$3&lt;12,$B$3,12)</f>
        <v>12</v>
      </c>
      <c r="K4" s="1228"/>
      <c r="L4" s="1228"/>
      <c r="M4" s="1228"/>
      <c r="N4" s="1228"/>
      <c r="O4" s="220"/>
      <c r="P4" s="220"/>
      <c r="Q4" s="220"/>
      <c r="R4" s="220"/>
      <c r="S4" s="216"/>
      <c r="T4" s="1228"/>
      <c r="U4" s="1228"/>
      <c r="V4" s="1228"/>
      <c r="W4" s="1228"/>
      <c r="X4" s="220"/>
      <c r="Y4" s="220"/>
      <c r="Z4" s="220"/>
      <c r="AA4" s="220"/>
      <c r="AC4" s="1228"/>
      <c r="AD4" s="1228"/>
      <c r="AE4" s="1228"/>
      <c r="AF4" s="1228"/>
      <c r="AG4" s="9"/>
      <c r="AH4" s="9"/>
      <c r="AI4" s="9"/>
      <c r="AJ4" s="9"/>
      <c r="AL4" s="1092"/>
      <c r="AM4" s="1225"/>
      <c r="AN4" s="1225"/>
      <c r="AO4" s="1226"/>
      <c r="AP4" s="1093"/>
      <c r="AQ4" s="1094"/>
      <c r="AR4" s="1095"/>
      <c r="AS4" s="1095"/>
      <c r="AT4" s="1096"/>
      <c r="AU4" s="1086"/>
      <c r="AV4" s="1086"/>
      <c r="AW4" s="214"/>
      <c r="AX4" s="214"/>
    </row>
    <row r="5" spans="1:50" ht="34.5" customHeight="1" thickBot="1">
      <c r="A5" s="778" t="s">
        <v>231</v>
      </c>
      <c r="B5" s="779"/>
      <c r="C5" s="780"/>
      <c r="D5" s="781"/>
      <c r="E5" s="782"/>
      <c r="F5" s="782"/>
      <c r="G5" s="783"/>
      <c r="H5" s="783"/>
      <c r="I5" s="784"/>
      <c r="K5" s="1229" t="s">
        <v>80</v>
      </c>
      <c r="L5" s="1230"/>
      <c r="M5" s="1230"/>
      <c r="N5" s="1230"/>
      <c r="O5" s="1230"/>
      <c r="P5" s="1230"/>
      <c r="Q5" s="1230"/>
      <c r="R5" s="1230"/>
      <c r="S5" s="217"/>
      <c r="T5" s="1231" t="s">
        <v>81</v>
      </c>
      <c r="U5" s="1232"/>
      <c r="V5" s="1232"/>
      <c r="W5" s="1232"/>
      <c r="X5" s="1232"/>
      <c r="Y5" s="1232"/>
      <c r="Z5" s="1232"/>
      <c r="AA5" s="1232"/>
      <c r="AB5" s="217"/>
      <c r="AC5" s="1233" t="s">
        <v>82</v>
      </c>
      <c r="AD5" s="1234"/>
      <c r="AE5" s="1234"/>
      <c r="AF5" s="1234"/>
      <c r="AG5" s="1234"/>
      <c r="AH5" s="1234"/>
      <c r="AI5" s="1234"/>
      <c r="AJ5" s="1234"/>
      <c r="AL5" s="1244"/>
      <c r="AM5" s="1245"/>
      <c r="AN5" s="1097"/>
      <c r="AO5" s="1098"/>
      <c r="AP5" s="1087"/>
      <c r="AQ5" s="1242"/>
      <c r="AR5" s="1242"/>
      <c r="AS5" s="1242"/>
      <c r="AT5" s="1243"/>
      <c r="AU5" s="1086"/>
      <c r="AV5" s="1086"/>
      <c r="AW5" s="214"/>
      <c r="AX5" s="214"/>
    </row>
    <row r="6" spans="1:50" ht="17.25" thickBot="1">
      <c r="A6" s="751" t="s">
        <v>232</v>
      </c>
      <c r="B6" s="785">
        <f>데이터입력!AI17</f>
        <v>0.61399999999999999</v>
      </c>
      <c r="C6" s="793">
        <f>데이터입력!AJ17</f>
        <v>2.2999999999999998</v>
      </c>
      <c r="D6" s="787" t="s">
        <v>668</v>
      </c>
      <c r="E6" s="788" t="str">
        <f>데이터입력!AB8</f>
        <v>00</v>
      </c>
      <c r="F6" s="789" t="s">
        <v>669</v>
      </c>
      <c r="G6" s="790" t="str">
        <f>데이터입력!AD8</f>
        <v>01</v>
      </c>
      <c r="H6" s="791" t="s">
        <v>670</v>
      </c>
      <c r="I6" s="792" t="str">
        <f>데이터입력!AF8</f>
        <v>02</v>
      </c>
      <c r="K6" s="1235" t="s">
        <v>0</v>
      </c>
      <c r="L6" s="1237" t="s">
        <v>503</v>
      </c>
      <c r="M6" s="1238"/>
      <c r="N6" s="1238"/>
      <c r="O6" s="1239"/>
      <c r="P6" s="1237" t="s">
        <v>504</v>
      </c>
      <c r="Q6" s="1238"/>
      <c r="R6" s="1239"/>
      <c r="S6" s="218"/>
      <c r="T6" s="1235" t="s">
        <v>0</v>
      </c>
      <c r="U6" s="1237" t="s">
        <v>503</v>
      </c>
      <c r="V6" s="1238"/>
      <c r="W6" s="1238"/>
      <c r="X6" s="1239"/>
      <c r="Y6" s="1237" t="s">
        <v>504</v>
      </c>
      <c r="Z6" s="1238"/>
      <c r="AA6" s="1239"/>
      <c r="AB6" s="218"/>
      <c r="AC6" s="1235" t="s">
        <v>0</v>
      </c>
      <c r="AD6" s="1237" t="s">
        <v>503</v>
      </c>
      <c r="AE6" s="1238"/>
      <c r="AF6" s="1238"/>
      <c r="AG6" s="1239"/>
      <c r="AH6" s="1237" t="s">
        <v>504</v>
      </c>
      <c r="AI6" s="1238"/>
      <c r="AJ6" s="1239"/>
      <c r="AL6" s="1246"/>
      <c r="AM6" s="1247"/>
      <c r="AN6" s="1099"/>
      <c r="AO6" s="1100"/>
      <c r="AP6" s="1089"/>
      <c r="AQ6" s="1090"/>
      <c r="AR6" s="1090"/>
      <c r="AS6" s="1090"/>
      <c r="AT6" s="1091"/>
      <c r="AU6" s="1086"/>
      <c r="AV6" s="1086"/>
      <c r="AW6" s="214"/>
      <c r="AX6" s="214"/>
    </row>
    <row r="7" spans="1:50" ht="17.25" thickBot="1">
      <c r="A7" s="752" t="s">
        <v>233</v>
      </c>
      <c r="B7" s="785">
        <f>데이터입력!AI18</f>
        <v>0.65800000000000003</v>
      </c>
      <c r="C7" s="793">
        <f>데이터입력!AJ18</f>
        <v>3</v>
      </c>
      <c r="D7" s="794" t="s">
        <v>159</v>
      </c>
      <c r="E7" s="795"/>
      <c r="F7" s="796" t="str">
        <f>데이터입력!AC9</f>
        <v>일반사업[일반]</v>
      </c>
      <c r="G7" s="797"/>
      <c r="H7" s="798"/>
      <c r="I7" s="799" t="s">
        <v>157</v>
      </c>
      <c r="K7" s="1236"/>
      <c r="L7" s="691" t="s">
        <v>379</v>
      </c>
      <c r="M7" s="691" t="s">
        <v>380</v>
      </c>
      <c r="N7" s="691" t="s">
        <v>381</v>
      </c>
      <c r="O7" s="691" t="s">
        <v>1</v>
      </c>
      <c r="P7" s="691" t="s">
        <v>505</v>
      </c>
      <c r="Q7" s="691" t="s">
        <v>506</v>
      </c>
      <c r="R7" s="691" t="s">
        <v>507</v>
      </c>
      <c r="S7" s="218"/>
      <c r="T7" s="1236"/>
      <c r="U7" s="691" t="s">
        <v>379</v>
      </c>
      <c r="V7" s="691" t="s">
        <v>380</v>
      </c>
      <c r="W7" s="691" t="s">
        <v>381</v>
      </c>
      <c r="X7" s="691" t="s">
        <v>1</v>
      </c>
      <c r="Y7" s="691" t="s">
        <v>505</v>
      </c>
      <c r="Z7" s="691" t="s">
        <v>506</v>
      </c>
      <c r="AA7" s="691" t="s">
        <v>507</v>
      </c>
      <c r="AB7" s="218"/>
      <c r="AC7" s="1236"/>
      <c r="AD7" s="691" t="s">
        <v>379</v>
      </c>
      <c r="AE7" s="691" t="s">
        <v>380</v>
      </c>
      <c r="AF7" s="691" t="s">
        <v>381</v>
      </c>
      <c r="AG7" s="691" t="s">
        <v>1</v>
      </c>
      <c r="AH7" s="691" t="s">
        <v>505</v>
      </c>
      <c r="AI7" s="691" t="s">
        <v>506</v>
      </c>
      <c r="AJ7" s="691" t="s">
        <v>507</v>
      </c>
      <c r="AL7" s="1250"/>
      <c r="AM7" s="1251"/>
      <c r="AN7" s="1101"/>
      <c r="AO7" s="1102"/>
      <c r="AP7" s="1103"/>
      <c r="AQ7" s="1104"/>
      <c r="AR7" s="1104"/>
      <c r="AS7" s="1104"/>
      <c r="AT7" s="1105"/>
      <c r="AU7" s="1086"/>
      <c r="AV7" s="1086"/>
      <c r="AW7" s="214"/>
      <c r="AX7" s="214"/>
    </row>
    <row r="8" spans="1:50" ht="18" customHeight="1" thickBot="1">
      <c r="A8" s="752" t="s">
        <v>234</v>
      </c>
      <c r="B8" s="785">
        <f>데이터입력!AI19</f>
        <v>0.49</v>
      </c>
      <c r="C8" s="793">
        <f>데이터입력!AJ19</f>
        <v>7</v>
      </c>
      <c r="D8" s="766"/>
      <c r="E8" s="767"/>
      <c r="F8" s="767"/>
      <c r="G8" s="767"/>
      <c r="H8" s="768"/>
      <c r="I8" s="800">
        <f>데이터입력!AF10</f>
        <v>1</v>
      </c>
      <c r="K8" s="250"/>
      <c r="L8" s="6"/>
      <c r="M8" s="6"/>
      <c r="N8" s="6"/>
      <c r="O8" s="6" t="str">
        <f>IFERROR(IF(예산업로드양식!E3="","",IF(예산업로드양식!F3="06",예산업로드양식!E3,"")),"")</f>
        <v>본인부담금수입</v>
      </c>
      <c r="P8" s="7">
        <f>IFERROR(IF(예산업로드양식!H3="","",IF(예산업로드양식!F3="06",예산업로드양식!H3,"")),"")</f>
        <v>33735444</v>
      </c>
      <c r="Q8" s="7">
        <f>P8</f>
        <v>33735444</v>
      </c>
      <c r="R8" s="7"/>
      <c r="S8" s="218"/>
      <c r="T8" s="250"/>
      <c r="U8" s="6"/>
      <c r="V8" s="6"/>
      <c r="W8" s="6"/>
      <c r="X8" s="6" t="str">
        <f>IFERROR(IF(예산업로드양식!E3="","",IF(예산업로드양식!F3="07",예산업로드양식!E3,"")),"")</f>
        <v/>
      </c>
      <c r="Y8" s="7" t="str">
        <f>IFERROR(IF(예산업로드양식!H3="","",IF(예산업로드양식!F3="07",예산업로드양식!H3,"")),"")</f>
        <v/>
      </c>
      <c r="Z8" s="7"/>
      <c r="AA8" s="7"/>
      <c r="AB8" s="218"/>
      <c r="AC8" s="250"/>
      <c r="AD8" s="6"/>
      <c r="AE8" s="6"/>
      <c r="AF8" s="6"/>
      <c r="AG8" s="6" t="str">
        <f>IFERROR(IF(예산업로드양식!E3="","",IF(예산업로드양식!F3="05",예산업로드양식!E3,"")),"")</f>
        <v/>
      </c>
      <c r="AH8" s="7" t="str">
        <f>IFERROR(IF(예산업로드양식!H3="","",IF(예산업로드양식!F3="05",예산업로드양식!H3,"")),"")</f>
        <v/>
      </c>
      <c r="AI8" s="7"/>
      <c r="AJ8" s="7"/>
      <c r="AL8" s="1252" t="s">
        <v>745</v>
      </c>
      <c r="AM8" s="1253"/>
      <c r="AN8" s="1253"/>
      <c r="AO8" s="1253"/>
      <c r="AP8" s="1253"/>
      <c r="AQ8" s="1253"/>
      <c r="AR8" s="1253"/>
      <c r="AS8" s="1253"/>
      <c r="AT8" s="1253"/>
      <c r="AU8" s="1086"/>
      <c r="AV8" s="1086"/>
      <c r="AW8" s="214"/>
      <c r="AX8" s="214"/>
    </row>
    <row r="9" spans="1:50" ht="17.25" customHeight="1" thickBot="1">
      <c r="A9" s="752" t="s">
        <v>235</v>
      </c>
      <c r="B9" s="785">
        <f>데이터입력!AI20</f>
        <v>0.59299999999999997</v>
      </c>
      <c r="C9" s="793">
        <f>데이터입력!AJ20</f>
        <v>4</v>
      </c>
      <c r="D9" s="801"/>
      <c r="E9" s="802"/>
      <c r="F9" s="802"/>
      <c r="G9" s="802"/>
      <c r="H9" s="802"/>
      <c r="I9" s="768"/>
      <c r="K9" s="41"/>
      <c r="L9" s="10"/>
      <c r="M9" s="10"/>
      <c r="N9" s="10"/>
      <c r="O9" s="10" t="str">
        <f>IFERROR(IF(예산업로드양식!E4="","",IF(예산업로드양식!F4="06",예산업로드양식!E4,"")),"")</f>
        <v>식재료비수입</v>
      </c>
      <c r="P9" s="11">
        <f>IFERROR(IF(예산업로드양식!H4="","",IF(예산업로드양식!F4="06",예산업로드양식!H4,"")),"")</f>
        <v>36414000</v>
      </c>
      <c r="Q9" s="11">
        <f>P9</f>
        <v>36414000</v>
      </c>
      <c r="R9" s="11"/>
      <c r="S9" s="218"/>
      <c r="T9" s="41"/>
      <c r="U9" s="10"/>
      <c r="V9" s="10"/>
      <c r="W9" s="10"/>
      <c r="X9" s="10" t="str">
        <f>IFERROR(IF(예산업로드양식!E4="","",IF(예산업로드양식!F4="07",예산업로드양식!E4,"")),"")</f>
        <v/>
      </c>
      <c r="Y9" s="11" t="str">
        <f>IFERROR(IF(예산업로드양식!H4="","",IF(예산업로드양식!F4="07",예산업로드양식!H4,"")),"")</f>
        <v/>
      </c>
      <c r="Z9" s="11"/>
      <c r="AA9" s="11"/>
      <c r="AB9" s="218"/>
      <c r="AC9" s="41"/>
      <c r="AD9" s="10"/>
      <c r="AE9" s="10"/>
      <c r="AF9" s="10"/>
      <c r="AG9" s="10" t="str">
        <f>IFERROR(IF(예산업로드양식!E4="","",IF(예산업로드양식!F4="05",예산업로드양식!E4,"")),"")</f>
        <v/>
      </c>
      <c r="AH9" s="11" t="str">
        <f>IFERROR(IF(예산업로드양식!H4="","",IF(예산업로드양식!F4="05",예산업로드양식!H4,"")),"")</f>
        <v/>
      </c>
      <c r="AI9" s="11"/>
      <c r="AJ9" s="11"/>
      <c r="AL9" s="1254"/>
      <c r="AM9" s="1255"/>
      <c r="AN9" s="1255"/>
      <c r="AO9" s="1255"/>
      <c r="AP9" s="1255"/>
      <c r="AQ9" s="1255"/>
      <c r="AR9" s="1255"/>
      <c r="AS9" s="1255"/>
      <c r="AT9" s="1255"/>
      <c r="AU9" s="1086"/>
      <c r="AV9" s="1086"/>
      <c r="AW9" s="214"/>
      <c r="AX9" s="214"/>
    </row>
    <row r="10" spans="1:50" ht="24.75" thickBot="1">
      <c r="A10" s="752" t="s">
        <v>113</v>
      </c>
      <c r="B10" s="785">
        <f>데이터입력!AI21</f>
        <v>0.86599999999999999</v>
      </c>
      <c r="C10" s="793">
        <f>데이터입력!AJ21</f>
        <v>1.5</v>
      </c>
      <c r="D10" s="801"/>
      <c r="E10" s="802"/>
      <c r="F10" s="802"/>
      <c r="G10" s="802"/>
      <c r="H10" s="802"/>
      <c r="I10" s="803"/>
      <c r="K10" s="42"/>
      <c r="L10" s="12"/>
      <c r="M10" s="12"/>
      <c r="N10" s="12"/>
      <c r="O10" s="12" t="str">
        <f>IFERROR(IF(예산업로드양식!E5="","",IF(예산업로드양식!F5="06",예산업로드양식!E5,"")),"")</f>
        <v>기타비급여수입</v>
      </c>
      <c r="P10" s="13">
        <f>IFERROR(IF(예산업로드양식!H5="","",IF(예산업로드양식!F5="06",예산업로드양식!H5,"")),"")</f>
        <v>1800000</v>
      </c>
      <c r="Q10" s="7">
        <f t="shared" ref="Q10:Q73" si="0">P10</f>
        <v>1800000</v>
      </c>
      <c r="R10" s="13"/>
      <c r="S10" s="218"/>
      <c r="T10" s="42"/>
      <c r="U10" s="12"/>
      <c r="V10" s="12"/>
      <c r="W10" s="12"/>
      <c r="X10" s="12" t="str">
        <f>IFERROR(IF(예산업로드양식!E5="","",IF(예산업로드양식!F5="07",예산업로드양식!E5,"")),"")</f>
        <v/>
      </c>
      <c r="Y10" s="13" t="str">
        <f>IFERROR(IF(예산업로드양식!H5="","",IF(예산업로드양식!F5="07",예산업로드양식!H5,"")),"")</f>
        <v/>
      </c>
      <c r="Z10" s="13"/>
      <c r="AA10" s="13"/>
      <c r="AB10" s="218"/>
      <c r="AC10" s="42"/>
      <c r="AD10" s="12"/>
      <c r="AE10" s="12"/>
      <c r="AF10" s="12"/>
      <c r="AG10" s="12" t="str">
        <f>IFERROR(IF(예산업로드양식!E5="","",IF(예산업로드양식!F5="05",예산업로드양식!E5,"")),"")</f>
        <v/>
      </c>
      <c r="AH10" s="13" t="str">
        <f>IFERROR(IF(예산업로드양식!H5="","",IF(예산업로드양식!F5="05",예산업로드양식!H5,"")),"")</f>
        <v/>
      </c>
      <c r="AI10" s="13"/>
      <c r="AJ10" s="13"/>
      <c r="AL10" s="1106" t="s">
        <v>472</v>
      </c>
      <c r="AM10" s="1107" t="s">
        <v>743</v>
      </c>
      <c r="AN10" s="1107" t="s">
        <v>251</v>
      </c>
      <c r="AO10" s="1108" t="s">
        <v>435</v>
      </c>
      <c r="AP10" s="1109" t="s">
        <v>477</v>
      </c>
      <c r="AQ10" s="1110" t="s">
        <v>436</v>
      </c>
      <c r="AR10" s="1107" t="s">
        <v>475</v>
      </c>
      <c r="AS10" s="1108" t="s">
        <v>476</v>
      </c>
      <c r="AT10" s="1109" t="s">
        <v>478</v>
      </c>
      <c r="AU10" s="1109" t="s">
        <v>714</v>
      </c>
      <c r="AV10" s="1109" t="s">
        <v>715</v>
      </c>
      <c r="AW10" s="1111" t="s">
        <v>479</v>
      </c>
      <c r="AX10" s="1112" t="s">
        <v>480</v>
      </c>
    </row>
    <row r="11" spans="1:50" ht="22.5">
      <c r="A11" s="752" t="s">
        <v>116</v>
      </c>
      <c r="B11" s="785">
        <f>데이터입력!AI22</f>
        <v>0.501</v>
      </c>
      <c r="C11" s="793">
        <f>데이터입력!AJ22</f>
        <v>2</v>
      </c>
      <c r="D11" s="801"/>
      <c r="E11" s="802"/>
      <c r="F11" s="802"/>
      <c r="G11" s="802"/>
      <c r="H11" s="802"/>
      <c r="I11" s="803"/>
      <c r="K11" s="41"/>
      <c r="L11" s="10"/>
      <c r="M11" s="10"/>
      <c r="N11" s="10"/>
      <c r="O11" s="10" t="str">
        <f>IFERROR(IF(예산업로드양식!E6="","",IF(예산업로드양식!F6="06",예산업로드양식!E6,"")),"")</f>
        <v>장기요양급여수입(인건비비율 반영)</v>
      </c>
      <c r="P11" s="11">
        <f>IFERROR(IF(예산업로드양식!H6="","",IF(예산업로드양식!F6="06",예산업로드양식!H6,"")),"")</f>
        <v>191167152</v>
      </c>
      <c r="Q11" s="11">
        <f t="shared" si="0"/>
        <v>191167152</v>
      </c>
      <c r="R11" s="11"/>
      <c r="S11" s="218"/>
      <c r="T11" s="41"/>
      <c r="U11" s="10"/>
      <c r="V11" s="10"/>
      <c r="W11" s="10"/>
      <c r="X11" s="10" t="str">
        <f>IFERROR(IF(예산업로드양식!E6="","",IF(예산업로드양식!F6="07",예산업로드양식!E6,"")),"")</f>
        <v/>
      </c>
      <c r="Y11" s="11" t="str">
        <f>IFERROR(IF(예산업로드양식!H6="","",IF(예산업로드양식!F6="07",예산업로드양식!H6,"")),"")</f>
        <v/>
      </c>
      <c r="Z11" s="11"/>
      <c r="AA11" s="11"/>
      <c r="AB11" s="218"/>
      <c r="AC11" s="41"/>
      <c r="AD11" s="10"/>
      <c r="AE11" s="10"/>
      <c r="AF11" s="10"/>
      <c r="AG11" s="10" t="str">
        <f>IFERROR(IF(예산업로드양식!E6="","",IF(예산업로드양식!F6="05",예산업로드양식!E6,"")),"")</f>
        <v/>
      </c>
      <c r="AH11" s="11" t="str">
        <f>IFERROR(IF(예산업로드양식!H6="","",IF(예산업로드양식!F6="05",예산업로드양식!H6,"")),"")</f>
        <v/>
      </c>
      <c r="AI11" s="11"/>
      <c r="AJ11" s="11"/>
      <c r="AL11" s="1128" t="str">
        <f>IF(보수일람표!O11="","",보수일람표!O11)</f>
        <v>김현주</v>
      </c>
      <c r="AM11" s="1129" t="str">
        <f>IF(보수일람표!P11="","",보수일람표!P11)</f>
        <v>시설장(관리책임자)</v>
      </c>
      <c r="AN11" s="1130">
        <f>IF(보수일람표!S11="","",보수일람표!S11)</f>
        <v>2100000</v>
      </c>
      <c r="AO11" s="1131">
        <f>IF(보수일람표!R11="","",보수일람표!R11)</f>
        <v>0</v>
      </c>
      <c r="AP11" s="1118">
        <f>IF(보수일람표!S11="","",보수일람표!S11)</f>
        <v>2100000</v>
      </c>
      <c r="AQ11" s="1132">
        <f>IF(보수일람표!T11="","",보수일람표!T11)</f>
        <v>0</v>
      </c>
      <c r="AR11" s="1120">
        <f>IF(보수일람표!U11="","",보수일람표!U11)</f>
        <v>175000</v>
      </c>
      <c r="AS11" s="1121">
        <f>IF(보수일람표!V11="","",보수일람표!V11)</f>
        <v>307500</v>
      </c>
      <c r="AT11" s="1122">
        <f>IF(보수일람표!W11="","",보수일람표!W11)</f>
        <v>2582500</v>
      </c>
      <c r="AU11" s="1123">
        <f>IF(보수일람표!X11="","",보수일람표!X11)</f>
        <v>2021050</v>
      </c>
      <c r="AV11" s="1124">
        <f>IF(보수일람표!Y11="","",보수일람표!Y11)</f>
        <v>2100000</v>
      </c>
      <c r="AW11" s="1133">
        <f>IF(보수일람표!Z11="","",보수일람표!Z11)</f>
        <v>175000</v>
      </c>
      <c r="AX11" s="1134">
        <f>IF(보수일람표!AA11="","",보수일람표!AA11)</f>
        <v>175000</v>
      </c>
    </row>
    <row r="12" spans="1:50" ht="17.25" thickBot="1">
      <c r="A12" s="919" t="s">
        <v>119</v>
      </c>
      <c r="B12" s="920">
        <f>데이터입력!AI23</f>
        <v>0.60899999999999999</v>
      </c>
      <c r="C12" s="793">
        <f>데이터입력!AJ23</f>
        <v>1.5</v>
      </c>
      <c r="D12" s="775"/>
      <c r="E12" s="776"/>
      <c r="F12" s="776"/>
      <c r="G12" s="776"/>
      <c r="H12" s="776"/>
      <c r="I12" s="777"/>
      <c r="K12" s="42"/>
      <c r="L12" s="12"/>
      <c r="M12" s="12"/>
      <c r="N12" s="12"/>
      <c r="O12" s="12" t="str">
        <f>IFERROR(IF(예산업로드양식!E7="","",IF(예산업로드양식!F7="06",예산업로드양식!E7,"")),"")</f>
        <v>가산금수입(인건비비율 반영)</v>
      </c>
      <c r="P12" s="13">
        <f>IFERROR(IF(예산업로드양식!H7="","",IF(예산업로드양식!F7="06",예산업로드양식!H7,"")),"")</f>
        <v>72000000</v>
      </c>
      <c r="Q12" s="7">
        <f t="shared" si="0"/>
        <v>72000000</v>
      </c>
      <c r="R12" s="13"/>
      <c r="S12" s="218"/>
      <c r="T12" s="42"/>
      <c r="U12" s="12"/>
      <c r="V12" s="12"/>
      <c r="W12" s="12"/>
      <c r="X12" s="12" t="str">
        <f>IFERROR(IF(예산업로드양식!E7="","",IF(예산업로드양식!F7="07",예산업로드양식!E7,"")),"")</f>
        <v/>
      </c>
      <c r="Y12" s="13" t="str">
        <f>IFERROR(IF(예산업로드양식!H7="","",IF(예산업로드양식!F7="07",예산업로드양식!H7,"")),"")</f>
        <v/>
      </c>
      <c r="Z12" s="13"/>
      <c r="AA12" s="13"/>
      <c r="AB12" s="218"/>
      <c r="AC12" s="42"/>
      <c r="AD12" s="12"/>
      <c r="AE12" s="12"/>
      <c r="AF12" s="12"/>
      <c r="AG12" s="12" t="str">
        <f>IFERROR(IF(예산업로드양식!E7="","",IF(예산업로드양식!F7="05",예산업로드양식!E7,"")),"")</f>
        <v/>
      </c>
      <c r="AH12" s="13" t="str">
        <f>IFERROR(IF(예산업로드양식!H7="","",IF(예산업로드양식!F7="05",예산업로드양식!H7,"")),"")</f>
        <v/>
      </c>
      <c r="AI12" s="13"/>
      <c r="AJ12" s="13"/>
      <c r="AL12" s="1128" t="str">
        <f>IF(보수일람표!O12="","",보수일람표!O12)</f>
        <v>유미남</v>
      </c>
      <c r="AM12" s="1129" t="str">
        <f>IF(보수일람표!P12="","",보수일람표!P12)</f>
        <v>조리원</v>
      </c>
      <c r="AN12" s="1130">
        <f>IF(보수일람표!S12="","",보수일람표!S12)</f>
        <v>2100000</v>
      </c>
      <c r="AO12" s="1131">
        <f>IF(보수일람표!R12="","",보수일람표!R12)</f>
        <v>0</v>
      </c>
      <c r="AP12" s="1118">
        <f>IF(보수일람표!S12="","",보수일람표!S12)</f>
        <v>2100000</v>
      </c>
      <c r="AQ12" s="1132">
        <f>IF(보수일람표!T12="","",보수일람표!T12)</f>
        <v>0</v>
      </c>
      <c r="AR12" s="1120">
        <f>IF(보수일람표!U12="","",보수일람표!U12)</f>
        <v>175000</v>
      </c>
      <c r="AS12" s="1121">
        <f>IF(보수일람표!V12="","",보수일람표!V12)</f>
        <v>307500</v>
      </c>
      <c r="AT12" s="1122">
        <f>IF(보수일람표!W12="","",보수일람표!W12)</f>
        <v>2582500</v>
      </c>
      <c r="AU12" s="1123">
        <f>IF(보수일람표!X12="","",보수일람표!X12)</f>
        <v>2021050</v>
      </c>
      <c r="AV12" s="1124">
        <f>IF(보수일람표!Y12="","",보수일람표!Y12)</f>
        <v>2100000</v>
      </c>
      <c r="AW12" s="1133">
        <f>IF(보수일람표!Z12="","",보수일람표!Z12)</f>
        <v>175000</v>
      </c>
      <c r="AX12" s="1134">
        <f>IF(보수일람표!AA12="","",보수일람표!AA12)</f>
        <v>175000</v>
      </c>
    </row>
    <row r="13" spans="1:50" ht="17.25" thickBot="1">
      <c r="A13" s="921" t="s">
        <v>711</v>
      </c>
      <c r="B13" s="922">
        <f>데이터입력!T31</f>
        <v>4250</v>
      </c>
      <c r="C13" s="806" t="s">
        <v>271</v>
      </c>
      <c r="D13" s="807"/>
      <c r="E13" s="807"/>
      <c r="F13" s="807"/>
      <c r="G13" s="807"/>
      <c r="H13" s="807"/>
      <c r="I13" s="808"/>
      <c r="K13" s="41"/>
      <c r="L13" s="10"/>
      <c r="M13" s="10"/>
      <c r="N13" s="10"/>
      <c r="O13" s="10" t="str">
        <f>IFERROR(IF(예산업로드양식!E8="","",IF(예산업로드양식!F8="06",예산업로드양식!E8,"")),"")</f>
        <v>전년도이월금</v>
      </c>
      <c r="P13" s="11">
        <f>IFERROR(IF(예산업로드양식!H8="","",IF(예산업로드양식!F8="06",예산업로드양식!H8,"")),"")</f>
        <v>24777480</v>
      </c>
      <c r="Q13" s="11">
        <f t="shared" si="0"/>
        <v>24777480</v>
      </c>
      <c r="R13" s="11"/>
      <c r="S13" s="218"/>
      <c r="T13" s="41"/>
      <c r="U13" s="10"/>
      <c r="V13" s="10"/>
      <c r="W13" s="10"/>
      <c r="X13" s="10" t="str">
        <f>IFERROR(IF(예산업로드양식!E8="","",IF(예산업로드양식!F8="07",예산업로드양식!E8,"")),"")</f>
        <v/>
      </c>
      <c r="Y13" s="11" t="str">
        <f>IFERROR(IF(예산업로드양식!H8="","",IF(예산업로드양식!F8="07",예산업로드양식!H8,"")),"")</f>
        <v/>
      </c>
      <c r="Z13" s="11"/>
      <c r="AA13" s="11"/>
      <c r="AB13" s="218"/>
      <c r="AC13" s="41"/>
      <c r="AD13" s="10"/>
      <c r="AE13" s="10"/>
      <c r="AF13" s="10"/>
      <c r="AG13" s="10" t="str">
        <f>IFERROR(IF(예산업로드양식!E8="","",IF(예산업로드양식!F8="05",예산업로드양식!E8,"")),"")</f>
        <v/>
      </c>
      <c r="AH13" s="11" t="str">
        <f>IFERROR(IF(예산업로드양식!H8="","",IF(예산업로드양식!F8="05",예산업로드양식!H8,"")),"")</f>
        <v/>
      </c>
      <c r="AI13" s="11"/>
      <c r="AJ13" s="11"/>
      <c r="AL13" s="1128" t="str">
        <f>IF(보수일람표!O13="","",보수일람표!O13)</f>
        <v>신규1</v>
      </c>
      <c r="AM13" s="1129" t="str">
        <f>IF(보수일람표!P13="","",보수일람표!P13)</f>
        <v>보조원 운전사</v>
      </c>
      <c r="AN13" s="1130">
        <f>IF(보수일람표!S13="","",보수일람표!S13)</f>
        <v>600000</v>
      </c>
      <c r="AO13" s="1131">
        <f>IF(보수일람표!R13="","",보수일람표!R13)</f>
        <v>0</v>
      </c>
      <c r="AP13" s="1118">
        <f>IF(보수일람표!S13="","",보수일람표!S13)</f>
        <v>600000</v>
      </c>
      <c r="AQ13" s="1132">
        <f>IF(보수일람표!T13="","",보수일람표!T13)</f>
        <v>0</v>
      </c>
      <c r="AR13" s="1120">
        <f>IF(보수일람표!U13="","",보수일람표!U13)</f>
        <v>50000</v>
      </c>
      <c r="AS13" s="1121">
        <f>IF(보수일람표!V13="","",보수일람표!V13)</f>
        <v>87860</v>
      </c>
      <c r="AT13" s="1122">
        <f>IF(보수일람표!W13="","",보수일람표!W13)</f>
        <v>737860</v>
      </c>
      <c r="AU13" s="1123">
        <f>IF(보수일람표!X13="","",보수일람표!X13)</f>
        <v>577440</v>
      </c>
      <c r="AV13" s="1124">
        <f>IF(보수일람표!Y13="","",보수일람표!Y13)</f>
        <v>600000</v>
      </c>
      <c r="AW13" s="1133">
        <f>IF(보수일람표!Z13="","",보수일람표!Z13)</f>
        <v>50000</v>
      </c>
      <c r="AX13" s="1134">
        <f>IF(보수일람표!AA13="","",보수일람표!AA13)</f>
        <v>50000</v>
      </c>
    </row>
    <row r="14" spans="1:50" ht="17.25" thickBot="1">
      <c r="A14" s="801"/>
      <c r="B14" s="803"/>
      <c r="C14" s="809" t="s">
        <v>211</v>
      </c>
      <c r="D14" s="810"/>
      <c r="E14" s="811" t="s">
        <v>212</v>
      </c>
      <c r="F14" s="810"/>
      <c r="G14" s="811" t="s">
        <v>128</v>
      </c>
      <c r="H14" s="812"/>
      <c r="I14" s="813" t="s">
        <v>189</v>
      </c>
      <c r="K14" s="42"/>
      <c r="L14" s="12"/>
      <c r="M14" s="12"/>
      <c r="N14" s="12"/>
      <c r="O14" s="12" t="str">
        <f>IFERROR(IF(예산업로드양식!E9="","",IF(예산업로드양식!F9="06",예산업로드양식!E9,"")),"")</f>
        <v>기타예금이자수입</v>
      </c>
      <c r="P14" s="13">
        <f>IFERROR(IF(예산업로드양식!H9="","",IF(예산업로드양식!F9="06",예산업로드양식!H9,"")),"")</f>
        <v>20000</v>
      </c>
      <c r="Q14" s="7">
        <f t="shared" si="0"/>
        <v>20000</v>
      </c>
      <c r="R14" s="13"/>
      <c r="S14" s="218"/>
      <c r="T14" s="42"/>
      <c r="U14" s="12"/>
      <c r="V14" s="12"/>
      <c r="W14" s="12"/>
      <c r="X14" s="12" t="str">
        <f>IFERROR(IF(예산업로드양식!E9="","",IF(예산업로드양식!F9="07",예산업로드양식!E9,"")),"")</f>
        <v/>
      </c>
      <c r="Y14" s="13" t="str">
        <f>IFERROR(IF(예산업로드양식!H9="","",IF(예산업로드양식!F9="07",예산업로드양식!H9,"")),"")</f>
        <v/>
      </c>
      <c r="Z14" s="13"/>
      <c r="AA14" s="13"/>
      <c r="AB14" s="218"/>
      <c r="AC14" s="42"/>
      <c r="AD14" s="12"/>
      <c r="AE14" s="12"/>
      <c r="AF14" s="12"/>
      <c r="AG14" s="12" t="str">
        <f>IFERROR(IF(예산업로드양식!E9="","",IF(예산업로드양식!F9="05",예산업로드양식!E9,"")),"")</f>
        <v/>
      </c>
      <c r="AH14" s="13" t="str">
        <f>IFERROR(IF(예산업로드양식!H9="","",IF(예산업로드양식!F9="05",예산업로드양식!H9,"")),"")</f>
        <v/>
      </c>
      <c r="AI14" s="13"/>
      <c r="AJ14" s="13"/>
      <c r="AL14" s="1128" t="str">
        <f>IF(보수일람표!O14="","",보수일람표!O14)</f>
        <v/>
      </c>
      <c r="AM14" s="1129" t="str">
        <f>IF(보수일람표!P14="","",보수일람표!P14)</f>
        <v/>
      </c>
      <c r="AN14" s="1130">
        <f>IF(보수일람표!S14="","",보수일람표!S14)</f>
        <v>0</v>
      </c>
      <c r="AO14" s="1131">
        <f>IF(보수일람표!R14="","",보수일람표!R14)</f>
        <v>0</v>
      </c>
      <c r="AP14" s="1118">
        <f>IF(보수일람표!S14="","",보수일람표!S14)</f>
        <v>0</v>
      </c>
      <c r="AQ14" s="1132">
        <f>IF(보수일람표!T14="","",보수일람표!T14)</f>
        <v>0</v>
      </c>
      <c r="AR14" s="1120">
        <f>IF(보수일람표!U14="","",보수일람표!U14)</f>
        <v>0</v>
      </c>
      <c r="AS14" s="1121">
        <f>IF(보수일람표!V14="","",보수일람표!V14)</f>
        <v>0</v>
      </c>
      <c r="AT14" s="1122">
        <f>IF(보수일람표!W14="","",보수일람표!W14)</f>
        <v>0</v>
      </c>
      <c r="AU14" s="1123">
        <f>IF(보수일람표!X14="","",보수일람표!X14)</f>
        <v>0</v>
      </c>
      <c r="AV14" s="1124">
        <f>IF(보수일람표!Y14="","",보수일람표!Y14)</f>
        <v>0</v>
      </c>
      <c r="AW14" s="1133">
        <f>IF(보수일람표!Z14="","",보수일람표!Z14)</f>
        <v>0</v>
      </c>
      <c r="AX14" s="1134">
        <f>IF(보수일람표!AA14="","",보수일람표!AA14)</f>
        <v>0</v>
      </c>
    </row>
    <row r="15" spans="1:50">
      <c r="A15" s="801"/>
      <c r="B15" s="803"/>
      <c r="C15" s="1063" t="str">
        <f>IF(데이터입력!Z25="","X",데이터입력!Z25)</f>
        <v>국고보조금</v>
      </c>
      <c r="D15" s="815"/>
      <c r="E15" s="1063" t="str">
        <f>IF(데이터입력!AB25="","X",데이터입력!AB25)</f>
        <v>시도보조금</v>
      </c>
      <c r="F15" s="815"/>
      <c r="G15" s="1063" t="str">
        <f>IF(데이터입력!AD25="","X",데이터입력!AD25)</f>
        <v>기타잡수입</v>
      </c>
      <c r="H15" s="815"/>
      <c r="I15" s="818"/>
      <c r="K15" s="41"/>
      <c r="L15" s="10"/>
      <c r="M15" s="10"/>
      <c r="N15" s="10"/>
      <c r="O15" s="10" t="str">
        <f>IFERROR(IF(예산업로드양식!E10="","",IF(예산업로드양식!F10="06",예산업로드양식!E10,"")),"")</f>
        <v>기타잡수입</v>
      </c>
      <c r="P15" s="11">
        <f>IFERROR(IF(예산업로드양식!H10="","",IF(예산업로드양식!F10="06",예산업로드양식!H10,"")),"")</f>
        <v>9600000</v>
      </c>
      <c r="Q15" s="11">
        <f t="shared" si="0"/>
        <v>9600000</v>
      </c>
      <c r="R15" s="11"/>
      <c r="S15" s="218"/>
      <c r="T15" s="41"/>
      <c r="U15" s="10"/>
      <c r="V15" s="10"/>
      <c r="W15" s="10"/>
      <c r="X15" s="10" t="str">
        <f>IFERROR(IF(예산업로드양식!E10="","",IF(예산업로드양식!F10="07",예산업로드양식!E10,"")),"")</f>
        <v/>
      </c>
      <c r="Y15" s="11" t="str">
        <f>IFERROR(IF(예산업로드양식!H10="","",IF(예산업로드양식!F10="07",예산업로드양식!H10,"")),"")</f>
        <v/>
      </c>
      <c r="Z15" s="11"/>
      <c r="AA15" s="11"/>
      <c r="AB15" s="218"/>
      <c r="AC15" s="41"/>
      <c r="AD15" s="10"/>
      <c r="AE15" s="10"/>
      <c r="AF15" s="10"/>
      <c r="AG15" s="10" t="str">
        <f>IFERROR(IF(예산업로드양식!E10="","",IF(예산업로드양식!F10="05",예산업로드양식!E10,"")),"")</f>
        <v/>
      </c>
      <c r="AH15" s="11" t="str">
        <f>IFERROR(IF(예산업로드양식!H10="","",IF(예산업로드양식!F10="05",예산업로드양식!H10,"")),"")</f>
        <v/>
      </c>
      <c r="AI15" s="11"/>
      <c r="AJ15" s="11"/>
      <c r="AL15" s="1128" t="str">
        <f>IF(보수일람표!O15="","",보수일람표!O15)</f>
        <v/>
      </c>
      <c r="AM15" s="1129" t="str">
        <f>IF(보수일람표!P15="","",보수일람표!P15)</f>
        <v/>
      </c>
      <c r="AN15" s="1130">
        <f>IF(보수일람표!S15="","",보수일람표!S15)</f>
        <v>0</v>
      </c>
      <c r="AO15" s="1131">
        <f>IF(보수일람표!R15="","",보수일람표!R15)</f>
        <v>0</v>
      </c>
      <c r="AP15" s="1118">
        <f>IF(보수일람표!S15="","",보수일람표!S15)</f>
        <v>0</v>
      </c>
      <c r="AQ15" s="1132">
        <f>IF(보수일람표!T15="","",보수일람표!T15)</f>
        <v>0</v>
      </c>
      <c r="AR15" s="1120">
        <f>IF(보수일람표!U15="","",보수일람표!U15)</f>
        <v>0</v>
      </c>
      <c r="AS15" s="1121">
        <f>IF(보수일람표!V15="","",보수일람표!V15)</f>
        <v>0</v>
      </c>
      <c r="AT15" s="1122">
        <f>IF(보수일람표!W15="","",보수일람표!W15)</f>
        <v>0</v>
      </c>
      <c r="AU15" s="1123">
        <f>IF(보수일람표!X15="","",보수일람표!X15)</f>
        <v>0</v>
      </c>
      <c r="AV15" s="1124">
        <f>IF(보수일람표!Y15="","",보수일람표!Y15)</f>
        <v>0</v>
      </c>
      <c r="AW15" s="1133">
        <f>IF(보수일람표!Z15="","",보수일람표!Z15)</f>
        <v>0</v>
      </c>
      <c r="AX15" s="1134">
        <f>IF(보수일람표!AA15="","",보수일람표!AA15)</f>
        <v>0</v>
      </c>
    </row>
    <row r="16" spans="1:50">
      <c r="A16" s="801"/>
      <c r="B16" s="803"/>
      <c r="C16" s="819" t="str">
        <f>IF(데이터입력!Z26="","X",데이터입력!Z26)</f>
        <v>X</v>
      </c>
      <c r="D16" s="820">
        <f>데이터입력!AA26</f>
        <v>0</v>
      </c>
      <c r="E16" s="819" t="str">
        <f>IF(데이터입력!AB26="","X",데이터입력!AB26)</f>
        <v>X</v>
      </c>
      <c r="F16" s="820">
        <f>데이터입력!AC26</f>
        <v>0</v>
      </c>
      <c r="G16" s="819" t="str">
        <f>IF(데이터입력!AD26="","X",데이터입력!AD26)</f>
        <v>각종근로지원금</v>
      </c>
      <c r="H16" s="820">
        <f>데이터입력!AE26</f>
        <v>500000</v>
      </c>
      <c r="I16" s="1064">
        <f>IF(G16="X",데이터입력!$Y$8,데이터입력!AF26)</f>
        <v>12</v>
      </c>
      <c r="K16" s="42"/>
      <c r="L16" s="12"/>
      <c r="M16" s="12"/>
      <c r="N16" s="12"/>
      <c r="O16" s="12" t="str">
        <f>IFERROR(IF(예산업로드양식!E11="","",IF(예산업로드양식!F11="06",예산업로드양식!E11,"")),"")</f>
        <v>급여(직접비)</v>
      </c>
      <c r="P16" s="13">
        <f>IFERROR(IF(예산업로드양식!H11="","",IF(예산업로드양식!F11="06",예산업로드양식!H11,"")),"")</f>
        <v>126936000</v>
      </c>
      <c r="Q16" s="7">
        <f t="shared" si="0"/>
        <v>126936000</v>
      </c>
      <c r="R16" s="13"/>
      <c r="S16" s="218"/>
      <c r="T16" s="42"/>
      <c r="U16" s="12"/>
      <c r="V16" s="12"/>
      <c r="W16" s="12"/>
      <c r="X16" s="12" t="str">
        <f>IFERROR(IF(예산업로드양식!E11="","",IF(예산업로드양식!F11="07",예산업로드양식!E11,"")),"")</f>
        <v/>
      </c>
      <c r="Y16" s="13" t="str">
        <f>IFERROR(IF(예산업로드양식!H11="","",IF(예산업로드양식!F11="07",예산업로드양식!H11,"")),"")</f>
        <v/>
      </c>
      <c r="Z16" s="13"/>
      <c r="AA16" s="13"/>
      <c r="AB16" s="218"/>
      <c r="AC16" s="42"/>
      <c r="AD16" s="12"/>
      <c r="AE16" s="12"/>
      <c r="AF16" s="12"/>
      <c r="AG16" s="12" t="str">
        <f>IFERROR(IF(예산업로드양식!E11="","",IF(예산업로드양식!F11="05",예산업로드양식!E11,"")),"")</f>
        <v/>
      </c>
      <c r="AH16" s="13" t="str">
        <f>IFERROR(IF(예산업로드양식!H11="","",IF(예산업로드양식!F11="05",예산업로드양식!H11,"")),"")</f>
        <v/>
      </c>
      <c r="AI16" s="13"/>
      <c r="AJ16" s="13"/>
      <c r="AL16" s="1128" t="str">
        <f>IF(보수일람표!O16="","",보수일람표!O16)</f>
        <v/>
      </c>
      <c r="AM16" s="1129" t="str">
        <f>IF(보수일람표!P16="","",보수일람표!P16)</f>
        <v/>
      </c>
      <c r="AN16" s="1130">
        <f>IF(보수일람표!S16="","",보수일람표!S16)</f>
        <v>0</v>
      </c>
      <c r="AO16" s="1131">
        <f>IF(보수일람표!R16="","",보수일람표!R16)</f>
        <v>0</v>
      </c>
      <c r="AP16" s="1118">
        <f>IF(보수일람표!S16="","",보수일람표!S16)</f>
        <v>0</v>
      </c>
      <c r="AQ16" s="1132">
        <f>IF(보수일람표!T16="","",보수일람표!T16)</f>
        <v>0</v>
      </c>
      <c r="AR16" s="1120">
        <f>IF(보수일람표!U16="","",보수일람표!U16)</f>
        <v>0</v>
      </c>
      <c r="AS16" s="1121">
        <f>IF(보수일람표!V16="","",보수일람표!V16)</f>
        <v>0</v>
      </c>
      <c r="AT16" s="1122">
        <f>IF(보수일람표!W16="","",보수일람표!W16)</f>
        <v>0</v>
      </c>
      <c r="AU16" s="1123">
        <f>IF(보수일람표!X16="","",보수일람표!X16)</f>
        <v>0</v>
      </c>
      <c r="AV16" s="1124">
        <f>IF(보수일람표!Y16="","",보수일람표!Y16)</f>
        <v>0</v>
      </c>
      <c r="AW16" s="1133">
        <f>IF(보수일람표!Z16="","",보수일람표!Z16)</f>
        <v>0</v>
      </c>
      <c r="AX16" s="1134">
        <f>IF(보수일람표!AA16="","",보수일람표!AA16)</f>
        <v>0</v>
      </c>
    </row>
    <row r="17" spans="1:50" ht="17.25" thickBot="1">
      <c r="A17" s="801"/>
      <c r="B17" s="803"/>
      <c r="C17" s="819" t="str">
        <f>IF(데이터입력!Z27="","X",데이터입력!Z27)</f>
        <v>X</v>
      </c>
      <c r="D17" s="820">
        <f>데이터입력!AA27</f>
        <v>0</v>
      </c>
      <c r="E17" s="819" t="str">
        <f>IF(데이터입력!AB27="","X",데이터입력!AB27)</f>
        <v>X</v>
      </c>
      <c r="F17" s="820">
        <f>데이터입력!AC27</f>
        <v>0</v>
      </c>
      <c r="G17" s="819" t="str">
        <f>IF(데이터입력!AD27="","X",데이터입력!AD27)</f>
        <v>의료비대납외</v>
      </c>
      <c r="H17" s="820">
        <f>데이터입력!AE27</f>
        <v>200000</v>
      </c>
      <c r="I17" s="1064">
        <f>IF(G17="X",데이터입력!$Y$8,데이터입력!AF27)</f>
        <v>12</v>
      </c>
      <c r="K17" s="41"/>
      <c r="L17" s="10"/>
      <c r="M17" s="10"/>
      <c r="N17" s="10"/>
      <c r="O17" s="10" t="str">
        <f>IFERROR(IF(예산업로드양식!E12="","",IF(예산업로드양식!F12="06",예산업로드양식!E12,"")),"")</f>
        <v>급여(간접비)</v>
      </c>
      <c r="P17" s="11">
        <f>IFERROR(IF(예산업로드양식!H12="","",IF(예산업로드양식!F12="06",예산업로드양식!H12,"")),"")</f>
        <v>55434480</v>
      </c>
      <c r="Q17" s="11">
        <f t="shared" si="0"/>
        <v>55434480</v>
      </c>
      <c r="R17" s="11"/>
      <c r="S17" s="218"/>
      <c r="T17" s="41"/>
      <c r="U17" s="10"/>
      <c r="V17" s="10"/>
      <c r="W17" s="10"/>
      <c r="X17" s="10" t="str">
        <f>IFERROR(IF(예산업로드양식!E12="","",IF(예산업로드양식!F12="07",예산업로드양식!E12,"")),"")</f>
        <v/>
      </c>
      <c r="Y17" s="11" t="str">
        <f>IFERROR(IF(예산업로드양식!H12="","",IF(예산업로드양식!F12="07",예산업로드양식!H12,"")),"")</f>
        <v/>
      </c>
      <c r="Z17" s="11"/>
      <c r="AA17" s="11"/>
      <c r="AB17" s="218"/>
      <c r="AC17" s="41"/>
      <c r="AD17" s="10"/>
      <c r="AE17" s="10"/>
      <c r="AF17" s="10"/>
      <c r="AG17" s="10" t="str">
        <f>IFERROR(IF(예산업로드양식!E12="","",IF(예산업로드양식!F12="05",예산업로드양식!E12,"")),"")</f>
        <v/>
      </c>
      <c r="AH17" s="11" t="str">
        <f>IFERROR(IF(예산업로드양식!H12="","",IF(예산업로드양식!F12="05",예산업로드양식!H12,"")),"")</f>
        <v/>
      </c>
      <c r="AI17" s="11"/>
      <c r="AJ17" s="11"/>
      <c r="AL17" s="1128" t="str">
        <f>IF(보수일람표!O17="","",보수일람표!O17)</f>
        <v/>
      </c>
      <c r="AM17" s="1129" t="str">
        <f>IF(보수일람표!P17="","",보수일람표!P17)</f>
        <v/>
      </c>
      <c r="AN17" s="1130">
        <f>IF(보수일람표!S17="","",보수일람표!S17)</f>
        <v>0</v>
      </c>
      <c r="AO17" s="1131">
        <f>IF(보수일람표!R17="","",보수일람표!R17)</f>
        <v>0</v>
      </c>
      <c r="AP17" s="1118">
        <f>IF(보수일람표!S17="","",보수일람표!S17)</f>
        <v>0</v>
      </c>
      <c r="AQ17" s="1132">
        <f>IF(보수일람표!T17="","",보수일람표!T17)</f>
        <v>0</v>
      </c>
      <c r="AR17" s="1120">
        <f>IF(보수일람표!U17="","",보수일람표!U17)</f>
        <v>0</v>
      </c>
      <c r="AS17" s="1121">
        <f>IF(보수일람표!V17="","",보수일람표!V17)</f>
        <v>0</v>
      </c>
      <c r="AT17" s="1122">
        <f>IF(보수일람표!W17="","",보수일람표!W17)</f>
        <v>0</v>
      </c>
      <c r="AU17" s="1123">
        <f>IF(보수일람표!X17="","",보수일람표!X17)</f>
        <v>0</v>
      </c>
      <c r="AV17" s="1124">
        <f>IF(보수일람표!Y17="","",보수일람표!Y17)</f>
        <v>0</v>
      </c>
      <c r="AW17" s="1133">
        <f>IF(보수일람표!Z17="","",보수일람표!Z17)</f>
        <v>0</v>
      </c>
      <c r="AX17" s="1134">
        <f>IF(보수일람표!AA17="","",보수일람표!AA17)</f>
        <v>0</v>
      </c>
    </row>
    <row r="18" spans="1:50" ht="17.25" thickBot="1">
      <c r="A18" s="801"/>
      <c r="B18" s="803"/>
      <c r="C18" s="822" t="s">
        <v>213</v>
      </c>
      <c r="D18" s="823"/>
      <c r="E18" s="824" t="s">
        <v>214</v>
      </c>
      <c r="F18" s="823"/>
      <c r="G18" s="819" t="str">
        <f>IF(데이터입력!AD28="","X",데이터입력!AD28)</f>
        <v>X</v>
      </c>
      <c r="H18" s="820">
        <f>데이터입력!AE28</f>
        <v>0</v>
      </c>
      <c r="I18" s="1064">
        <f>IF(G18="X",데이터입력!$Y$8,데이터입력!AF28)</f>
        <v>12</v>
      </c>
      <c r="K18" s="42"/>
      <c r="L18" s="12"/>
      <c r="M18" s="12"/>
      <c r="N18" s="12"/>
      <c r="O18" s="12" t="str">
        <f>IFERROR(IF(예산업로드양식!E13="","",IF(예산업로드양식!F13="06",예산업로드양식!E13,"")),"")</f>
        <v>퇴직금 및 퇴직적립금(직접비)</v>
      </c>
      <c r="P18" s="13">
        <f>IFERROR(IF(예산업로드양식!H13="","",IF(예산업로드양식!F13="06",예산업로드양식!H13,"")),"")</f>
        <v>10578012</v>
      </c>
      <c r="Q18" s="7">
        <f t="shared" si="0"/>
        <v>10578012</v>
      </c>
      <c r="R18" s="13"/>
      <c r="S18" s="218"/>
      <c r="T18" s="42"/>
      <c r="U18" s="12"/>
      <c r="V18" s="12"/>
      <c r="W18" s="12"/>
      <c r="X18" s="12" t="str">
        <f>IFERROR(IF(예산업로드양식!E13="","",IF(예산업로드양식!F13="07",예산업로드양식!E13,"")),"")</f>
        <v/>
      </c>
      <c r="Y18" s="13" t="str">
        <f>IFERROR(IF(예산업로드양식!H13="","",IF(예산업로드양식!F13="07",예산업로드양식!H13,"")),"")</f>
        <v/>
      </c>
      <c r="Z18" s="13"/>
      <c r="AA18" s="13"/>
      <c r="AB18" s="218"/>
      <c r="AC18" s="42"/>
      <c r="AD18" s="12"/>
      <c r="AE18" s="12"/>
      <c r="AF18" s="12"/>
      <c r="AG18" s="12" t="str">
        <f>IFERROR(IF(예산업로드양식!E13="","",IF(예산업로드양식!F13="05",예산업로드양식!E13,"")),"")</f>
        <v/>
      </c>
      <c r="AH18" s="13" t="str">
        <f>IFERROR(IF(예산업로드양식!H13="","",IF(예산업로드양식!F13="05",예산업로드양식!H13,"")),"")</f>
        <v/>
      </c>
      <c r="AI18" s="13"/>
      <c r="AJ18" s="13"/>
      <c r="AL18" s="1128" t="str">
        <f>IF(보수일람표!O18="","",보수일람표!O18)</f>
        <v/>
      </c>
      <c r="AM18" s="1129" t="str">
        <f>IF(보수일람표!P18="","",보수일람표!P18)</f>
        <v/>
      </c>
      <c r="AN18" s="1130">
        <f>IF(보수일람표!S18="","",보수일람표!S18)</f>
        <v>0</v>
      </c>
      <c r="AO18" s="1131">
        <f>IF(보수일람표!R18="","",보수일람표!R18)</f>
        <v>0</v>
      </c>
      <c r="AP18" s="1118">
        <f>IF(보수일람표!S18="","",보수일람표!S18)</f>
        <v>0</v>
      </c>
      <c r="AQ18" s="1132">
        <f>IF(보수일람표!T18="","",보수일람표!T18)</f>
        <v>0</v>
      </c>
      <c r="AR18" s="1120">
        <f>IF(보수일람표!U18="","",보수일람표!U18)</f>
        <v>0</v>
      </c>
      <c r="AS18" s="1121">
        <f>IF(보수일람표!V18="","",보수일람표!V18)</f>
        <v>0</v>
      </c>
      <c r="AT18" s="1122">
        <f>IF(보수일람표!W18="","",보수일람표!W18)</f>
        <v>0</v>
      </c>
      <c r="AU18" s="1123">
        <f>IF(보수일람표!X18="","",보수일람표!X18)</f>
        <v>0</v>
      </c>
      <c r="AV18" s="1124">
        <f>IF(보수일람표!Y18="","",보수일람표!Y18)</f>
        <v>0</v>
      </c>
      <c r="AW18" s="1133">
        <f>IF(보수일람표!Z18="","",보수일람표!Z18)</f>
        <v>0</v>
      </c>
      <c r="AX18" s="1134">
        <f>IF(보수일람표!AA18="","",보수일람표!AA18)</f>
        <v>0</v>
      </c>
    </row>
    <row r="19" spans="1:50">
      <c r="A19" s="801"/>
      <c r="B19" s="803"/>
      <c r="C19" s="1063" t="str">
        <f>IF(데이터입력!Z29="","X",데이터입력!Z29)</f>
        <v>시군구보조금</v>
      </c>
      <c r="D19" s="815"/>
      <c r="E19" s="1063" t="str">
        <f>IF(데이터입력!AB29="","X",데이터입력!AB29)</f>
        <v>기타보조금</v>
      </c>
      <c r="F19" s="815"/>
      <c r="G19" s="819" t="str">
        <f>IF(데이터입력!AD29="","X",데이터입력!AD29)</f>
        <v>X</v>
      </c>
      <c r="H19" s="820">
        <f>데이터입력!AE29</f>
        <v>0</v>
      </c>
      <c r="I19" s="1064">
        <f>IF(G19="X",데이터입력!$Y$8,데이터입력!AF29)</f>
        <v>12</v>
      </c>
      <c r="K19" s="41"/>
      <c r="L19" s="10"/>
      <c r="M19" s="10"/>
      <c r="N19" s="10"/>
      <c r="O19" s="10" t="str">
        <f>IFERROR(IF(예산업로드양식!E14="","",IF(예산업로드양식!F14="06",예산업로드양식!E14,"")),"")</f>
        <v>퇴직금 및 퇴직적립금(간접비)</v>
      </c>
      <c r="P19" s="11">
        <f>IFERROR(IF(예산업로드양식!H14="","",IF(예산업로드양식!F14="06",예산업로드양식!H14,"")),"")</f>
        <v>4800000</v>
      </c>
      <c r="Q19" s="11">
        <f t="shared" si="0"/>
        <v>4800000</v>
      </c>
      <c r="R19" s="11"/>
      <c r="S19" s="218"/>
      <c r="T19" s="41"/>
      <c r="U19" s="10"/>
      <c r="V19" s="10"/>
      <c r="W19" s="10"/>
      <c r="X19" s="10" t="str">
        <f>IFERROR(IF(예산업로드양식!E14="","",IF(예산업로드양식!F14="07",예산업로드양식!E14,"")),"")</f>
        <v/>
      </c>
      <c r="Y19" s="11" t="str">
        <f>IFERROR(IF(예산업로드양식!H14="","",IF(예산업로드양식!F14="07",예산업로드양식!H14,"")),"")</f>
        <v/>
      </c>
      <c r="Z19" s="11"/>
      <c r="AA19" s="11"/>
      <c r="AB19" s="218"/>
      <c r="AC19" s="41"/>
      <c r="AD19" s="10"/>
      <c r="AE19" s="10"/>
      <c r="AF19" s="10"/>
      <c r="AG19" s="10" t="str">
        <f>IFERROR(IF(예산업로드양식!E14="","",IF(예산업로드양식!F14="05",예산업로드양식!E14,"")),"")</f>
        <v/>
      </c>
      <c r="AH19" s="11" t="str">
        <f>IFERROR(IF(예산업로드양식!H14="","",IF(예산업로드양식!F14="05",예산업로드양식!H14,"")),"")</f>
        <v/>
      </c>
      <c r="AI19" s="11"/>
      <c r="AJ19" s="11"/>
      <c r="AL19" s="1128" t="str">
        <f>IF(보수일람표!O19="","",보수일람표!O19)</f>
        <v/>
      </c>
      <c r="AM19" s="1129" t="str">
        <f>IF(보수일람표!P19="","",보수일람표!P19)</f>
        <v/>
      </c>
      <c r="AN19" s="1130">
        <f>IF(보수일람표!S19="","",보수일람표!S19)</f>
        <v>0</v>
      </c>
      <c r="AO19" s="1131">
        <f>IF(보수일람표!R19="","",보수일람표!R19)</f>
        <v>0</v>
      </c>
      <c r="AP19" s="1118">
        <f>IF(보수일람표!S19="","",보수일람표!S19)</f>
        <v>0</v>
      </c>
      <c r="AQ19" s="1132">
        <f>IF(보수일람표!T19="","",보수일람표!T19)</f>
        <v>0</v>
      </c>
      <c r="AR19" s="1120">
        <f>IF(보수일람표!U19="","",보수일람표!U19)</f>
        <v>0</v>
      </c>
      <c r="AS19" s="1121">
        <f>IF(보수일람표!V19="","",보수일람표!V19)</f>
        <v>0</v>
      </c>
      <c r="AT19" s="1122">
        <f>IF(보수일람표!W19="","",보수일람표!W19)</f>
        <v>0</v>
      </c>
      <c r="AU19" s="1123">
        <f>IF(보수일람표!X19="","",보수일람표!X19)</f>
        <v>0</v>
      </c>
      <c r="AV19" s="1124">
        <f>IF(보수일람표!Y19="","",보수일람표!Y19)</f>
        <v>0</v>
      </c>
      <c r="AW19" s="1133">
        <f>IF(보수일람표!Z19="","",보수일람표!Z19)</f>
        <v>0</v>
      </c>
      <c r="AX19" s="1134">
        <f>IF(보수일람표!AA19="","",보수일람표!AA19)</f>
        <v>0</v>
      </c>
    </row>
    <row r="20" spans="1:50">
      <c r="A20" s="801"/>
      <c r="B20" s="803"/>
      <c r="C20" s="819" t="str">
        <f>IF(데이터입력!Z30="","X",데이터입력!Z30)</f>
        <v>X</v>
      </c>
      <c r="D20" s="820">
        <f>데이터입력!AA30</f>
        <v>0</v>
      </c>
      <c r="E20" s="819" t="str">
        <f>IF(데이터입력!AB30="","X",데이터입력!AB30)</f>
        <v>X</v>
      </c>
      <c r="F20" s="820">
        <f>데이터입력!AC30</f>
        <v>0</v>
      </c>
      <c r="G20" s="819" t="str">
        <f>IF(데이터입력!AD30="","X",데이터입력!AD30)</f>
        <v>X</v>
      </c>
      <c r="H20" s="820">
        <f>데이터입력!AE30</f>
        <v>0</v>
      </c>
      <c r="I20" s="1064">
        <f>IF(G20="X",데이터입력!$Y$8,데이터입력!AF30)</f>
        <v>12</v>
      </c>
      <c r="K20" s="42"/>
      <c r="L20" s="12"/>
      <c r="M20" s="12"/>
      <c r="N20" s="12"/>
      <c r="O20" s="12" t="str">
        <f>IFERROR(IF(예산업로드양식!E15="","",IF(예산업로드양식!F15="06",예산업로드양식!E15,"")),"")</f>
        <v>사회보험부담금(직접비)</v>
      </c>
      <c r="P20" s="13">
        <f>IFERROR(IF(예산업로드양식!H15="","",IF(예산업로드양식!F15="06",예산업로드양식!H15,"")),"")</f>
        <v>13276370</v>
      </c>
      <c r="Q20" s="7">
        <f t="shared" si="0"/>
        <v>13276370</v>
      </c>
      <c r="R20" s="13"/>
      <c r="S20" s="218"/>
      <c r="T20" s="42"/>
      <c r="U20" s="12"/>
      <c r="V20" s="12"/>
      <c r="W20" s="12"/>
      <c r="X20" s="12" t="str">
        <f>IFERROR(IF(예산업로드양식!E15="","",IF(예산업로드양식!F15="07",예산업로드양식!E15,"")),"")</f>
        <v/>
      </c>
      <c r="Y20" s="13" t="str">
        <f>IFERROR(IF(예산업로드양식!H15="","",IF(예산업로드양식!F15="07",예산업로드양식!H15,"")),"")</f>
        <v/>
      </c>
      <c r="Z20" s="13"/>
      <c r="AA20" s="13"/>
      <c r="AB20" s="218"/>
      <c r="AC20" s="42"/>
      <c r="AD20" s="12"/>
      <c r="AE20" s="12"/>
      <c r="AF20" s="12"/>
      <c r="AG20" s="12" t="str">
        <f>IFERROR(IF(예산업로드양식!E15="","",IF(예산업로드양식!F15="05",예산업로드양식!E15,"")),"")</f>
        <v/>
      </c>
      <c r="AH20" s="13" t="str">
        <f>IFERROR(IF(예산업로드양식!H15="","",IF(예산업로드양식!F15="05",예산업로드양식!H15,"")),"")</f>
        <v/>
      </c>
      <c r="AI20" s="13"/>
      <c r="AJ20" s="13"/>
      <c r="AL20" s="1128" t="str">
        <f>IF(보수일람표!O20="","",보수일람표!O20)</f>
        <v/>
      </c>
      <c r="AM20" s="1129" t="str">
        <f>IF(보수일람표!P20="","",보수일람표!P20)</f>
        <v/>
      </c>
      <c r="AN20" s="1130">
        <f>IF(보수일람표!S20="","",보수일람표!S20)</f>
        <v>0</v>
      </c>
      <c r="AO20" s="1131">
        <f>IF(보수일람표!R20="","",보수일람표!R20)</f>
        <v>0</v>
      </c>
      <c r="AP20" s="1118">
        <f>IF(보수일람표!S20="","",보수일람표!S20)</f>
        <v>0</v>
      </c>
      <c r="AQ20" s="1132">
        <f>IF(보수일람표!T20="","",보수일람표!T20)</f>
        <v>0</v>
      </c>
      <c r="AR20" s="1120">
        <f>IF(보수일람표!U20="","",보수일람표!U20)</f>
        <v>0</v>
      </c>
      <c r="AS20" s="1121">
        <f>IF(보수일람표!V20="","",보수일람표!V20)</f>
        <v>0</v>
      </c>
      <c r="AT20" s="1122">
        <f>IF(보수일람표!W20="","",보수일람표!W20)</f>
        <v>0</v>
      </c>
      <c r="AU20" s="1123">
        <f>IF(보수일람표!X20="","",보수일람표!X20)</f>
        <v>0</v>
      </c>
      <c r="AV20" s="1124">
        <f>IF(보수일람표!Y20="","",보수일람표!Y20)</f>
        <v>0</v>
      </c>
      <c r="AW20" s="1133">
        <f>IF(보수일람표!Z20="","",보수일람표!Z20)</f>
        <v>0</v>
      </c>
      <c r="AX20" s="1134">
        <f>IF(보수일람표!AA20="","",보수일람표!AA20)</f>
        <v>0</v>
      </c>
    </row>
    <row r="21" spans="1:50" ht="17.25" thickBot="1">
      <c r="A21" s="801"/>
      <c r="B21" s="803"/>
      <c r="C21" s="819" t="str">
        <f>IF(데이터입력!Z31="","X",데이터입력!Z31)</f>
        <v>X</v>
      </c>
      <c r="D21" s="820">
        <f>데이터입력!AA31</f>
        <v>0</v>
      </c>
      <c r="E21" s="819" t="str">
        <f>IF(데이터입력!AB31="","X",데이터입력!AB31)</f>
        <v>X</v>
      </c>
      <c r="F21" s="820">
        <f>데이터입력!AC31</f>
        <v>0</v>
      </c>
      <c r="G21" s="819" t="str">
        <f>IF(데이터입력!AD31="","X",데이터입력!AD31)</f>
        <v>X</v>
      </c>
      <c r="H21" s="820">
        <f>데이터입력!AE31</f>
        <v>0</v>
      </c>
      <c r="I21" s="1064">
        <f>IF(G21="X",데이터입력!$Y$8,데이터입력!AF31)</f>
        <v>12</v>
      </c>
      <c r="K21" s="41"/>
      <c r="L21" s="10"/>
      <c r="M21" s="10"/>
      <c r="N21" s="10"/>
      <c r="O21" s="10" t="str">
        <f>IFERROR(IF(예산업로드양식!E16="","",IF(예산업로드양식!F16="06",예산업로드양식!E16,"")),"")</f>
        <v>사회보험부담금(간접비)</v>
      </c>
      <c r="P21" s="11">
        <f>IFERROR(IF(예산업로드양식!H16="","",IF(예산업로드양식!F16="06",예산업로드양식!H16,"")),"")</f>
        <v>8434220</v>
      </c>
      <c r="Q21" s="11">
        <f t="shared" si="0"/>
        <v>8434220</v>
      </c>
      <c r="R21" s="11"/>
      <c r="S21" s="218"/>
      <c r="T21" s="41"/>
      <c r="U21" s="10"/>
      <c r="V21" s="10"/>
      <c r="W21" s="10"/>
      <c r="X21" s="10" t="str">
        <f>IFERROR(IF(예산업로드양식!E16="","",IF(예산업로드양식!F16="07",예산업로드양식!E16,"")),"")</f>
        <v/>
      </c>
      <c r="Y21" s="11" t="str">
        <f>IFERROR(IF(예산업로드양식!H16="","",IF(예산업로드양식!F16="07",예산업로드양식!H16,"")),"")</f>
        <v/>
      </c>
      <c r="Z21" s="11"/>
      <c r="AA21" s="11"/>
      <c r="AB21" s="218"/>
      <c r="AC21" s="41"/>
      <c r="AD21" s="10"/>
      <c r="AE21" s="10"/>
      <c r="AF21" s="10"/>
      <c r="AG21" s="10" t="str">
        <f>IFERROR(IF(예산업로드양식!E16="","",IF(예산업로드양식!F16="05",예산업로드양식!E16,"")),"")</f>
        <v/>
      </c>
      <c r="AH21" s="11" t="str">
        <f>IFERROR(IF(예산업로드양식!H16="","",IF(예산업로드양식!F16="05",예산업로드양식!H16,"")),"")</f>
        <v/>
      </c>
      <c r="AI21" s="11"/>
      <c r="AJ21" s="11"/>
      <c r="AL21" s="1128" t="str">
        <f>IF(보수일람표!O21="","",보수일람표!O21)</f>
        <v/>
      </c>
      <c r="AM21" s="1129" t="str">
        <f>IF(보수일람표!P21="","",보수일람표!P21)</f>
        <v/>
      </c>
      <c r="AN21" s="1130">
        <f>IF(보수일람표!S21="","",보수일람표!S21)</f>
        <v>0</v>
      </c>
      <c r="AO21" s="1131">
        <f>IF(보수일람표!R21="","",보수일람표!R21)</f>
        <v>0</v>
      </c>
      <c r="AP21" s="1118">
        <f>IF(보수일람표!S21="","",보수일람표!S21)</f>
        <v>0</v>
      </c>
      <c r="AQ21" s="1132">
        <f>IF(보수일람표!T21="","",보수일람표!T21)</f>
        <v>0</v>
      </c>
      <c r="AR21" s="1120">
        <f>IF(보수일람표!U21="","",보수일람표!U21)</f>
        <v>0</v>
      </c>
      <c r="AS21" s="1121">
        <f>IF(보수일람표!V21="","",보수일람표!V21)</f>
        <v>0</v>
      </c>
      <c r="AT21" s="1122">
        <f>IF(보수일람표!W21="","",보수일람표!W21)</f>
        <v>0</v>
      </c>
      <c r="AU21" s="1123">
        <f>IF(보수일람표!X21="","",보수일람표!X21)</f>
        <v>0</v>
      </c>
      <c r="AV21" s="1124">
        <f>IF(보수일람표!Y21="","",보수일람표!Y21)</f>
        <v>0</v>
      </c>
      <c r="AW21" s="1133">
        <f>IF(보수일람표!Z21="","",보수일람표!Z21)</f>
        <v>0</v>
      </c>
      <c r="AX21" s="1134">
        <f>IF(보수일람표!AA21="","",보수일람표!AA21)</f>
        <v>0</v>
      </c>
    </row>
    <row r="22" spans="1:50" ht="17.25" thickBot="1">
      <c r="A22" s="801"/>
      <c r="B22" s="776"/>
      <c r="C22" s="825"/>
      <c r="D22" s="825"/>
      <c r="E22" s="825"/>
      <c r="F22" s="825"/>
      <c r="G22" s="825"/>
      <c r="H22" s="825"/>
      <c r="I22" s="826"/>
      <c r="K22" s="42"/>
      <c r="L22" s="12"/>
      <c r="M22" s="12"/>
      <c r="N22" s="12"/>
      <c r="O22" s="12" t="str">
        <f>IFERROR(IF(예산업로드양식!E17="","",IF(예산업로드양식!F17="06",예산업로드양식!E17,"")),"")</f>
        <v>기관운영비</v>
      </c>
      <c r="P22" s="13">
        <f>IFERROR(IF(예산업로드양식!H17="","",IF(예산업로드양식!F17="06",예산업로드양식!H17,"")),"")</f>
        <v>1800000</v>
      </c>
      <c r="Q22" s="7">
        <f t="shared" si="0"/>
        <v>1800000</v>
      </c>
      <c r="R22" s="13"/>
      <c r="S22" s="218"/>
      <c r="T22" s="42"/>
      <c r="U22" s="12"/>
      <c r="V22" s="12"/>
      <c r="W22" s="12"/>
      <c r="X22" s="12" t="str">
        <f>IFERROR(IF(예산업로드양식!E17="","",IF(예산업로드양식!F17="07",예산업로드양식!E17,"")),"")</f>
        <v/>
      </c>
      <c r="Y22" s="13" t="str">
        <f>IFERROR(IF(예산업로드양식!H17="","",IF(예산업로드양식!F17="07",예산업로드양식!H17,"")),"")</f>
        <v/>
      </c>
      <c r="Z22" s="13"/>
      <c r="AA22" s="13"/>
      <c r="AB22" s="218"/>
      <c r="AC22" s="42"/>
      <c r="AD22" s="12"/>
      <c r="AE22" s="12"/>
      <c r="AF22" s="12"/>
      <c r="AG22" s="12" t="str">
        <f>IFERROR(IF(예산업로드양식!E17="","",IF(예산업로드양식!F17="05",예산업로드양식!E17,"")),"")</f>
        <v/>
      </c>
      <c r="AH22" s="13" t="str">
        <f>IFERROR(IF(예산업로드양식!H17="","",IF(예산업로드양식!F17="05",예산업로드양식!H17,"")),"")</f>
        <v/>
      </c>
      <c r="AI22" s="13"/>
      <c r="AJ22" s="13"/>
      <c r="AL22" s="1128" t="str">
        <f>IF(보수일람표!O22="","",보수일람표!O22)</f>
        <v/>
      </c>
      <c r="AM22" s="1129" t="str">
        <f>IF(보수일람표!P22="","",보수일람표!P22)</f>
        <v/>
      </c>
      <c r="AN22" s="1130">
        <f>IF(보수일람표!S22="","",보수일람표!S22)</f>
        <v>0</v>
      </c>
      <c r="AO22" s="1131">
        <f>IF(보수일람표!R22="","",보수일람표!R22)</f>
        <v>0</v>
      </c>
      <c r="AP22" s="1118">
        <f>IF(보수일람표!S22="","",보수일람표!S22)</f>
        <v>0</v>
      </c>
      <c r="AQ22" s="1132">
        <f>IF(보수일람표!T22="","",보수일람표!T22)</f>
        <v>0</v>
      </c>
      <c r="AR22" s="1120">
        <f>IF(보수일람표!U22="","",보수일람표!U22)</f>
        <v>0</v>
      </c>
      <c r="AS22" s="1121">
        <f>IF(보수일람표!V22="","",보수일람표!V22)</f>
        <v>0</v>
      </c>
      <c r="AT22" s="1122">
        <f>IF(보수일람표!W22="","",보수일람표!W22)</f>
        <v>0</v>
      </c>
      <c r="AU22" s="1123">
        <f>IF(보수일람표!X22="","",보수일람표!X22)</f>
        <v>0</v>
      </c>
      <c r="AV22" s="1124">
        <f>IF(보수일람표!Y22="","",보수일람표!Y22)</f>
        <v>0</v>
      </c>
      <c r="AW22" s="1133">
        <f>IF(보수일람표!Z22="","",보수일람표!Z22)</f>
        <v>0</v>
      </c>
      <c r="AX22" s="1134">
        <f>IF(보수일람표!AA22="","",보수일람표!AA22)</f>
        <v>0</v>
      </c>
    </row>
    <row r="23" spans="1:50" ht="17.25" thickBot="1">
      <c r="A23" s="806" t="s">
        <v>272</v>
      </c>
      <c r="B23" s="807"/>
      <c r="C23" s="807"/>
      <c r="D23" s="807"/>
      <c r="E23" s="807"/>
      <c r="F23" s="807"/>
      <c r="G23" s="807"/>
      <c r="H23" s="807"/>
      <c r="I23" s="808"/>
      <c r="K23" s="41"/>
      <c r="L23" s="10"/>
      <c r="M23" s="10"/>
      <c r="N23" s="10"/>
      <c r="O23" s="10" t="str">
        <f>IFERROR(IF(예산업로드양식!E18="","",IF(예산업로드양식!F18="06",예산업로드양식!E18,"")),"")</f>
        <v>직책보조비</v>
      </c>
      <c r="P23" s="11">
        <f>IFERROR(IF(예산업로드양식!H18="","",IF(예산업로드양식!F18="06",예산업로드양식!H18,"")),"")</f>
        <v>9000000</v>
      </c>
      <c r="Q23" s="11">
        <f t="shared" si="0"/>
        <v>9000000</v>
      </c>
      <c r="R23" s="11"/>
      <c r="S23" s="218"/>
      <c r="T23" s="41"/>
      <c r="U23" s="10"/>
      <c r="V23" s="10"/>
      <c r="W23" s="10"/>
      <c r="X23" s="10" t="str">
        <f>IFERROR(IF(예산업로드양식!E18="","",IF(예산업로드양식!F18="07",예산업로드양식!E18,"")),"")</f>
        <v/>
      </c>
      <c r="Y23" s="11" t="str">
        <f>IFERROR(IF(예산업로드양식!H18="","",IF(예산업로드양식!F18="07",예산업로드양식!H18,"")),"")</f>
        <v/>
      </c>
      <c r="Z23" s="11"/>
      <c r="AA23" s="11"/>
      <c r="AB23" s="218"/>
      <c r="AC23" s="41"/>
      <c r="AD23" s="10"/>
      <c r="AE23" s="10"/>
      <c r="AF23" s="10"/>
      <c r="AG23" s="10" t="str">
        <f>IFERROR(IF(예산업로드양식!E18="","",IF(예산업로드양식!F18="05",예산업로드양식!E18,"")),"")</f>
        <v/>
      </c>
      <c r="AH23" s="11" t="str">
        <f>IFERROR(IF(예산업로드양식!H18="","",IF(예산업로드양식!F18="05",예산업로드양식!H18,"")),"")</f>
        <v/>
      </c>
      <c r="AI23" s="11"/>
      <c r="AJ23" s="11"/>
      <c r="AL23" s="1128" t="str">
        <f>IF(보수일람표!O23="","",보수일람표!O23)</f>
        <v/>
      </c>
      <c r="AM23" s="1129" t="str">
        <f>IF(보수일람표!P23="","",보수일람표!P23)</f>
        <v/>
      </c>
      <c r="AN23" s="1130">
        <f>IF(보수일람표!S23="","",보수일람표!S23)</f>
        <v>0</v>
      </c>
      <c r="AO23" s="1131">
        <f>IF(보수일람표!R23="","",보수일람표!R23)</f>
        <v>0</v>
      </c>
      <c r="AP23" s="1118">
        <f>IF(보수일람표!S23="","",보수일람표!S23)</f>
        <v>0</v>
      </c>
      <c r="AQ23" s="1132">
        <f>IF(보수일람표!T23="","",보수일람표!T23)</f>
        <v>0</v>
      </c>
      <c r="AR23" s="1120">
        <f>IF(보수일람표!U23="","",보수일람표!U23)</f>
        <v>0</v>
      </c>
      <c r="AS23" s="1121">
        <f>IF(보수일람표!V23="","",보수일람표!V23)</f>
        <v>0</v>
      </c>
      <c r="AT23" s="1122">
        <f>IF(보수일람표!W23="","",보수일람표!W23)</f>
        <v>0</v>
      </c>
      <c r="AU23" s="1123">
        <f>IF(보수일람표!X23="","",보수일람표!X23)</f>
        <v>0</v>
      </c>
      <c r="AV23" s="1124">
        <f>IF(보수일람표!Y23="","",보수일람표!Y23)</f>
        <v>0</v>
      </c>
      <c r="AW23" s="1133">
        <f>IF(보수일람표!Z23="","",보수일람표!Z23)</f>
        <v>0</v>
      </c>
      <c r="AX23" s="1134">
        <f>IF(보수일람표!AA23="","",보수일람표!AA23)</f>
        <v>0</v>
      </c>
    </row>
    <row r="24" spans="1:50" ht="17.25" thickBot="1">
      <c r="A24" s="407" t="s">
        <v>739</v>
      </c>
      <c r="B24" s="878"/>
      <c r="C24" s="407" t="s">
        <v>740</v>
      </c>
      <c r="D24" s="878"/>
      <c r="E24" s="407" t="s">
        <v>741</v>
      </c>
      <c r="F24" s="878"/>
      <c r="G24" s="407" t="s">
        <v>738</v>
      </c>
      <c r="H24" s="635"/>
      <c r="I24" s="437"/>
      <c r="K24" s="42"/>
      <c r="L24" s="12"/>
      <c r="M24" s="12"/>
      <c r="N24" s="12"/>
      <c r="O24" s="12" t="str">
        <f>IFERROR(IF(예산업로드양식!E19="","",IF(예산업로드양식!F19="06",예산업로드양식!E19,"")),"")</f>
        <v>수용비 및 수수료</v>
      </c>
      <c r="P24" s="13">
        <f>IFERROR(IF(예산업로드양식!H19="","",IF(예산업로드양식!F19="06",예산업로드양식!H19,"")),"")</f>
        <v>6600000</v>
      </c>
      <c r="Q24" s="7">
        <f t="shared" si="0"/>
        <v>6600000</v>
      </c>
      <c r="R24" s="13"/>
      <c r="S24" s="218"/>
      <c r="T24" s="42"/>
      <c r="U24" s="12"/>
      <c r="V24" s="12"/>
      <c r="W24" s="12"/>
      <c r="X24" s="12" t="str">
        <f>IFERROR(IF(예산업로드양식!E19="","",IF(예산업로드양식!F19="07",예산업로드양식!E19,"")),"")</f>
        <v/>
      </c>
      <c r="Y24" s="13" t="str">
        <f>IFERROR(IF(예산업로드양식!H19="","",IF(예산업로드양식!F19="07",예산업로드양식!H19,"")),"")</f>
        <v/>
      </c>
      <c r="Z24" s="13"/>
      <c r="AA24" s="13"/>
      <c r="AB24" s="218"/>
      <c r="AC24" s="42"/>
      <c r="AD24" s="12"/>
      <c r="AE24" s="12"/>
      <c r="AF24" s="12"/>
      <c r="AG24" s="12" t="str">
        <f>IFERROR(IF(예산업로드양식!E19="","",IF(예산업로드양식!F19="05",예산업로드양식!E19,"")),"")</f>
        <v/>
      </c>
      <c r="AH24" s="13" t="str">
        <f>IFERROR(IF(예산업로드양식!H19="","",IF(예산업로드양식!F19="05",예산업로드양식!H19,"")),"")</f>
        <v/>
      </c>
      <c r="AI24" s="13"/>
      <c r="AJ24" s="13"/>
      <c r="AL24" s="1128" t="str">
        <f>IF(보수일람표!O24="","",보수일람표!O24)</f>
        <v/>
      </c>
      <c r="AM24" s="1129" t="str">
        <f>IF(보수일람표!P24="","",보수일람표!P24)</f>
        <v/>
      </c>
      <c r="AN24" s="1130">
        <f>IF(보수일람표!S24="","",보수일람표!S24)</f>
        <v>0</v>
      </c>
      <c r="AO24" s="1131">
        <f>IF(보수일람표!R24="","",보수일람표!R24)</f>
        <v>0</v>
      </c>
      <c r="AP24" s="1118">
        <f>IF(보수일람표!S24="","",보수일람표!S24)</f>
        <v>0</v>
      </c>
      <c r="AQ24" s="1132">
        <f>IF(보수일람표!T24="","",보수일람표!T24)</f>
        <v>0</v>
      </c>
      <c r="AR24" s="1120">
        <f>IF(보수일람표!U24="","",보수일람표!U24)</f>
        <v>0</v>
      </c>
      <c r="AS24" s="1121">
        <f>IF(보수일람표!V24="","",보수일람표!V24)</f>
        <v>0</v>
      </c>
      <c r="AT24" s="1122">
        <f>IF(보수일람표!W24="","",보수일람표!W24)</f>
        <v>0</v>
      </c>
      <c r="AU24" s="1123">
        <f>IF(보수일람표!X24="","",보수일람표!X24)</f>
        <v>0</v>
      </c>
      <c r="AV24" s="1124">
        <f>IF(보수일람표!Y24="","",보수일람표!Y24)</f>
        <v>0</v>
      </c>
      <c r="AW24" s="1133">
        <f>IF(보수일람표!Z24="","",보수일람표!Z24)</f>
        <v>0</v>
      </c>
      <c r="AX24" s="1134">
        <f>IF(보수일람표!AA24="","",보수일람표!AA24)</f>
        <v>0</v>
      </c>
    </row>
    <row r="25" spans="1:50">
      <c r="A25" s="1063" t="str">
        <f>IF(데이터입력!X35="","X",데이터입력!X35)</f>
        <v>직책보조비</v>
      </c>
      <c r="B25" s="832"/>
      <c r="C25" s="1063" t="str">
        <f>IF(데이터입력!Z35="","X",데이터입력!Z35)</f>
        <v>회의비</v>
      </c>
      <c r="D25" s="832"/>
      <c r="E25" s="1063" t="str">
        <f>IF(데이터입력!AB35="","X",데이터입력!AB35)</f>
        <v>여비</v>
      </c>
      <c r="F25" s="832"/>
      <c r="G25" s="1063" t="str">
        <f>IF(데이터입력!AD35="","X",데이터입력!AD35)</f>
        <v>상담,타시설 미팅등</v>
      </c>
      <c r="H25" s="832"/>
      <c r="I25" s="1064">
        <f>IF(G25="X",데이터입력!$Y$8,데이터입력!AF35)</f>
        <v>12</v>
      </c>
      <c r="K25" s="41"/>
      <c r="L25" s="10"/>
      <c r="M25" s="10"/>
      <c r="N25" s="10"/>
      <c r="O25" s="10" t="str">
        <f>IFERROR(IF(예산업로드양식!E20="","",IF(예산업로드양식!F20="06",예산업로드양식!E20,"")),"")</f>
        <v>공공요금 및 각종 세금공과금</v>
      </c>
      <c r="P25" s="11">
        <f>IFERROR(IF(예산업로드양식!H20="","",IF(예산업로드양식!F20="06",예산업로드양식!H20,"")),"")</f>
        <v>6840000</v>
      </c>
      <c r="Q25" s="11">
        <f t="shared" si="0"/>
        <v>6840000</v>
      </c>
      <c r="R25" s="11"/>
      <c r="S25" s="218"/>
      <c r="T25" s="41"/>
      <c r="U25" s="10"/>
      <c r="V25" s="10"/>
      <c r="W25" s="10"/>
      <c r="X25" s="10" t="str">
        <f>IFERROR(IF(예산업로드양식!E20="","",IF(예산업로드양식!F20="07",예산업로드양식!E20,"")),"")</f>
        <v/>
      </c>
      <c r="Y25" s="11" t="str">
        <f>IFERROR(IF(예산업로드양식!H20="","",IF(예산업로드양식!F20="07",예산업로드양식!H20,"")),"")</f>
        <v/>
      </c>
      <c r="Z25" s="11"/>
      <c r="AA25" s="11"/>
      <c r="AB25" s="218"/>
      <c r="AC25" s="41"/>
      <c r="AD25" s="10"/>
      <c r="AE25" s="10"/>
      <c r="AF25" s="10"/>
      <c r="AG25" s="10" t="str">
        <f>IFERROR(IF(예산업로드양식!E20="","",IF(예산업로드양식!F20="05",예산업로드양식!E20,"")),"")</f>
        <v/>
      </c>
      <c r="AH25" s="11" t="str">
        <f>IFERROR(IF(예산업로드양식!H20="","",IF(예산업로드양식!F20="05",예산업로드양식!H20,"")),"")</f>
        <v/>
      </c>
      <c r="AI25" s="11"/>
      <c r="AJ25" s="11"/>
      <c r="AL25" s="1128" t="str">
        <f>IF(보수일람표!O25="","",보수일람표!O25)</f>
        <v/>
      </c>
      <c r="AM25" s="1129" t="str">
        <f>IF(보수일람표!P25="","",보수일람표!P25)</f>
        <v/>
      </c>
      <c r="AN25" s="1130">
        <f>IF(보수일람표!S25="","",보수일람표!S25)</f>
        <v>0</v>
      </c>
      <c r="AO25" s="1131">
        <f>IF(보수일람표!R25="","",보수일람표!R25)</f>
        <v>0</v>
      </c>
      <c r="AP25" s="1118">
        <f>IF(보수일람표!S25="","",보수일람표!S25)</f>
        <v>0</v>
      </c>
      <c r="AQ25" s="1132">
        <f>IF(보수일람표!T25="","",보수일람표!T25)</f>
        <v>0</v>
      </c>
      <c r="AR25" s="1120">
        <f>IF(보수일람표!U25="","",보수일람표!U25)</f>
        <v>0</v>
      </c>
      <c r="AS25" s="1121">
        <f>IF(보수일람표!V25="","",보수일람표!V25)</f>
        <v>0</v>
      </c>
      <c r="AT25" s="1122">
        <f>IF(보수일람표!W25="","",보수일람표!W25)</f>
        <v>0</v>
      </c>
      <c r="AU25" s="1123">
        <f>IF(보수일람표!X25="","",보수일람표!X25)</f>
        <v>0</v>
      </c>
      <c r="AV25" s="1124">
        <f>IF(보수일람표!Y25="","",보수일람표!Y25)</f>
        <v>0</v>
      </c>
      <c r="AW25" s="1133">
        <f>IF(보수일람표!Z25="","",보수일람표!Z25)</f>
        <v>0</v>
      </c>
      <c r="AX25" s="1134">
        <f>IF(보수일람표!AA25="","",보수일람표!AA25)</f>
        <v>0</v>
      </c>
    </row>
    <row r="26" spans="1:50">
      <c r="A26" s="819" t="str">
        <f>IF(데이터입력!Y36=0,"X",데이터입력!X36)</f>
        <v>X</v>
      </c>
      <c r="B26" s="820">
        <f>데이터입력!Y36</f>
        <v>0</v>
      </c>
      <c r="C26" s="819" t="str">
        <f>IF(데이터입력!AA36=0,"X",데이터입력!Z36)</f>
        <v>X</v>
      </c>
      <c r="D26" s="820">
        <f>데이터입력!AA36</f>
        <v>0</v>
      </c>
      <c r="E26" s="819" t="str">
        <f>IF(데이터입력!AC36=0,"X",데이터입력!AB36)</f>
        <v>X</v>
      </c>
      <c r="F26" s="820">
        <f>데이터입력!AC36</f>
        <v>0</v>
      </c>
      <c r="G26" s="819" t="str">
        <f>IF(데이터입력!AD36="","X",데이터입력!AD36)</f>
        <v>직원복지관련비용</v>
      </c>
      <c r="H26" s="820">
        <f>데이터입력!AE36</f>
        <v>100000</v>
      </c>
      <c r="I26" s="1064">
        <f>IF(G26="X",데이터입력!$Y$8,데이터입력!AF36)</f>
        <v>12</v>
      </c>
      <c r="K26" s="42"/>
      <c r="L26" s="12"/>
      <c r="M26" s="12"/>
      <c r="N26" s="12"/>
      <c r="O26" s="12" t="str">
        <f>IFERROR(IF(예산업로드양식!E21="","",IF(예산업로드양식!F21="06",예산업로드양식!E21,"")),"")</f>
        <v>차량비</v>
      </c>
      <c r="P26" s="13">
        <f>IFERROR(IF(예산업로드양식!H21="","",IF(예산업로드양식!F21="06",예산업로드양식!H21,"")),"")</f>
        <v>7200000</v>
      </c>
      <c r="Q26" s="7">
        <f t="shared" si="0"/>
        <v>7200000</v>
      </c>
      <c r="R26" s="13"/>
      <c r="S26" s="218"/>
      <c r="T26" s="42"/>
      <c r="U26" s="12"/>
      <c r="V26" s="12"/>
      <c r="W26" s="12"/>
      <c r="X26" s="12" t="str">
        <f>IFERROR(IF(예산업로드양식!E21="","",IF(예산업로드양식!F21="07",예산업로드양식!E21,"")),"")</f>
        <v/>
      </c>
      <c r="Y26" s="13" t="str">
        <f>IFERROR(IF(예산업로드양식!H21="","",IF(예산업로드양식!F21="07",예산업로드양식!H21,"")),"")</f>
        <v/>
      </c>
      <c r="Z26" s="13"/>
      <c r="AA26" s="13"/>
      <c r="AB26" s="218"/>
      <c r="AC26" s="42"/>
      <c r="AD26" s="12"/>
      <c r="AE26" s="12"/>
      <c r="AF26" s="12"/>
      <c r="AG26" s="12" t="str">
        <f>IFERROR(IF(예산업로드양식!E21="","",IF(예산업로드양식!F21="05",예산업로드양식!E21,"")),"")</f>
        <v/>
      </c>
      <c r="AH26" s="13" t="str">
        <f>IFERROR(IF(예산업로드양식!H21="","",IF(예산업로드양식!F21="05",예산업로드양식!H21,"")),"")</f>
        <v/>
      </c>
      <c r="AI26" s="13"/>
      <c r="AJ26" s="13"/>
      <c r="AL26" s="1128" t="str">
        <f>IF(보수일람표!O26="","",보수일람표!O26)</f>
        <v/>
      </c>
      <c r="AM26" s="1129" t="str">
        <f>IF(보수일람표!P26="","",보수일람표!P26)</f>
        <v/>
      </c>
      <c r="AN26" s="1130">
        <f>IF(보수일람표!S26="","",보수일람표!S26)</f>
        <v>0</v>
      </c>
      <c r="AO26" s="1131">
        <f>IF(보수일람표!R26="","",보수일람표!R26)</f>
        <v>0</v>
      </c>
      <c r="AP26" s="1118">
        <f>IF(보수일람표!S26="","",보수일람표!S26)</f>
        <v>0</v>
      </c>
      <c r="AQ26" s="1132">
        <f>IF(보수일람표!T26="","",보수일람표!T26)</f>
        <v>0</v>
      </c>
      <c r="AR26" s="1120">
        <f>IF(보수일람표!U26="","",보수일람표!U26)</f>
        <v>0</v>
      </c>
      <c r="AS26" s="1121">
        <f>IF(보수일람표!V26="","",보수일람표!V26)</f>
        <v>0</v>
      </c>
      <c r="AT26" s="1122">
        <f>IF(보수일람표!W26="","",보수일람표!W26)</f>
        <v>0</v>
      </c>
      <c r="AU26" s="1123">
        <f>IF(보수일람표!X26="","",보수일람표!X26)</f>
        <v>0</v>
      </c>
      <c r="AV26" s="1124">
        <f>IF(보수일람표!Y26="","",보수일람표!Y26)</f>
        <v>0</v>
      </c>
      <c r="AW26" s="1133">
        <f>IF(보수일람표!Z26="","",보수일람표!Z26)</f>
        <v>0</v>
      </c>
      <c r="AX26" s="1134">
        <f>IF(보수일람표!AA26="","",보수일람표!AA26)</f>
        <v>0</v>
      </c>
    </row>
    <row r="27" spans="1:50">
      <c r="A27" s="819" t="str">
        <f>IF(데이터입력!Y37=0,"X",데이터입력!X37)</f>
        <v>X</v>
      </c>
      <c r="B27" s="820">
        <f>데이터입력!Y37</f>
        <v>0</v>
      </c>
      <c r="C27" s="819" t="str">
        <f>IF(데이터입력!AA37=0,"X",데이터입력!Z37)</f>
        <v>X</v>
      </c>
      <c r="D27" s="820">
        <f>데이터입력!AA37</f>
        <v>0</v>
      </c>
      <c r="E27" s="819" t="str">
        <f>IF(데이터입력!AC37=0,"X",데이터입력!AB37)</f>
        <v>X</v>
      </c>
      <c r="F27" s="820">
        <f>데이터입력!AC37</f>
        <v>0</v>
      </c>
      <c r="G27" s="819" t="str">
        <f>IF(데이터입력!AD37="","X",데이터입력!AD37)</f>
        <v>경조사비(직원)</v>
      </c>
      <c r="H27" s="820">
        <f>데이터입력!AE37</f>
        <v>100000</v>
      </c>
      <c r="I27" s="1064">
        <f>IF(G27="X",데이터입력!$Y$8,데이터입력!AF37)</f>
        <v>3</v>
      </c>
      <c r="K27" s="41"/>
      <c r="L27" s="10"/>
      <c r="M27" s="10"/>
      <c r="N27" s="10"/>
      <c r="O27" s="10" t="str">
        <f>IFERROR(IF(예산업로드양식!E22="","",IF(예산업로드양식!F22="06",예산업로드양식!E22,"")),"")</f>
        <v>임차료</v>
      </c>
      <c r="P27" s="11">
        <f>IFERROR(IF(예산업로드양식!H22="","",IF(예산업로드양식!F22="06",예산업로드양식!H22,"")),"")</f>
        <v>26400000</v>
      </c>
      <c r="Q27" s="11">
        <f t="shared" si="0"/>
        <v>26400000</v>
      </c>
      <c r="R27" s="11"/>
      <c r="S27" s="218"/>
      <c r="T27" s="41"/>
      <c r="U27" s="10"/>
      <c r="V27" s="10"/>
      <c r="W27" s="10"/>
      <c r="X27" s="10" t="str">
        <f>IFERROR(IF(예산업로드양식!E22="","",IF(예산업로드양식!F22="07",예산업로드양식!E22,"")),"")</f>
        <v/>
      </c>
      <c r="Y27" s="11" t="str">
        <f>IFERROR(IF(예산업로드양식!H22="","",IF(예산업로드양식!F22="07",예산업로드양식!H22,"")),"")</f>
        <v/>
      </c>
      <c r="Z27" s="11"/>
      <c r="AA27" s="11"/>
      <c r="AB27" s="218"/>
      <c r="AC27" s="41"/>
      <c r="AD27" s="10"/>
      <c r="AE27" s="10"/>
      <c r="AF27" s="10"/>
      <c r="AG27" s="10" t="str">
        <f>IFERROR(IF(예산업로드양식!E22="","",IF(예산업로드양식!F22="05",예산업로드양식!E22,"")),"")</f>
        <v/>
      </c>
      <c r="AH27" s="11" t="str">
        <f>IFERROR(IF(예산업로드양식!H22="","",IF(예산업로드양식!F22="05",예산업로드양식!H22,"")),"")</f>
        <v/>
      </c>
      <c r="AI27" s="11"/>
      <c r="AJ27" s="11"/>
      <c r="AL27" s="1128" t="str">
        <f>IF(보수일람표!O27="","",보수일람표!O27)</f>
        <v/>
      </c>
      <c r="AM27" s="1129" t="str">
        <f>IF(보수일람표!P27="","",보수일람표!P27)</f>
        <v/>
      </c>
      <c r="AN27" s="1130">
        <f>IF(보수일람표!S27="","",보수일람표!S27)</f>
        <v>0</v>
      </c>
      <c r="AO27" s="1131">
        <f>IF(보수일람표!R27="","",보수일람표!R27)</f>
        <v>0</v>
      </c>
      <c r="AP27" s="1118">
        <f>IF(보수일람표!S27="","",보수일람표!S27)</f>
        <v>0</v>
      </c>
      <c r="AQ27" s="1132">
        <f>IF(보수일람표!T27="","",보수일람표!T27)</f>
        <v>0</v>
      </c>
      <c r="AR27" s="1120">
        <f>IF(보수일람표!U27="","",보수일람표!U27)</f>
        <v>0</v>
      </c>
      <c r="AS27" s="1121">
        <f>IF(보수일람표!V27="","",보수일람표!V27)</f>
        <v>0</v>
      </c>
      <c r="AT27" s="1122">
        <f>IF(보수일람표!W27="","",보수일람표!W27)</f>
        <v>0</v>
      </c>
      <c r="AU27" s="1123">
        <f>IF(보수일람표!X27="","",보수일람표!X27)</f>
        <v>0</v>
      </c>
      <c r="AV27" s="1124">
        <f>IF(보수일람표!Y27="","",보수일람표!Y27)</f>
        <v>0</v>
      </c>
      <c r="AW27" s="1133">
        <f>IF(보수일람표!Z27="","",보수일람표!Z27)</f>
        <v>0</v>
      </c>
      <c r="AX27" s="1134">
        <f>IF(보수일람표!AA27="","",보수일람표!AA27)</f>
        <v>0</v>
      </c>
    </row>
    <row r="28" spans="1:50">
      <c r="A28" s="819" t="str">
        <f>IF(데이터입력!Y38=0,"X",데이터입력!X38)</f>
        <v>X</v>
      </c>
      <c r="B28" s="820">
        <f>데이터입력!Y38</f>
        <v>0</v>
      </c>
      <c r="C28" s="819" t="str">
        <f>IF(데이터입력!AA38=0,"X",데이터입력!Z38)</f>
        <v>X</v>
      </c>
      <c r="D28" s="820">
        <f>데이터입력!AA38</f>
        <v>0</v>
      </c>
      <c r="E28" s="819" t="str">
        <f>IF(데이터입력!AC38=0,"X",데이터입력!AB38)</f>
        <v>X</v>
      </c>
      <c r="F28" s="820">
        <f>데이터입력!AC38</f>
        <v>0</v>
      </c>
      <c r="G28" s="819" t="str">
        <f>IF(데이터입력!AD38="","X",데이터입력!AD38)</f>
        <v>X</v>
      </c>
      <c r="H28" s="820">
        <f>데이터입력!AE38</f>
        <v>0</v>
      </c>
      <c r="I28" s="1064">
        <f>IF(G28="X",데이터입력!$Y$8,데이터입력!AF38)</f>
        <v>12</v>
      </c>
      <c r="K28" s="42"/>
      <c r="L28" s="12"/>
      <c r="M28" s="12"/>
      <c r="N28" s="12"/>
      <c r="O28" s="12" t="str">
        <f>IFERROR(IF(예산업로드양식!E23="","",IF(예산업로드양식!F23="06",예산업로드양식!E23,"")),"")</f>
        <v>기타운영비</v>
      </c>
      <c r="P28" s="13">
        <f>IFERROR(IF(예산업로드양식!H23="","",IF(예산업로드양식!F23="06",예산업로드양식!H23,"")),"")</f>
        <v>5092000</v>
      </c>
      <c r="Q28" s="7">
        <f t="shared" si="0"/>
        <v>5092000</v>
      </c>
      <c r="R28" s="13"/>
      <c r="S28" s="218"/>
      <c r="T28" s="42"/>
      <c r="U28" s="12"/>
      <c r="V28" s="12"/>
      <c r="W28" s="12"/>
      <c r="X28" s="12" t="str">
        <f>IFERROR(IF(예산업로드양식!E23="","",IF(예산업로드양식!F23="07",예산업로드양식!E23,"")),"")</f>
        <v/>
      </c>
      <c r="Y28" s="13" t="str">
        <f>IFERROR(IF(예산업로드양식!H23="","",IF(예산업로드양식!F23="07",예산업로드양식!H23,"")),"")</f>
        <v/>
      </c>
      <c r="Z28" s="13"/>
      <c r="AA28" s="13"/>
      <c r="AB28" s="218"/>
      <c r="AC28" s="42"/>
      <c r="AD28" s="12"/>
      <c r="AE28" s="12"/>
      <c r="AF28" s="12"/>
      <c r="AG28" s="12" t="str">
        <f>IFERROR(IF(예산업로드양식!E23="","",IF(예산업로드양식!F23="05",예산업로드양식!E23,"")),"")</f>
        <v/>
      </c>
      <c r="AH28" s="13" t="str">
        <f>IFERROR(IF(예산업로드양식!H23="","",IF(예산업로드양식!F23="05",예산업로드양식!H23,"")),"")</f>
        <v/>
      </c>
      <c r="AI28" s="13"/>
      <c r="AJ28" s="13"/>
      <c r="AL28" s="1128" t="str">
        <f>IF(보수일람표!O28="","",보수일람표!O28)</f>
        <v/>
      </c>
      <c r="AM28" s="1129" t="str">
        <f>IF(보수일람표!P28="","",보수일람표!P28)</f>
        <v/>
      </c>
      <c r="AN28" s="1130">
        <f>IF(보수일람표!S28="","",보수일람표!S28)</f>
        <v>0</v>
      </c>
      <c r="AO28" s="1131">
        <f>IF(보수일람표!R28="","",보수일람표!R28)</f>
        <v>0</v>
      </c>
      <c r="AP28" s="1118">
        <f>IF(보수일람표!S28="","",보수일람표!S28)</f>
        <v>0</v>
      </c>
      <c r="AQ28" s="1132">
        <f>IF(보수일람표!T28="","",보수일람표!T28)</f>
        <v>0</v>
      </c>
      <c r="AR28" s="1120">
        <f>IF(보수일람표!U28="","",보수일람표!U28)</f>
        <v>0</v>
      </c>
      <c r="AS28" s="1121">
        <f>IF(보수일람표!V28="","",보수일람표!V28)</f>
        <v>0</v>
      </c>
      <c r="AT28" s="1122">
        <f>IF(보수일람표!W28="","",보수일람표!W28)</f>
        <v>0</v>
      </c>
      <c r="AU28" s="1123">
        <f>IF(보수일람표!X28="","",보수일람표!X28)</f>
        <v>0</v>
      </c>
      <c r="AV28" s="1124">
        <f>IF(보수일람표!Y28="","",보수일람표!Y28)</f>
        <v>0</v>
      </c>
      <c r="AW28" s="1133">
        <f>IF(보수일람표!Z28="","",보수일람표!Z28)</f>
        <v>0</v>
      </c>
      <c r="AX28" s="1134">
        <f>IF(보수일람표!AA28="","",보수일람표!AA28)</f>
        <v>0</v>
      </c>
    </row>
    <row r="29" spans="1:50">
      <c r="A29" s="819" t="str">
        <f>IF(데이터입력!X39="","X",데이터입력!X39)</f>
        <v>X</v>
      </c>
      <c r="B29" s="820">
        <f>데이터입력!Y39</f>
        <v>0</v>
      </c>
      <c r="C29" s="819" t="str">
        <f>IF(데이터입력!Z39="","X",데이터입력!Z39)</f>
        <v>X</v>
      </c>
      <c r="D29" s="820">
        <f>데이터입력!AA39</f>
        <v>0</v>
      </c>
      <c r="E29" s="819" t="str">
        <f>IF(데이터입력!AB39="","X",데이터입력!AB39)</f>
        <v>X</v>
      </c>
      <c r="F29" s="820">
        <f>데이터입력!AC39</f>
        <v>0</v>
      </c>
      <c r="G29" s="819" t="str">
        <f>IF(데이터입력!AD39="","X",데이터입력!AD39)</f>
        <v>X</v>
      </c>
      <c r="H29" s="820">
        <f>데이터입력!AE39</f>
        <v>0</v>
      </c>
      <c r="I29" s="1064">
        <f>IF(G29="X",데이터입력!$Y$8,데이터입력!AF39)</f>
        <v>12</v>
      </c>
      <c r="K29" s="41"/>
      <c r="L29" s="10"/>
      <c r="M29" s="10"/>
      <c r="N29" s="10"/>
      <c r="O29" s="10" t="str">
        <f>IFERROR(IF(예산업로드양식!E24="","",IF(예산업로드양식!F24="06",예산업로드양식!E24,"")),"")</f>
        <v>자산취득비</v>
      </c>
      <c r="P29" s="11">
        <f>IFERROR(IF(예산업로드양식!H24="","",IF(예산업로드양식!F24="06",예산업로드양식!H24,"")),"")</f>
        <v>1200000</v>
      </c>
      <c r="Q29" s="11">
        <f t="shared" si="0"/>
        <v>1200000</v>
      </c>
      <c r="R29" s="11"/>
      <c r="S29" s="218"/>
      <c r="T29" s="41"/>
      <c r="U29" s="10"/>
      <c r="V29" s="10"/>
      <c r="W29" s="10"/>
      <c r="X29" s="10" t="str">
        <f>IFERROR(IF(예산업로드양식!E24="","",IF(예산업로드양식!F24="07",예산업로드양식!E24,"")),"")</f>
        <v/>
      </c>
      <c r="Y29" s="11" t="str">
        <f>IFERROR(IF(예산업로드양식!H24="","",IF(예산업로드양식!F24="07",예산업로드양식!H24,"")),"")</f>
        <v/>
      </c>
      <c r="Z29" s="11"/>
      <c r="AA29" s="11"/>
      <c r="AB29" s="218"/>
      <c r="AC29" s="41"/>
      <c r="AD29" s="10"/>
      <c r="AE29" s="10"/>
      <c r="AF29" s="10"/>
      <c r="AG29" s="10" t="str">
        <f>IFERROR(IF(예산업로드양식!E24="","",IF(예산업로드양식!F24="05",예산업로드양식!E24,"")),"")</f>
        <v/>
      </c>
      <c r="AH29" s="11" t="str">
        <f>IFERROR(IF(예산업로드양식!H24="","",IF(예산업로드양식!F24="05",예산업로드양식!H24,"")),"")</f>
        <v/>
      </c>
      <c r="AI29" s="11"/>
      <c r="AJ29" s="11"/>
      <c r="AL29" s="1128" t="str">
        <f>IF(보수일람표!O29="","",보수일람표!O29)</f>
        <v/>
      </c>
      <c r="AM29" s="1129" t="str">
        <f>IF(보수일람표!P29="","",보수일람표!P29)</f>
        <v/>
      </c>
      <c r="AN29" s="1130">
        <f>IF(보수일람표!S29="","",보수일람표!S29)</f>
        <v>0</v>
      </c>
      <c r="AO29" s="1131">
        <f>IF(보수일람표!R29="","",보수일람표!R29)</f>
        <v>0</v>
      </c>
      <c r="AP29" s="1118">
        <f>IF(보수일람표!S29="","",보수일람표!S29)</f>
        <v>0</v>
      </c>
      <c r="AQ29" s="1132">
        <f>IF(보수일람표!T29="","",보수일람표!T29)</f>
        <v>0</v>
      </c>
      <c r="AR29" s="1120">
        <f>IF(보수일람표!U29="","",보수일람표!U29)</f>
        <v>0</v>
      </c>
      <c r="AS29" s="1121">
        <f>IF(보수일람표!V29="","",보수일람표!V29)</f>
        <v>0</v>
      </c>
      <c r="AT29" s="1122">
        <f>IF(보수일람표!W29="","",보수일람표!W29)</f>
        <v>0</v>
      </c>
      <c r="AU29" s="1123">
        <f>IF(보수일람표!X29="","",보수일람표!X29)</f>
        <v>0</v>
      </c>
      <c r="AV29" s="1124">
        <f>IF(보수일람표!Y29="","",보수일람표!Y29)</f>
        <v>0</v>
      </c>
      <c r="AW29" s="1133">
        <f>IF(보수일람표!Z29="","",보수일람표!Z29)</f>
        <v>0</v>
      </c>
      <c r="AX29" s="1134">
        <f>IF(보수일람표!AA29="","",보수일람표!AA29)</f>
        <v>0</v>
      </c>
    </row>
    <row r="30" spans="1:50">
      <c r="A30" s="819" t="str">
        <f>IF(데이터입력!X40="","X",데이터입력!X40)</f>
        <v>X</v>
      </c>
      <c r="B30" s="820">
        <f>데이터입력!Y40</f>
        <v>0</v>
      </c>
      <c r="C30" s="819" t="str">
        <f>IF(데이터입력!Z40="","X",데이터입력!Z40)</f>
        <v>X</v>
      </c>
      <c r="D30" s="820">
        <f>데이터입력!AA40</f>
        <v>0</v>
      </c>
      <c r="E30" s="819" t="str">
        <f>IF(데이터입력!AB40="","X",데이터입력!AB40)</f>
        <v>X</v>
      </c>
      <c r="F30" s="820">
        <f>데이터입력!AC40</f>
        <v>0</v>
      </c>
      <c r="G30" s="819" t="str">
        <f>IF(데이터입력!AD40="","X",데이터입력!AD40)</f>
        <v>X</v>
      </c>
      <c r="H30" s="820">
        <f>데이터입력!AE40</f>
        <v>0</v>
      </c>
      <c r="I30" s="1064">
        <f>IF(G30="X",데이터입력!$Y$8,데이터입력!AF40)</f>
        <v>12</v>
      </c>
      <c r="K30" s="42"/>
      <c r="L30" s="12"/>
      <c r="M30" s="12"/>
      <c r="N30" s="12"/>
      <c r="O30" s="12" t="str">
        <f>IFERROR(IF(예산업로드양식!E25="","",IF(예산업로드양식!F25="06",예산업로드양식!E25,"")),"")</f>
        <v>시설장비유지비</v>
      </c>
      <c r="P30" s="13">
        <f>IFERROR(IF(예산업로드양식!H25="","",IF(예산업로드양식!F25="06",예산업로드양식!H25,"")),"")</f>
        <v>2400000</v>
      </c>
      <c r="Q30" s="7">
        <f t="shared" si="0"/>
        <v>2400000</v>
      </c>
      <c r="R30" s="13"/>
      <c r="S30" s="218"/>
      <c r="T30" s="42"/>
      <c r="U30" s="12"/>
      <c r="V30" s="12"/>
      <c r="W30" s="12"/>
      <c r="X30" s="12" t="str">
        <f>IFERROR(IF(예산업로드양식!E25="","",IF(예산업로드양식!F25="07",예산업로드양식!E25,"")),"")</f>
        <v/>
      </c>
      <c r="Y30" s="13" t="str">
        <f>IFERROR(IF(예산업로드양식!H25="","",IF(예산업로드양식!F25="07",예산업로드양식!H25,"")),"")</f>
        <v/>
      </c>
      <c r="Z30" s="13"/>
      <c r="AA30" s="13"/>
      <c r="AB30" s="218"/>
      <c r="AC30" s="42"/>
      <c r="AD30" s="12"/>
      <c r="AE30" s="12"/>
      <c r="AF30" s="12"/>
      <c r="AG30" s="12" t="str">
        <f>IFERROR(IF(예산업로드양식!E25="","",IF(예산업로드양식!F25="05",예산업로드양식!E25,"")),"")</f>
        <v/>
      </c>
      <c r="AH30" s="13" t="str">
        <f>IFERROR(IF(예산업로드양식!H25="","",IF(예산업로드양식!F25="05",예산업로드양식!H25,"")),"")</f>
        <v/>
      </c>
      <c r="AI30" s="13"/>
      <c r="AJ30" s="13"/>
      <c r="AL30" s="1128" t="str">
        <f>IF(보수일람표!O30="","",보수일람표!O30)</f>
        <v/>
      </c>
      <c r="AM30" s="1129" t="str">
        <f>IF(보수일람표!P30="","",보수일람표!P30)</f>
        <v/>
      </c>
      <c r="AN30" s="1130">
        <f>IF(보수일람표!S30="","",보수일람표!S30)</f>
        <v>0</v>
      </c>
      <c r="AO30" s="1131">
        <f>IF(보수일람표!R30="","",보수일람표!R30)</f>
        <v>0</v>
      </c>
      <c r="AP30" s="1118">
        <f>IF(보수일람표!S30="","",보수일람표!S30)</f>
        <v>0</v>
      </c>
      <c r="AQ30" s="1132">
        <f>IF(보수일람표!T30="","",보수일람표!T30)</f>
        <v>0</v>
      </c>
      <c r="AR30" s="1120">
        <f>IF(보수일람표!U30="","",보수일람표!U30)</f>
        <v>0</v>
      </c>
      <c r="AS30" s="1121">
        <f>IF(보수일람표!V30="","",보수일람표!V30)</f>
        <v>0</v>
      </c>
      <c r="AT30" s="1122">
        <f>IF(보수일람표!W30="","",보수일람표!W30)</f>
        <v>0</v>
      </c>
      <c r="AU30" s="1123">
        <f>IF(보수일람표!X30="","",보수일람표!X30)</f>
        <v>0</v>
      </c>
      <c r="AV30" s="1124">
        <f>IF(보수일람표!Y30="","",보수일람표!Y30)</f>
        <v>0</v>
      </c>
      <c r="AW30" s="1133">
        <f>IF(보수일람표!Z30="","",보수일람표!Z30)</f>
        <v>0</v>
      </c>
      <c r="AX30" s="1134">
        <f>IF(보수일람표!AA30="","",보수일람표!AA30)</f>
        <v>0</v>
      </c>
    </row>
    <row r="31" spans="1:50" ht="17.25" thickBot="1">
      <c r="A31" s="819" t="str">
        <f>IF(데이터입력!X41="","X",데이터입력!X41)</f>
        <v>X</v>
      </c>
      <c r="B31" s="820">
        <f>데이터입력!Y41</f>
        <v>0</v>
      </c>
      <c r="C31" s="819" t="str">
        <f>IF(데이터입력!Z41="","X",데이터입력!Z41)</f>
        <v>X</v>
      </c>
      <c r="D31" s="820">
        <f>데이터입력!AA41</f>
        <v>0</v>
      </c>
      <c r="E31" s="819" t="str">
        <f>IF(데이터입력!AB41="","X",데이터입력!AB41)</f>
        <v>X</v>
      </c>
      <c r="F31" s="820">
        <f>데이터입력!AC41</f>
        <v>0</v>
      </c>
      <c r="G31" s="819" t="str">
        <f>IF(데이터입력!AD41="","X",데이터입력!AD41)</f>
        <v>X</v>
      </c>
      <c r="H31" s="820">
        <f>데이터입력!AE41</f>
        <v>0</v>
      </c>
      <c r="I31" s="1064">
        <f>IF(G31="X",데이터입력!$Y$8,데이터입력!AF41)</f>
        <v>12</v>
      </c>
      <c r="K31" s="41"/>
      <c r="L31" s="10"/>
      <c r="M31" s="10"/>
      <c r="N31" s="10"/>
      <c r="O31" s="10" t="str">
        <f>IFERROR(IF(예산업로드양식!E26="","",IF(예산업로드양식!F26="06",예산업로드양식!E26,"")),"")</f>
        <v>생계비</v>
      </c>
      <c r="P31" s="11">
        <f>IFERROR(IF(예산업로드양식!H26="","",IF(예산업로드양식!F26="06",예산업로드양식!H26,"")),"")</f>
        <v>36414000</v>
      </c>
      <c r="Q31" s="11">
        <f t="shared" si="0"/>
        <v>36414000</v>
      </c>
      <c r="R31" s="11"/>
      <c r="S31" s="218"/>
      <c r="T31" s="41"/>
      <c r="U31" s="10"/>
      <c r="V31" s="10"/>
      <c r="W31" s="10"/>
      <c r="X31" s="10" t="str">
        <f>IFERROR(IF(예산업로드양식!E26="","",IF(예산업로드양식!F26="07",예산업로드양식!E26,"")),"")</f>
        <v/>
      </c>
      <c r="Y31" s="11" t="str">
        <f>IFERROR(IF(예산업로드양식!H26="","",IF(예산업로드양식!F26="07",예산업로드양식!H26,"")),"")</f>
        <v/>
      </c>
      <c r="Z31" s="11"/>
      <c r="AA31" s="11"/>
      <c r="AB31" s="218"/>
      <c r="AC31" s="41"/>
      <c r="AD31" s="10"/>
      <c r="AE31" s="10"/>
      <c r="AF31" s="10"/>
      <c r="AG31" s="10" t="str">
        <f>IFERROR(IF(예산업로드양식!E26="","",IF(예산업로드양식!F26="05",예산업로드양식!E26,"")),"")</f>
        <v/>
      </c>
      <c r="AH31" s="11" t="str">
        <f>IFERROR(IF(예산업로드양식!H26="","",IF(예산업로드양식!F26="05",예산업로드양식!H26,"")),"")</f>
        <v/>
      </c>
      <c r="AI31" s="11"/>
      <c r="AJ31" s="11"/>
      <c r="AL31" s="1128" t="str">
        <f>IF(보수일람표!O31="","",보수일람표!O31)</f>
        <v/>
      </c>
      <c r="AM31" s="1129" t="str">
        <f>IF(보수일람표!P31="","",보수일람표!P31)</f>
        <v/>
      </c>
      <c r="AN31" s="1130">
        <f>IF(보수일람표!S31="","",보수일람표!S31)</f>
        <v>0</v>
      </c>
      <c r="AO31" s="1131">
        <f>IF(보수일람표!R31="","",보수일람표!R31)</f>
        <v>0</v>
      </c>
      <c r="AP31" s="1118">
        <f>IF(보수일람표!S31="","",보수일람표!S31)</f>
        <v>0</v>
      </c>
      <c r="AQ31" s="1132">
        <f>IF(보수일람표!T31="","",보수일람표!T31)</f>
        <v>0</v>
      </c>
      <c r="AR31" s="1120">
        <f>IF(보수일람표!U31="","",보수일람표!U31)</f>
        <v>0</v>
      </c>
      <c r="AS31" s="1121">
        <f>IF(보수일람표!V31="","",보수일람표!V31)</f>
        <v>0</v>
      </c>
      <c r="AT31" s="1122">
        <f>IF(보수일람표!W31="","",보수일람표!W31)</f>
        <v>0</v>
      </c>
      <c r="AU31" s="1123">
        <f>IF(보수일람표!X31="","",보수일람표!X31)</f>
        <v>0</v>
      </c>
      <c r="AV31" s="1124">
        <f>IF(보수일람표!Y31="","",보수일람표!Y31)</f>
        <v>0</v>
      </c>
      <c r="AW31" s="1133">
        <f>IF(보수일람표!Z31="","",보수일람표!Z31)</f>
        <v>0</v>
      </c>
      <c r="AX31" s="1134">
        <f>IF(보수일람표!AA31="","",보수일람표!AA31)</f>
        <v>0</v>
      </c>
    </row>
    <row r="32" spans="1:50" ht="17.25" thickBot="1">
      <c r="A32" s="824" t="s">
        <v>217</v>
      </c>
      <c r="B32" s="823"/>
      <c r="C32" s="827" t="s">
        <v>216</v>
      </c>
      <c r="D32" s="828"/>
      <c r="E32" s="829">
        <f>데이터입력!AB42</f>
        <v>0.55000000000000004</v>
      </c>
      <c r="F32" s="830"/>
      <c r="G32" s="824" t="s">
        <v>184</v>
      </c>
      <c r="H32" s="823"/>
      <c r="I32" s="831" t="s">
        <v>215</v>
      </c>
      <c r="K32" s="42"/>
      <c r="L32" s="12"/>
      <c r="M32" s="12"/>
      <c r="N32" s="12"/>
      <c r="O32" s="12" t="str">
        <f>IFERROR(IF(예산업로드양식!E27="","",IF(예산업로드양식!F27="06",예산업로드양식!E27,"")),"")</f>
        <v>수용기관경비</v>
      </c>
      <c r="P32" s="13">
        <f>IFERROR(IF(예산업로드양식!H27="","",IF(예산업로드양식!F27="06",예산업로드양식!H27,"")),"")</f>
        <v>3000000</v>
      </c>
      <c r="Q32" s="7">
        <f t="shared" si="0"/>
        <v>3000000</v>
      </c>
      <c r="R32" s="13"/>
      <c r="S32" s="218"/>
      <c r="T32" s="42"/>
      <c r="U32" s="12"/>
      <c r="V32" s="12"/>
      <c r="W32" s="12"/>
      <c r="X32" s="12" t="str">
        <f>IFERROR(IF(예산업로드양식!E27="","",IF(예산업로드양식!F27="07",예산업로드양식!E27,"")),"")</f>
        <v/>
      </c>
      <c r="Y32" s="13" t="str">
        <f>IFERROR(IF(예산업로드양식!H27="","",IF(예산업로드양식!F27="07",예산업로드양식!H27,"")),"")</f>
        <v/>
      </c>
      <c r="Z32" s="13"/>
      <c r="AA32" s="13"/>
      <c r="AB32" s="218"/>
      <c r="AC32" s="42"/>
      <c r="AD32" s="12"/>
      <c r="AE32" s="12"/>
      <c r="AF32" s="12"/>
      <c r="AG32" s="12" t="str">
        <f>IFERROR(IF(예산업로드양식!E27="","",IF(예산업로드양식!F27="05",예산업로드양식!E27,"")),"")</f>
        <v/>
      </c>
      <c r="AH32" s="13" t="str">
        <f>IFERROR(IF(예산업로드양식!H27="","",IF(예산업로드양식!F27="05",예산업로드양식!H27,"")),"")</f>
        <v/>
      </c>
      <c r="AI32" s="13"/>
      <c r="AJ32" s="13"/>
      <c r="AL32" s="1128" t="str">
        <f>IF(보수일람표!O32="","",보수일람표!O32)</f>
        <v/>
      </c>
      <c r="AM32" s="1129" t="str">
        <f>IF(보수일람표!P32="","",보수일람표!P32)</f>
        <v/>
      </c>
      <c r="AN32" s="1130">
        <f>IF(보수일람표!S32="","",보수일람표!S32)</f>
        <v>0</v>
      </c>
      <c r="AO32" s="1131">
        <f>IF(보수일람표!R32="","",보수일람표!R32)</f>
        <v>0</v>
      </c>
      <c r="AP32" s="1118">
        <f>IF(보수일람표!S32="","",보수일람표!S32)</f>
        <v>0</v>
      </c>
      <c r="AQ32" s="1132">
        <f>IF(보수일람표!T32="","",보수일람표!T32)</f>
        <v>0</v>
      </c>
      <c r="AR32" s="1120">
        <f>IF(보수일람표!U32="","",보수일람표!U32)</f>
        <v>0</v>
      </c>
      <c r="AS32" s="1121">
        <f>IF(보수일람표!V32="","",보수일람표!V32)</f>
        <v>0</v>
      </c>
      <c r="AT32" s="1122">
        <f>IF(보수일람표!W32="","",보수일람표!W32)</f>
        <v>0</v>
      </c>
      <c r="AU32" s="1123">
        <f>IF(보수일람표!X32="","",보수일람표!X32)</f>
        <v>0</v>
      </c>
      <c r="AV32" s="1124">
        <f>IF(보수일람표!Y32="","",보수일람표!Y32)</f>
        <v>0</v>
      </c>
      <c r="AW32" s="1133">
        <f>IF(보수일람표!Z32="","",보수일람표!Z32)</f>
        <v>0</v>
      </c>
      <c r="AX32" s="1134">
        <f>IF(보수일람표!AA32="","",보수일람표!AA32)</f>
        <v>0</v>
      </c>
    </row>
    <row r="33" spans="1:50" ht="17.25" thickBot="1">
      <c r="A33" s="1063" t="str">
        <f>IF(데이터입력!X43="","X",데이터입력!X43)</f>
        <v>각종수수료</v>
      </c>
      <c r="B33" s="832"/>
      <c r="C33" s="833" t="s">
        <v>179</v>
      </c>
      <c r="D33" s="823"/>
      <c r="E33" s="824" t="s">
        <v>183</v>
      </c>
      <c r="F33" s="823"/>
      <c r="G33" s="1063" t="str">
        <f>IF(데이터입력!AD43="","X",데이터입력!AD43)</f>
        <v>주유비</v>
      </c>
      <c r="H33" s="834"/>
      <c r="I33" s="1064">
        <f>IF(G33="X",데이터입력!$Y$8,데이터입력!AF43)</f>
        <v>12</v>
      </c>
      <c r="K33" s="41"/>
      <c r="L33" s="10"/>
      <c r="M33" s="10"/>
      <c r="N33" s="10"/>
      <c r="O33" s="10" t="str">
        <f>IFERROR(IF(예산업로드양식!E28="","",IF(예산업로드양식!F28="06",예산업로드양식!E28,"")),"")</f>
        <v>의료비</v>
      </c>
      <c r="P33" s="11">
        <f>IFERROR(IF(예산업로드양식!H28="","",IF(예산업로드양식!F28="06",예산업로드양식!H28,"")),"")</f>
        <v>1800000</v>
      </c>
      <c r="Q33" s="11">
        <f t="shared" si="0"/>
        <v>1800000</v>
      </c>
      <c r="R33" s="11"/>
      <c r="S33" s="218"/>
      <c r="T33" s="41"/>
      <c r="U33" s="10"/>
      <c r="V33" s="10"/>
      <c r="W33" s="10"/>
      <c r="X33" s="10" t="str">
        <f>IFERROR(IF(예산업로드양식!E28="","",IF(예산업로드양식!F28="07",예산업로드양식!E28,"")),"")</f>
        <v/>
      </c>
      <c r="Y33" s="11" t="str">
        <f>IFERROR(IF(예산업로드양식!H28="","",IF(예산업로드양식!F28="07",예산업로드양식!H28,"")),"")</f>
        <v/>
      </c>
      <c r="Z33" s="11"/>
      <c r="AA33" s="11"/>
      <c r="AB33" s="218"/>
      <c r="AC33" s="41"/>
      <c r="AD33" s="10"/>
      <c r="AE33" s="10"/>
      <c r="AF33" s="10"/>
      <c r="AG33" s="10" t="str">
        <f>IFERROR(IF(예산업로드양식!E28="","",IF(예산업로드양식!F28="05",예산업로드양식!E28,"")),"")</f>
        <v/>
      </c>
      <c r="AH33" s="11" t="str">
        <f>IFERROR(IF(예산업로드양식!H28="","",IF(예산업로드양식!F28="05",예산업로드양식!H28,"")),"")</f>
        <v/>
      </c>
      <c r="AI33" s="11"/>
      <c r="AJ33" s="11"/>
      <c r="AL33" s="1128" t="str">
        <f>IF(보수일람표!O33="","",보수일람표!O33)</f>
        <v/>
      </c>
      <c r="AM33" s="1129" t="str">
        <f>IF(보수일람표!P33="","",보수일람표!P33)</f>
        <v/>
      </c>
      <c r="AN33" s="1130">
        <f>IF(보수일람표!S33="","",보수일람표!S33)</f>
        <v>0</v>
      </c>
      <c r="AO33" s="1131">
        <f>IF(보수일람표!R33="","",보수일람표!R33)</f>
        <v>0</v>
      </c>
      <c r="AP33" s="1118">
        <f>IF(보수일람표!S33="","",보수일람표!S33)</f>
        <v>0</v>
      </c>
      <c r="AQ33" s="1132">
        <f>IF(보수일람표!T33="","",보수일람표!T33)</f>
        <v>0</v>
      </c>
      <c r="AR33" s="1120">
        <f>IF(보수일람표!U33="","",보수일람표!U33)</f>
        <v>0</v>
      </c>
      <c r="AS33" s="1121">
        <f>IF(보수일람표!V33="","",보수일람표!V33)</f>
        <v>0</v>
      </c>
      <c r="AT33" s="1122">
        <f>IF(보수일람표!W33="","",보수일람표!W33)</f>
        <v>0</v>
      </c>
      <c r="AU33" s="1123">
        <f>IF(보수일람표!X33="","",보수일람표!X33)</f>
        <v>0</v>
      </c>
      <c r="AV33" s="1124">
        <f>IF(보수일람표!Y33="","",보수일람표!Y33)</f>
        <v>0</v>
      </c>
      <c r="AW33" s="1133">
        <f>IF(보수일람표!Z33="","",보수일람표!Z33)</f>
        <v>0</v>
      </c>
      <c r="AX33" s="1134">
        <f>IF(보수일람표!AA33="","",보수일람표!AA33)</f>
        <v>0</v>
      </c>
    </row>
    <row r="34" spans="1:50">
      <c r="A34" s="819" t="str">
        <f>IF(데이터입력!Y44=0,"X",데이터입력!X44)</f>
        <v>렌탈료</v>
      </c>
      <c r="B34" s="820">
        <f>데이터입력!Y44</f>
        <v>80000</v>
      </c>
      <c r="C34" s="1063" t="str">
        <f>IF(데이터입력!Z44="","X",데이터입력!Z44)</f>
        <v>공공요금</v>
      </c>
      <c r="D34" s="835"/>
      <c r="E34" s="1063" t="str">
        <f>IF(데이터입력!AB44="","",데이터입력!AB44)</f>
        <v>각종세금 등</v>
      </c>
      <c r="F34" s="834"/>
      <c r="G34" s="819" t="str">
        <f>IF(데이터입력!AD44="","X",데이터입력!AD44)</f>
        <v>수리비</v>
      </c>
      <c r="H34" s="820">
        <f>데이터입력!AE44</f>
        <v>170000</v>
      </c>
      <c r="I34" s="1064">
        <f>IF(G34="X",데이터입력!$Y$8,데이터입력!AF44)</f>
        <v>12</v>
      </c>
      <c r="K34" s="42"/>
      <c r="L34" s="12"/>
      <c r="M34" s="12"/>
      <c r="N34" s="12"/>
      <c r="O34" s="12" t="str">
        <f>IFERROR(IF(예산업로드양식!E29="","",IF(예산업로드양식!F29="06",예산업로드양식!E29,"")),"")</f>
        <v>프로그램 사업비</v>
      </c>
      <c r="P34" s="13">
        <f>IFERROR(IF(예산업로드양식!H29="","",IF(예산업로드양식!F29="06",예산업로드양식!H29,"")),"")</f>
        <v>8396000</v>
      </c>
      <c r="Q34" s="7">
        <f t="shared" si="0"/>
        <v>8396000</v>
      </c>
      <c r="R34" s="13"/>
      <c r="S34" s="218"/>
      <c r="T34" s="42"/>
      <c r="U34" s="12"/>
      <c r="V34" s="12"/>
      <c r="W34" s="12"/>
      <c r="X34" s="12" t="str">
        <f>IFERROR(IF(예산업로드양식!E29="","",IF(예산업로드양식!F29="07",예산업로드양식!E29,"")),"")</f>
        <v/>
      </c>
      <c r="Y34" s="13" t="str">
        <f>IFERROR(IF(예산업로드양식!H29="","",IF(예산업로드양식!F29="07",예산업로드양식!H29,"")),"")</f>
        <v/>
      </c>
      <c r="Z34" s="13"/>
      <c r="AA34" s="13"/>
      <c r="AB34" s="218"/>
      <c r="AC34" s="42"/>
      <c r="AD34" s="12"/>
      <c r="AE34" s="12"/>
      <c r="AF34" s="12"/>
      <c r="AG34" s="12" t="str">
        <f>IFERROR(IF(예산업로드양식!E29="","",IF(예산업로드양식!F29="05",예산업로드양식!E29,"")),"")</f>
        <v/>
      </c>
      <c r="AH34" s="13" t="str">
        <f>IFERROR(IF(예산업로드양식!H29="","",IF(예산업로드양식!F29="05",예산업로드양식!H29,"")),"")</f>
        <v/>
      </c>
      <c r="AI34" s="13"/>
      <c r="AJ34" s="13"/>
      <c r="AL34" s="1128" t="str">
        <f>IF(보수일람표!O34="","",보수일람표!O34)</f>
        <v/>
      </c>
      <c r="AM34" s="1129" t="str">
        <f>IF(보수일람표!P34="","",보수일람표!P34)</f>
        <v/>
      </c>
      <c r="AN34" s="1130">
        <f>IF(보수일람표!S34="","",보수일람표!S34)</f>
        <v>0</v>
      </c>
      <c r="AO34" s="1131">
        <f>IF(보수일람표!R34="","",보수일람표!R34)</f>
        <v>0</v>
      </c>
      <c r="AP34" s="1118">
        <f>IF(보수일람표!S34="","",보수일람표!S34)</f>
        <v>0</v>
      </c>
      <c r="AQ34" s="1132">
        <f>IF(보수일람표!T34="","",보수일람표!T34)</f>
        <v>0</v>
      </c>
      <c r="AR34" s="1120">
        <f>IF(보수일람표!U34="","",보수일람표!U34)</f>
        <v>0</v>
      </c>
      <c r="AS34" s="1121">
        <f>IF(보수일람표!V34="","",보수일람표!V34)</f>
        <v>0</v>
      </c>
      <c r="AT34" s="1122">
        <f>IF(보수일람표!W34="","",보수일람표!W34)</f>
        <v>0</v>
      </c>
      <c r="AU34" s="1123">
        <f>IF(보수일람표!X34="","",보수일람표!X34)</f>
        <v>0</v>
      </c>
      <c r="AV34" s="1124">
        <f>IF(보수일람표!Y34="","",보수일람표!Y34)</f>
        <v>0</v>
      </c>
      <c r="AW34" s="1133">
        <f>IF(보수일람표!Z34="","",보수일람표!Z34)</f>
        <v>0</v>
      </c>
      <c r="AX34" s="1134">
        <f>IF(보수일람표!AA34="","",보수일람표!AA34)</f>
        <v>0</v>
      </c>
    </row>
    <row r="35" spans="1:50">
      <c r="A35" s="819" t="str">
        <f>IF(데이터입력!Y45=0,"X",데이터입력!X45)</f>
        <v>사무용품</v>
      </c>
      <c r="B35" s="820">
        <f>데이터입력!Y45</f>
        <v>50000</v>
      </c>
      <c r="C35" s="819" t="str">
        <f>IF(데이터입력!AA45=0,"X",데이터입력!Z45)</f>
        <v>TV,통신요금 등</v>
      </c>
      <c r="D35" s="820">
        <f>데이터입력!AA45</f>
        <v>80000</v>
      </c>
      <c r="E35" s="819" t="str">
        <f>IF(데이터입력!AC45=0,"X",데이터입력!AB45)</f>
        <v>각종공과금 등</v>
      </c>
      <c r="F35" s="820">
        <f>데이터입력!AC45</f>
        <v>170000</v>
      </c>
      <c r="G35" s="819" t="str">
        <f>IF(데이터입력!AD45="","X",데이터입력!AD45)</f>
        <v>X</v>
      </c>
      <c r="H35" s="820">
        <f>데이터입력!AE45</f>
        <v>0</v>
      </c>
      <c r="I35" s="1064">
        <f>IF(G35="X",데이터입력!$Y$8,데이터입력!AF45)</f>
        <v>12</v>
      </c>
      <c r="K35" s="41"/>
      <c r="L35" s="10"/>
      <c r="M35" s="10"/>
      <c r="N35" s="10"/>
      <c r="O35" s="10" t="str">
        <f>IFERROR(IF(예산업로드양식!E30="","",IF(예산업로드양식!F30="06",예산업로드양식!E30,"")),"")</f>
        <v>기타전출금</v>
      </c>
      <c r="P35" s="11">
        <f>IFERROR(IF(예산업로드양식!H30="","",IF(예산업로드양식!F30="06",예산업로드양식!H30,"")),"")</f>
        <v>30000000</v>
      </c>
      <c r="Q35" s="11">
        <f t="shared" si="0"/>
        <v>30000000</v>
      </c>
      <c r="R35" s="11"/>
      <c r="S35" s="218"/>
      <c r="T35" s="41"/>
      <c r="U35" s="10"/>
      <c r="V35" s="10"/>
      <c r="W35" s="10"/>
      <c r="X35" s="10" t="str">
        <f>IFERROR(IF(예산업로드양식!E30="","",IF(예산업로드양식!F30="07",예산업로드양식!E30,"")),"")</f>
        <v/>
      </c>
      <c r="Y35" s="11" t="str">
        <f>IFERROR(IF(예산업로드양식!H30="","",IF(예산업로드양식!F30="07",예산업로드양식!H30,"")),"")</f>
        <v/>
      </c>
      <c r="Z35" s="11"/>
      <c r="AA35" s="11"/>
      <c r="AB35" s="218"/>
      <c r="AC35" s="41"/>
      <c r="AD35" s="10"/>
      <c r="AE35" s="10"/>
      <c r="AF35" s="10"/>
      <c r="AG35" s="10" t="str">
        <f>IFERROR(IF(예산업로드양식!E30="","",IF(예산업로드양식!F30="05",예산업로드양식!E30,"")),"")</f>
        <v/>
      </c>
      <c r="AH35" s="11" t="str">
        <f>IFERROR(IF(예산업로드양식!H30="","",IF(예산업로드양식!F30="05",예산업로드양식!H30,"")),"")</f>
        <v/>
      </c>
      <c r="AI35" s="11"/>
      <c r="AJ35" s="11"/>
      <c r="AL35" s="1128" t="str">
        <f>IF(보수일람표!O35="","",보수일람표!O35)</f>
        <v/>
      </c>
      <c r="AM35" s="1129" t="str">
        <f>IF(보수일람표!P35="","",보수일람표!P35)</f>
        <v/>
      </c>
      <c r="AN35" s="1130">
        <f>IF(보수일람표!S35="","",보수일람표!S35)</f>
        <v>0</v>
      </c>
      <c r="AO35" s="1131">
        <f>IF(보수일람표!R35="","",보수일람표!R35)</f>
        <v>0</v>
      </c>
      <c r="AP35" s="1118">
        <f>IF(보수일람표!S35="","",보수일람표!S35)</f>
        <v>0</v>
      </c>
      <c r="AQ35" s="1132">
        <f>IF(보수일람표!T35="","",보수일람표!T35)</f>
        <v>0</v>
      </c>
      <c r="AR35" s="1120">
        <f>IF(보수일람표!U35="","",보수일람표!U35)</f>
        <v>0</v>
      </c>
      <c r="AS35" s="1121">
        <f>IF(보수일람표!V35="","",보수일람표!V35)</f>
        <v>0</v>
      </c>
      <c r="AT35" s="1122">
        <f>IF(보수일람표!W35="","",보수일람표!W35)</f>
        <v>0</v>
      </c>
      <c r="AU35" s="1123">
        <f>IF(보수일람표!X35="","",보수일람표!X35)</f>
        <v>0</v>
      </c>
      <c r="AV35" s="1124">
        <f>IF(보수일람표!Y35="","",보수일람표!Y35)</f>
        <v>0</v>
      </c>
      <c r="AW35" s="1133">
        <f>IF(보수일람표!Z35="","",보수일람표!Z35)</f>
        <v>0</v>
      </c>
      <c r="AX35" s="1134">
        <f>IF(보수일람표!AA35="","",보수일람표!AA35)</f>
        <v>0</v>
      </c>
    </row>
    <row r="36" spans="1:50">
      <c r="A36" s="819" t="str">
        <f>IF(데이터입력!Y46=0,"X",데이터입력!X46)</f>
        <v>기타(소독,점검비 등)</v>
      </c>
      <c r="B36" s="820">
        <f>데이터입력!Y46</f>
        <v>100000</v>
      </c>
      <c r="C36" s="819" t="str">
        <f>IF(데이터입력!AA46=0,"X",데이터입력!Z46)</f>
        <v>기타(관리비 등)</v>
      </c>
      <c r="D36" s="820">
        <f>데이터입력!AA46</f>
        <v>200000</v>
      </c>
      <c r="E36" s="819" t="str">
        <f>IF(데이터입력!AC46=0,"X",데이터입력!AB46)</f>
        <v>기타(보험료 등)</v>
      </c>
      <c r="F36" s="820">
        <f>데이터입력!AC46</f>
        <v>80000</v>
      </c>
      <c r="G36" s="819" t="str">
        <f>IF(데이터입력!AD46="","X",데이터입력!AD46)</f>
        <v>X</v>
      </c>
      <c r="H36" s="820">
        <f>데이터입력!AE46</f>
        <v>0</v>
      </c>
      <c r="I36" s="1064">
        <f>IF(G36="X",데이터입력!$Y$8,데이터입력!AF46)</f>
        <v>12</v>
      </c>
      <c r="K36" s="42"/>
      <c r="L36" s="12"/>
      <c r="M36" s="12"/>
      <c r="N36" s="12"/>
      <c r="O36" s="12" t="str">
        <f>IFERROR(IF(예산업로드양식!E31="","",IF(예산업로드양식!F31="06",예산업로드양식!E31,"")),"")</f>
        <v>잡지출</v>
      </c>
      <c r="P36" s="13">
        <f>IFERROR(IF(예산업로드양식!H31="","",IF(예산업로드양식!F31="06",예산업로드양식!H31,"")),"")</f>
        <v>3912994</v>
      </c>
      <c r="Q36" s="7">
        <f t="shared" si="0"/>
        <v>3912994</v>
      </c>
      <c r="R36" s="13"/>
      <c r="S36" s="218"/>
      <c r="T36" s="42"/>
      <c r="U36" s="12"/>
      <c r="V36" s="12"/>
      <c r="W36" s="12"/>
      <c r="X36" s="12" t="str">
        <f>IFERROR(IF(예산업로드양식!E31="","",IF(예산업로드양식!F31="07",예산업로드양식!E31,"")),"")</f>
        <v/>
      </c>
      <c r="Y36" s="13" t="str">
        <f>IFERROR(IF(예산업로드양식!H31="","",IF(예산업로드양식!F31="07",예산업로드양식!H31,"")),"")</f>
        <v/>
      </c>
      <c r="Z36" s="13"/>
      <c r="AA36" s="13"/>
      <c r="AB36" s="218"/>
      <c r="AC36" s="42"/>
      <c r="AD36" s="12"/>
      <c r="AE36" s="12"/>
      <c r="AF36" s="12"/>
      <c r="AG36" s="12" t="str">
        <f>IFERROR(IF(예산업로드양식!E31="","",IF(예산업로드양식!F31="05",예산업로드양식!E31,"")),"")</f>
        <v/>
      </c>
      <c r="AH36" s="13" t="str">
        <f>IFERROR(IF(예산업로드양식!H31="","",IF(예산업로드양식!F31="05",예산업로드양식!H31,"")),"")</f>
        <v/>
      </c>
      <c r="AI36" s="13"/>
      <c r="AJ36" s="13"/>
      <c r="AL36" s="1128" t="str">
        <f>IF(보수일람표!O36="","",보수일람표!O36)</f>
        <v/>
      </c>
      <c r="AM36" s="1129" t="str">
        <f>IF(보수일람표!P36="","",보수일람표!P36)</f>
        <v/>
      </c>
      <c r="AN36" s="1130">
        <f>IF(보수일람표!S36="","",보수일람표!S36)</f>
        <v>0</v>
      </c>
      <c r="AO36" s="1131">
        <f>IF(보수일람표!R36="","",보수일람표!R36)</f>
        <v>0</v>
      </c>
      <c r="AP36" s="1118">
        <f>IF(보수일람표!S36="","",보수일람표!S36)</f>
        <v>0</v>
      </c>
      <c r="AQ36" s="1132">
        <f>IF(보수일람표!T36="","",보수일람표!T36)</f>
        <v>0</v>
      </c>
      <c r="AR36" s="1120">
        <f>IF(보수일람표!U36="","",보수일람표!U36)</f>
        <v>0</v>
      </c>
      <c r="AS36" s="1121">
        <f>IF(보수일람표!V36="","",보수일람표!V36)</f>
        <v>0</v>
      </c>
      <c r="AT36" s="1122">
        <f>IF(보수일람표!W36="","",보수일람표!W36)</f>
        <v>0</v>
      </c>
      <c r="AU36" s="1123">
        <f>IF(보수일람표!X36="","",보수일람표!X36)</f>
        <v>0</v>
      </c>
      <c r="AV36" s="1124">
        <f>IF(보수일람표!Y36="","",보수일람표!Y36)</f>
        <v>0</v>
      </c>
      <c r="AW36" s="1133">
        <f>IF(보수일람표!Z36="","",보수일람표!Z36)</f>
        <v>0</v>
      </c>
      <c r="AX36" s="1134">
        <f>IF(보수일람표!AA36="","",보수일람표!AA36)</f>
        <v>0</v>
      </c>
    </row>
    <row r="37" spans="1:50">
      <c r="A37" s="819" t="str">
        <f>IF(데이터입력!X47="","X",데이터입력!X47)</f>
        <v>X</v>
      </c>
      <c r="B37" s="820">
        <f>데이터입력!Y47</f>
        <v>0</v>
      </c>
      <c r="C37" s="819" t="str">
        <f>IF(데이터입력!Z47="","X",데이터입력!Z47)</f>
        <v>X</v>
      </c>
      <c r="D37" s="820">
        <f>데이터입력!AA47</f>
        <v>0</v>
      </c>
      <c r="E37" s="819" t="str">
        <f>IF(데이터입력!AC47=0,"X",데이터입력!AB47)</f>
        <v>X</v>
      </c>
      <c r="F37" s="820">
        <f>데이터입력!AC47</f>
        <v>0</v>
      </c>
      <c r="G37" s="819" t="str">
        <f>IF(데이터입력!AD47="","X",데이터입력!AD47)</f>
        <v>X</v>
      </c>
      <c r="H37" s="820">
        <f>데이터입력!AE47</f>
        <v>0</v>
      </c>
      <c r="I37" s="1064">
        <f>IF(G37="X",데이터입력!$Y$8,데이터입력!AF47)</f>
        <v>12</v>
      </c>
      <c r="K37" s="41"/>
      <c r="L37" s="10"/>
      <c r="M37" s="10"/>
      <c r="N37" s="10"/>
      <c r="O37" s="10" t="str">
        <f>IFERROR(IF(예산업로드양식!E32="","",IF(예산업로드양식!F32="06",예산업로드양식!E32,"")),"")</f>
        <v>예비비</v>
      </c>
      <c r="P37" s="11">
        <f>IFERROR(IF(예산업로드양식!H32="","",IF(예산업로드양식!F32="06",예산업로드양식!H32,"")),"")</f>
        <v>0</v>
      </c>
      <c r="Q37" s="11">
        <f t="shared" si="0"/>
        <v>0</v>
      </c>
      <c r="R37" s="11"/>
      <c r="S37" s="218"/>
      <c r="T37" s="41"/>
      <c r="U37" s="10"/>
      <c r="V37" s="10"/>
      <c r="W37" s="10"/>
      <c r="X37" s="10" t="str">
        <f>IFERROR(IF(예산업로드양식!E32="","",IF(예산업로드양식!F32="07",예산업로드양식!E32,"")),"")</f>
        <v/>
      </c>
      <c r="Y37" s="11" t="str">
        <f>IFERROR(IF(예산업로드양식!H32="","",IF(예산업로드양식!F32="07",예산업로드양식!H32,"")),"")</f>
        <v/>
      </c>
      <c r="Z37" s="11"/>
      <c r="AA37" s="11"/>
      <c r="AB37" s="218"/>
      <c r="AC37" s="41"/>
      <c r="AD37" s="10"/>
      <c r="AE37" s="10"/>
      <c r="AF37" s="10"/>
      <c r="AG37" s="10" t="str">
        <f>IFERROR(IF(예산업로드양식!E32="","",IF(예산업로드양식!F32="05",예산업로드양식!E32,"")),"")</f>
        <v/>
      </c>
      <c r="AH37" s="11" t="str">
        <f>IFERROR(IF(예산업로드양식!H32="","",IF(예산업로드양식!F32="05",예산업로드양식!H32,"")),"")</f>
        <v/>
      </c>
      <c r="AI37" s="11"/>
      <c r="AJ37" s="11"/>
      <c r="AL37" s="1128" t="str">
        <f>IF(보수일람표!O37="","",보수일람표!O37)</f>
        <v/>
      </c>
      <c r="AM37" s="1129" t="str">
        <f>IF(보수일람표!P37="","",보수일람표!P37)</f>
        <v/>
      </c>
      <c r="AN37" s="1130">
        <f>IF(보수일람표!S37="","",보수일람표!S37)</f>
        <v>0</v>
      </c>
      <c r="AO37" s="1131">
        <f>IF(보수일람표!R37="","",보수일람표!R37)</f>
        <v>0</v>
      </c>
      <c r="AP37" s="1118">
        <f>IF(보수일람표!S37="","",보수일람표!S37)</f>
        <v>0</v>
      </c>
      <c r="AQ37" s="1132">
        <f>IF(보수일람표!T37="","",보수일람표!T37)</f>
        <v>0</v>
      </c>
      <c r="AR37" s="1120">
        <f>IF(보수일람표!U37="","",보수일람표!U37)</f>
        <v>0</v>
      </c>
      <c r="AS37" s="1121">
        <f>IF(보수일람표!V37="","",보수일람표!V37)</f>
        <v>0</v>
      </c>
      <c r="AT37" s="1122">
        <f>IF(보수일람표!W37="","",보수일람표!W37)</f>
        <v>0</v>
      </c>
      <c r="AU37" s="1123">
        <f>IF(보수일람표!X37="","",보수일람표!X37)</f>
        <v>0</v>
      </c>
      <c r="AV37" s="1124">
        <f>IF(보수일람표!Y37="","",보수일람표!Y37)</f>
        <v>0</v>
      </c>
      <c r="AW37" s="1133">
        <f>IF(보수일람표!Z37="","",보수일람표!Z37)</f>
        <v>0</v>
      </c>
      <c r="AX37" s="1134">
        <f>IF(보수일람표!AA37="","",보수일람표!AA37)</f>
        <v>0</v>
      </c>
    </row>
    <row r="38" spans="1:50">
      <c r="A38" s="819" t="str">
        <f>IF(데이터입력!X48="","X",데이터입력!X48)</f>
        <v>X</v>
      </c>
      <c r="B38" s="820">
        <f>데이터입력!Y48</f>
        <v>0</v>
      </c>
      <c r="C38" s="819" t="str">
        <f>IF(데이터입력!Z48="","X",데이터입력!Z48)</f>
        <v>X</v>
      </c>
      <c r="D38" s="820">
        <f>데이터입력!AA48</f>
        <v>0</v>
      </c>
      <c r="E38" s="819" t="str">
        <f>IF(데이터입력!AC48=0,"X",데이터입력!AB48)</f>
        <v>X</v>
      </c>
      <c r="F38" s="820">
        <f>데이터입력!AC48</f>
        <v>0</v>
      </c>
      <c r="G38" s="819" t="str">
        <f>IF(데이터입력!AD48="","X",데이터입력!AD48)</f>
        <v>X</v>
      </c>
      <c r="H38" s="820">
        <f>데이터입력!AE48</f>
        <v>0</v>
      </c>
      <c r="I38" s="1064">
        <f>IF(G38="X",데이터입력!$Y$8,데이터입력!AF48)</f>
        <v>12</v>
      </c>
      <c r="K38" s="42"/>
      <c r="L38" s="12"/>
      <c r="M38" s="12"/>
      <c r="N38" s="12"/>
      <c r="O38" s="12" t="str">
        <f>IFERROR(IF(예산업로드양식!E33="","",IF(예산업로드양식!F33="06",예산업로드양식!E33,"")),"")</f>
        <v/>
      </c>
      <c r="P38" s="13" t="str">
        <f>IFERROR(IF(예산업로드양식!H33="","",IF(예산업로드양식!F33="06",예산업로드양식!H33,"")),"")</f>
        <v/>
      </c>
      <c r="Q38" s="7" t="str">
        <f t="shared" si="0"/>
        <v/>
      </c>
      <c r="R38" s="13"/>
      <c r="S38" s="218"/>
      <c r="T38" s="42"/>
      <c r="U38" s="12"/>
      <c r="V38" s="12"/>
      <c r="W38" s="12"/>
      <c r="X38" s="12" t="str">
        <f>IFERROR(IF(예산업로드양식!E33="","",IF(예산업로드양식!F33="07",예산업로드양식!E33,"")),"")</f>
        <v/>
      </c>
      <c r="Y38" s="13" t="str">
        <f>IFERROR(IF(예산업로드양식!H33="","",IF(예산업로드양식!F33="07",예산업로드양식!H33,"")),"")</f>
        <v/>
      </c>
      <c r="Z38" s="13"/>
      <c r="AA38" s="13"/>
      <c r="AB38" s="218"/>
      <c r="AC38" s="42"/>
      <c r="AD38" s="12"/>
      <c r="AE38" s="12"/>
      <c r="AF38" s="12"/>
      <c r="AG38" s="12" t="str">
        <f>IFERROR(IF(예산업로드양식!E33="","",IF(예산업로드양식!F33="05",예산업로드양식!E33,"")),"")</f>
        <v/>
      </c>
      <c r="AH38" s="13" t="str">
        <f>IFERROR(IF(예산업로드양식!H33="","",IF(예산업로드양식!F33="05",예산업로드양식!H33,"")),"")</f>
        <v/>
      </c>
      <c r="AI38" s="13"/>
      <c r="AJ38" s="13"/>
      <c r="AL38" s="1128" t="str">
        <f>IF(보수일람표!O38="","",보수일람표!O38)</f>
        <v/>
      </c>
      <c r="AM38" s="1129" t="str">
        <f>IF(보수일람표!P38="","",보수일람표!P38)</f>
        <v/>
      </c>
      <c r="AN38" s="1130">
        <f>IF(보수일람표!S38="","",보수일람표!S38)</f>
        <v>0</v>
      </c>
      <c r="AO38" s="1131">
        <f>IF(보수일람표!R38="","",보수일람표!R38)</f>
        <v>0</v>
      </c>
      <c r="AP38" s="1118">
        <f>IF(보수일람표!S38="","",보수일람표!S38)</f>
        <v>0</v>
      </c>
      <c r="AQ38" s="1132">
        <f>IF(보수일람표!T38="","",보수일람표!T38)</f>
        <v>0</v>
      </c>
      <c r="AR38" s="1120">
        <f>IF(보수일람표!U38="","",보수일람표!U38)</f>
        <v>0</v>
      </c>
      <c r="AS38" s="1121">
        <f>IF(보수일람표!V38="","",보수일람표!V38)</f>
        <v>0</v>
      </c>
      <c r="AT38" s="1122">
        <f>IF(보수일람표!W38="","",보수일람표!W38)</f>
        <v>0</v>
      </c>
      <c r="AU38" s="1123">
        <f>IF(보수일람표!X38="","",보수일람표!X38)</f>
        <v>0</v>
      </c>
      <c r="AV38" s="1124">
        <f>IF(보수일람표!Y38="","",보수일람표!Y38)</f>
        <v>0</v>
      </c>
      <c r="AW38" s="1133">
        <f>IF(보수일람표!Z38="","",보수일람표!Z38)</f>
        <v>0</v>
      </c>
      <c r="AX38" s="1134">
        <f>IF(보수일람표!AA38="","",보수일람표!AA38)</f>
        <v>0</v>
      </c>
    </row>
    <row r="39" spans="1:50" ht="17.25" thickBot="1">
      <c r="A39" s="819" t="str">
        <f>IF(데이터입력!X49="","X",데이터입력!X49)</f>
        <v>X</v>
      </c>
      <c r="B39" s="820">
        <f>데이터입력!Y49</f>
        <v>0</v>
      </c>
      <c r="C39" s="819" t="str">
        <f>IF(데이터입력!Z49="","X",데이터입력!Z49)</f>
        <v>X</v>
      </c>
      <c r="D39" s="820">
        <f>데이터입력!AA49</f>
        <v>0</v>
      </c>
      <c r="E39" s="819" t="str">
        <f>IF(데이터입력!AC49=0,"X",데이터입력!AB49)</f>
        <v>X</v>
      </c>
      <c r="F39" s="820">
        <f>데이터입력!AC49</f>
        <v>0</v>
      </c>
      <c r="G39" s="819" t="str">
        <f>IF(데이터입력!AD49="","X",데이터입력!AD49)</f>
        <v>X</v>
      </c>
      <c r="H39" s="820">
        <f>데이터입력!AE49</f>
        <v>0</v>
      </c>
      <c r="I39" s="1064">
        <f>IF(G39="X",데이터입력!$Y$8,데이터입력!AF49)</f>
        <v>12</v>
      </c>
      <c r="K39" s="41"/>
      <c r="L39" s="10"/>
      <c r="M39" s="10"/>
      <c r="N39" s="10"/>
      <c r="O39" s="10" t="str">
        <f>IFERROR(IF(예산업로드양식!E34="","",IF(예산업로드양식!F34="06",예산업로드양식!E34,"")),"")</f>
        <v/>
      </c>
      <c r="P39" s="11" t="str">
        <f>IFERROR(IF(예산업로드양식!H34="","",IF(예산업로드양식!F34="06",예산업로드양식!H34,"")),"")</f>
        <v/>
      </c>
      <c r="Q39" s="11" t="str">
        <f t="shared" si="0"/>
        <v/>
      </c>
      <c r="R39" s="11"/>
      <c r="S39" s="218"/>
      <c r="T39" s="41"/>
      <c r="U39" s="10"/>
      <c r="V39" s="10"/>
      <c r="W39" s="10"/>
      <c r="X39" s="10" t="str">
        <f>IFERROR(IF(예산업로드양식!E34="","",IF(예산업로드양식!F34="07",예산업로드양식!E34,"")),"")</f>
        <v/>
      </c>
      <c r="Y39" s="11" t="str">
        <f>IFERROR(IF(예산업로드양식!H34="","",IF(예산업로드양식!F34="07",예산업로드양식!H34,"")),"")</f>
        <v/>
      </c>
      <c r="Z39" s="11"/>
      <c r="AA39" s="11"/>
      <c r="AB39" s="218"/>
      <c r="AC39" s="41"/>
      <c r="AD39" s="10"/>
      <c r="AE39" s="10"/>
      <c r="AF39" s="10"/>
      <c r="AG39" s="10" t="str">
        <f>IFERROR(IF(예산업로드양식!E34="","",IF(예산업로드양식!F34="05",예산업로드양식!E34,"")),"")</f>
        <v/>
      </c>
      <c r="AH39" s="11" t="str">
        <f>IFERROR(IF(예산업로드양식!H34="","",IF(예산업로드양식!F34="05",예산업로드양식!H34,"")),"")</f>
        <v/>
      </c>
      <c r="AI39" s="11"/>
      <c r="AJ39" s="11"/>
      <c r="AL39" s="1128" t="str">
        <f>IF(보수일람표!O39="","",보수일람표!O39)</f>
        <v/>
      </c>
      <c r="AM39" s="1129" t="str">
        <f>IF(보수일람표!P39="","",보수일람표!P39)</f>
        <v/>
      </c>
      <c r="AN39" s="1130">
        <f>IF(보수일람표!S39="","",보수일람표!S39)</f>
        <v>0</v>
      </c>
      <c r="AO39" s="1131">
        <f>IF(보수일람표!R39="","",보수일람표!R39)</f>
        <v>0</v>
      </c>
      <c r="AP39" s="1118">
        <f>IF(보수일람표!S39="","",보수일람표!S39)</f>
        <v>0</v>
      </c>
      <c r="AQ39" s="1132">
        <f>IF(보수일람표!T39="","",보수일람표!T39)</f>
        <v>0</v>
      </c>
      <c r="AR39" s="1120">
        <f>IF(보수일람표!U39="","",보수일람표!U39)</f>
        <v>0</v>
      </c>
      <c r="AS39" s="1121">
        <f>IF(보수일람표!V39="","",보수일람표!V39)</f>
        <v>0</v>
      </c>
      <c r="AT39" s="1122">
        <f>IF(보수일람표!W39="","",보수일람표!W39)</f>
        <v>0</v>
      </c>
      <c r="AU39" s="1123">
        <f>IF(보수일람표!X39="","",보수일람표!X39)</f>
        <v>0</v>
      </c>
      <c r="AV39" s="1124">
        <f>IF(보수일람표!Y39="","",보수일람표!Y39)</f>
        <v>0</v>
      </c>
      <c r="AW39" s="1133">
        <f>IF(보수일람표!Z39="","",보수일람표!Z39)</f>
        <v>0</v>
      </c>
      <c r="AX39" s="1134">
        <f>IF(보수일람표!AA39="","",보수일람표!AA39)</f>
        <v>0</v>
      </c>
    </row>
    <row r="40" spans="1:50" ht="17.25" thickBot="1">
      <c r="A40" s="827" t="s">
        <v>172</v>
      </c>
      <c r="B40" s="836"/>
      <c r="C40" s="831" t="s">
        <v>185</v>
      </c>
      <c r="D40" s="831" t="s">
        <v>215</v>
      </c>
      <c r="E40" s="824" t="s">
        <v>186</v>
      </c>
      <c r="F40" s="836"/>
      <c r="G40" s="824" t="s">
        <v>131</v>
      </c>
      <c r="H40" s="836"/>
      <c r="I40" s="831" t="s">
        <v>215</v>
      </c>
      <c r="K40" s="42"/>
      <c r="L40" s="12"/>
      <c r="M40" s="12"/>
      <c r="N40" s="12"/>
      <c r="O40" s="12" t="str">
        <f>IFERROR(IF(예산업로드양식!E35="","",IF(예산업로드양식!F35="06",예산업로드양식!E35,"")),"")</f>
        <v/>
      </c>
      <c r="P40" s="13" t="str">
        <f>IFERROR(IF(예산업로드양식!H35="","",IF(예산업로드양식!F35="06",예산업로드양식!H35,"")),"")</f>
        <v/>
      </c>
      <c r="Q40" s="7" t="str">
        <f t="shared" si="0"/>
        <v/>
      </c>
      <c r="R40" s="13"/>
      <c r="S40" s="218"/>
      <c r="T40" s="42"/>
      <c r="U40" s="12"/>
      <c r="V40" s="12"/>
      <c r="W40" s="12"/>
      <c r="X40" s="12" t="str">
        <f>IFERROR(IF(예산업로드양식!E35="","",IF(예산업로드양식!F35="07",예산업로드양식!E35,"")),"")</f>
        <v/>
      </c>
      <c r="Y40" s="13" t="str">
        <f>IFERROR(IF(예산업로드양식!H35="","",IF(예산업로드양식!F35="07",예산업로드양식!H35,"")),"")</f>
        <v/>
      </c>
      <c r="Z40" s="13"/>
      <c r="AA40" s="13"/>
      <c r="AB40" s="218"/>
      <c r="AC40" s="42"/>
      <c r="AD40" s="12"/>
      <c r="AE40" s="12"/>
      <c r="AF40" s="12"/>
      <c r="AG40" s="12" t="str">
        <f>IFERROR(IF(예산업로드양식!E35="","",IF(예산업로드양식!F35="05",예산업로드양식!E35,"")),"")</f>
        <v/>
      </c>
      <c r="AH40" s="13" t="str">
        <f>IFERROR(IF(예산업로드양식!H35="","",IF(예산업로드양식!F35="05",예산업로드양식!H35,"")),"")</f>
        <v/>
      </c>
      <c r="AI40" s="13"/>
      <c r="AJ40" s="13"/>
      <c r="AL40" s="1128" t="str">
        <f>IF(보수일람표!O40="","",보수일람표!O40)</f>
        <v/>
      </c>
      <c r="AM40" s="1129" t="str">
        <f>IF(보수일람표!P40="","",보수일람표!P40)</f>
        <v/>
      </c>
      <c r="AN40" s="1130">
        <f>IF(보수일람표!S40="","",보수일람표!S40)</f>
        <v>0</v>
      </c>
      <c r="AO40" s="1131">
        <f>IF(보수일람표!R40="","",보수일람표!R40)</f>
        <v>0</v>
      </c>
      <c r="AP40" s="1118">
        <f>IF(보수일람표!S40="","",보수일람표!S40)</f>
        <v>0</v>
      </c>
      <c r="AQ40" s="1132">
        <f>IF(보수일람표!T40="","",보수일람표!T40)</f>
        <v>0</v>
      </c>
      <c r="AR40" s="1120">
        <f>IF(보수일람표!U40="","",보수일람표!U40)</f>
        <v>0</v>
      </c>
      <c r="AS40" s="1121">
        <f>IF(보수일람표!V40="","",보수일람표!V40)</f>
        <v>0</v>
      </c>
      <c r="AT40" s="1122">
        <f>IF(보수일람표!W40="","",보수일람표!W40)</f>
        <v>0</v>
      </c>
      <c r="AU40" s="1123">
        <f>IF(보수일람표!X40="","",보수일람표!X40)</f>
        <v>0</v>
      </c>
      <c r="AV40" s="1124">
        <f>IF(보수일람표!Y40="","",보수일람표!Y40)</f>
        <v>0</v>
      </c>
      <c r="AW40" s="1133">
        <f>IF(보수일람표!Z40="","",보수일람표!Z40)</f>
        <v>0</v>
      </c>
      <c r="AX40" s="1134">
        <f>IF(보수일람표!AA40="","",보수일람표!AA40)</f>
        <v>0</v>
      </c>
    </row>
    <row r="41" spans="1:50">
      <c r="A41" s="1063" t="str">
        <f>IF(데이터입력!X51="","X",데이터입력!X51)</f>
        <v>기타운영비</v>
      </c>
      <c r="B41" s="837"/>
      <c r="C41" s="840" t="str">
        <f>IF(데이터입력!Z51="","X",데이터입력!Z51)</f>
        <v>X</v>
      </c>
      <c r="D41" s="1064">
        <f>IF(A41="X",데이터입력!$Y$8,데이터입력!AA51)</f>
        <v>12</v>
      </c>
      <c r="E41" s="1063" t="str">
        <f>IF(데이터입력!AB51="","X",데이터입력!AB51)</f>
        <v>비품구입비</v>
      </c>
      <c r="F41" s="834"/>
      <c r="G41" s="1063" t="str">
        <f>IF(데이터입력!AD51="","X",데이터입력!AD51)</f>
        <v>기저귀 등</v>
      </c>
      <c r="H41" s="834"/>
      <c r="I41" s="1064">
        <f>IF(G41="X",데이터입력!$Y$8,데이터입력!AF51)</f>
        <v>12</v>
      </c>
      <c r="K41" s="41"/>
      <c r="L41" s="10"/>
      <c r="M41" s="10"/>
      <c r="N41" s="10"/>
      <c r="O41" s="10" t="str">
        <f>IFERROR(IF(예산업로드양식!E36="","",IF(예산업로드양식!F36="06",예산업로드양식!E36,"")),"")</f>
        <v/>
      </c>
      <c r="P41" s="11" t="str">
        <f>IFERROR(IF(예산업로드양식!H36="","",IF(예산업로드양식!F36="06",예산업로드양식!H36,"")),"")</f>
        <v/>
      </c>
      <c r="Q41" s="11" t="str">
        <f t="shared" si="0"/>
        <v/>
      </c>
      <c r="R41" s="11"/>
      <c r="S41" s="218"/>
      <c r="T41" s="41"/>
      <c r="U41" s="10"/>
      <c r="V41" s="10"/>
      <c r="W41" s="10"/>
      <c r="X41" s="10" t="str">
        <f>IFERROR(IF(예산업로드양식!E36="","",IF(예산업로드양식!F36="07",예산업로드양식!E36,"")),"")</f>
        <v/>
      </c>
      <c r="Y41" s="11" t="str">
        <f>IFERROR(IF(예산업로드양식!H36="","",IF(예산업로드양식!F36="07",예산업로드양식!H36,"")),"")</f>
        <v/>
      </c>
      <c r="Z41" s="11"/>
      <c r="AA41" s="11"/>
      <c r="AB41" s="218"/>
      <c r="AC41" s="41"/>
      <c r="AD41" s="10"/>
      <c r="AE41" s="10"/>
      <c r="AF41" s="10"/>
      <c r="AG41" s="10" t="str">
        <f>IFERROR(IF(예산업로드양식!E36="","",IF(예산업로드양식!F36="05",예산업로드양식!E36,"")),"")</f>
        <v/>
      </c>
      <c r="AH41" s="11" t="str">
        <f>IFERROR(IF(예산업로드양식!H36="","",IF(예산업로드양식!F36="05",예산업로드양식!H36,"")),"")</f>
        <v/>
      </c>
      <c r="AI41" s="11"/>
      <c r="AJ41" s="11"/>
      <c r="AL41" s="1128" t="str">
        <f>IF(보수일람표!O41="","",보수일람표!O41)</f>
        <v/>
      </c>
      <c r="AM41" s="1129" t="str">
        <f>IF(보수일람표!P41="","",보수일람표!P41)</f>
        <v/>
      </c>
      <c r="AN41" s="1130">
        <f>IF(보수일람표!S41="","",보수일람표!S41)</f>
        <v>0</v>
      </c>
      <c r="AO41" s="1131">
        <f>IF(보수일람표!R41="","",보수일람표!R41)</f>
        <v>0</v>
      </c>
      <c r="AP41" s="1118">
        <f>IF(보수일람표!S41="","",보수일람표!S41)</f>
        <v>0</v>
      </c>
      <c r="AQ41" s="1132">
        <f>IF(보수일람표!T41="","",보수일람표!T41)</f>
        <v>0</v>
      </c>
      <c r="AR41" s="1120">
        <f>IF(보수일람표!U41="","",보수일람표!U41)</f>
        <v>0</v>
      </c>
      <c r="AS41" s="1121">
        <f>IF(보수일람표!V41="","",보수일람표!V41)</f>
        <v>0</v>
      </c>
      <c r="AT41" s="1122">
        <f>IF(보수일람표!W41="","",보수일람표!W41)</f>
        <v>0</v>
      </c>
      <c r="AU41" s="1123">
        <f>IF(보수일람표!X41="","",보수일람표!X41)</f>
        <v>0</v>
      </c>
      <c r="AV41" s="1124">
        <f>IF(보수일람표!Y41="","",보수일람표!Y41)</f>
        <v>0</v>
      </c>
      <c r="AW41" s="1133">
        <f>IF(보수일람표!Z41="","",보수일람표!Z41)</f>
        <v>0</v>
      </c>
      <c r="AX41" s="1134">
        <f>IF(보수일람표!AA41="","",보수일람표!AA41)</f>
        <v>0</v>
      </c>
    </row>
    <row r="42" spans="1:50">
      <c r="A42" s="819" t="str">
        <f>IF(데이터입력!Y52=0,"X",데이터입력!X52)</f>
        <v>직원상여금</v>
      </c>
      <c r="B42" s="839">
        <f>데이터입력!Y52</f>
        <v>50000</v>
      </c>
      <c r="C42" s="840">
        <f>IF(데이터입력!Z52="","X",데이터입력!Z52)</f>
        <v>8</v>
      </c>
      <c r="D42" s="1064">
        <f>IF(A42="X",데이터입력!$Y$8,데이터입력!AA52)</f>
        <v>1</v>
      </c>
      <c r="E42" s="819" t="str">
        <f>IF(데이터입력!AC52=0,"X",데이터입력!AB52)</f>
        <v>X</v>
      </c>
      <c r="F42" s="820">
        <f>데이터입력!AC52</f>
        <v>0</v>
      </c>
      <c r="G42" s="819" t="str">
        <f>IF(데이터입력!AD52="","X",데이터입력!AD52)</f>
        <v>욕실용품 등</v>
      </c>
      <c r="H42" s="820">
        <f>데이터입력!AE52</f>
        <v>50000</v>
      </c>
      <c r="I42" s="1064">
        <f>IF(G42="X",데이터입력!$Y$8,데이터입력!AF52)</f>
        <v>12</v>
      </c>
      <c r="K42" s="42"/>
      <c r="L42" s="12"/>
      <c r="M42" s="12"/>
      <c r="N42" s="12"/>
      <c r="O42" s="12" t="str">
        <f>IFERROR(IF(예산업로드양식!E37="","",IF(예산업로드양식!F37="06",예산업로드양식!E37,"")),"")</f>
        <v/>
      </c>
      <c r="P42" s="13" t="str">
        <f>IFERROR(IF(예산업로드양식!H37="","",IF(예산업로드양식!F37="06",예산업로드양식!H37,"")),"")</f>
        <v/>
      </c>
      <c r="Q42" s="7" t="str">
        <f t="shared" si="0"/>
        <v/>
      </c>
      <c r="R42" s="13"/>
      <c r="S42" s="218"/>
      <c r="T42" s="42"/>
      <c r="U42" s="12"/>
      <c r="V42" s="12"/>
      <c r="W42" s="12"/>
      <c r="X42" s="12" t="str">
        <f>IFERROR(IF(예산업로드양식!E37="","",IF(예산업로드양식!F37="07",예산업로드양식!E37,"")),"")</f>
        <v/>
      </c>
      <c r="Y42" s="13" t="str">
        <f>IFERROR(IF(예산업로드양식!H37="","",IF(예산업로드양식!F37="07",예산업로드양식!H37,"")),"")</f>
        <v/>
      </c>
      <c r="Z42" s="13"/>
      <c r="AA42" s="13"/>
      <c r="AB42" s="218"/>
      <c r="AC42" s="42"/>
      <c r="AD42" s="12"/>
      <c r="AE42" s="12"/>
      <c r="AF42" s="12"/>
      <c r="AG42" s="12" t="str">
        <f>IFERROR(IF(예산업로드양식!E37="","",IF(예산업로드양식!F37="05",예산업로드양식!E37,"")),"")</f>
        <v/>
      </c>
      <c r="AH42" s="13" t="str">
        <f>IFERROR(IF(예산업로드양식!H37="","",IF(예산업로드양식!F37="05",예산업로드양식!H37,"")),"")</f>
        <v/>
      </c>
      <c r="AI42" s="13"/>
      <c r="AJ42" s="13"/>
      <c r="AL42" s="1128" t="str">
        <f>IF(보수일람표!O42="","",보수일람표!O42)</f>
        <v/>
      </c>
      <c r="AM42" s="1129" t="str">
        <f>IF(보수일람표!P42="","",보수일람표!P42)</f>
        <v/>
      </c>
      <c r="AN42" s="1130">
        <f>IF(보수일람표!S42="","",보수일람표!S42)</f>
        <v>0</v>
      </c>
      <c r="AO42" s="1131">
        <f>IF(보수일람표!R42="","",보수일람표!R42)</f>
        <v>0</v>
      </c>
      <c r="AP42" s="1118">
        <f>IF(보수일람표!S42="","",보수일람표!S42)</f>
        <v>0</v>
      </c>
      <c r="AQ42" s="1132">
        <f>IF(보수일람표!T42="","",보수일람표!T42)</f>
        <v>0</v>
      </c>
      <c r="AR42" s="1120">
        <f>IF(보수일람표!U42="","",보수일람표!U42)</f>
        <v>0</v>
      </c>
      <c r="AS42" s="1121">
        <f>IF(보수일람표!V42="","",보수일람표!V42)</f>
        <v>0</v>
      </c>
      <c r="AT42" s="1122">
        <f>IF(보수일람표!W42="","",보수일람표!W42)</f>
        <v>0</v>
      </c>
      <c r="AU42" s="1123">
        <f>IF(보수일람표!X42="","",보수일람표!X42)</f>
        <v>0</v>
      </c>
      <c r="AV42" s="1124">
        <f>IF(보수일람표!Y42="","",보수일람표!Y42)</f>
        <v>0</v>
      </c>
      <c r="AW42" s="1133">
        <f>IF(보수일람표!Z42="","",보수일람표!Z42)</f>
        <v>0</v>
      </c>
      <c r="AX42" s="1134">
        <f>IF(보수일람표!AA42="","",보수일람표!AA42)</f>
        <v>0</v>
      </c>
    </row>
    <row r="43" spans="1:50">
      <c r="A43" s="819" t="str">
        <f>IF(데이터입력!Y53=0,"X",데이터입력!X53)</f>
        <v>명절상여금</v>
      </c>
      <c r="B43" s="839">
        <f>데이터입력!Y53</f>
        <v>30000</v>
      </c>
      <c r="C43" s="840">
        <f>IF(데이터입력!Z53="","X",데이터입력!Z53)</f>
        <v>8</v>
      </c>
      <c r="D43" s="1064">
        <f>IF(A43="X",데이터입력!$Y$8,데이터입력!AA53)</f>
        <v>2</v>
      </c>
      <c r="E43" s="819" t="str">
        <f>IF(데이터입력!AB53="","X",데이터입력!AB53)</f>
        <v>X</v>
      </c>
      <c r="F43" s="820">
        <f>데이터입력!AC53</f>
        <v>0</v>
      </c>
      <c r="G43" s="819" t="str">
        <f>IF(데이터입력!AD53="","X",데이터입력!AD53)</f>
        <v>기타(이불,피복비 등)</v>
      </c>
      <c r="H43" s="820">
        <f>데이터입력!AE53</f>
        <v>50000</v>
      </c>
      <c r="I43" s="1064">
        <f>IF(G43="X",데이터입력!$Y$8,데이터입력!AF53)</f>
        <v>12</v>
      </c>
      <c r="K43" s="41"/>
      <c r="L43" s="10"/>
      <c r="M43" s="10"/>
      <c r="N43" s="10"/>
      <c r="O43" s="10" t="str">
        <f>IFERROR(IF(예산업로드양식!E38="","",IF(예산업로드양식!F38="06",예산업로드양식!E38,"")),"")</f>
        <v/>
      </c>
      <c r="P43" s="11" t="str">
        <f>IFERROR(IF(예산업로드양식!H38="","",IF(예산업로드양식!F38="06",예산업로드양식!H38,"")),"")</f>
        <v/>
      </c>
      <c r="Q43" s="11" t="str">
        <f t="shared" si="0"/>
        <v/>
      </c>
      <c r="R43" s="11"/>
      <c r="S43" s="218"/>
      <c r="T43" s="41"/>
      <c r="U43" s="10"/>
      <c r="V43" s="10"/>
      <c r="W43" s="10"/>
      <c r="X43" s="10" t="str">
        <f>IFERROR(IF(예산업로드양식!E38="","",IF(예산업로드양식!F38="07",예산업로드양식!E38,"")),"")</f>
        <v/>
      </c>
      <c r="Y43" s="11" t="str">
        <f>IFERROR(IF(예산업로드양식!H38="","",IF(예산업로드양식!F38="07",예산업로드양식!H38,"")),"")</f>
        <v/>
      </c>
      <c r="Z43" s="11"/>
      <c r="AA43" s="11"/>
      <c r="AB43" s="218"/>
      <c r="AC43" s="41"/>
      <c r="AD43" s="10"/>
      <c r="AE43" s="10"/>
      <c r="AF43" s="10"/>
      <c r="AG43" s="10" t="str">
        <f>IFERROR(IF(예산업로드양식!E38="","",IF(예산업로드양식!F38="05",예산업로드양식!E38,"")),"")</f>
        <v/>
      </c>
      <c r="AH43" s="11" t="str">
        <f>IFERROR(IF(예산업로드양식!H38="","",IF(예산업로드양식!F38="05",예산업로드양식!H38,"")),"")</f>
        <v/>
      </c>
      <c r="AI43" s="11"/>
      <c r="AJ43" s="11"/>
      <c r="AL43" s="1128" t="str">
        <f>IF(보수일람표!O43="","",보수일람표!O43)</f>
        <v/>
      </c>
      <c r="AM43" s="1129" t="str">
        <f>IF(보수일람표!P43="","",보수일람표!P43)</f>
        <v/>
      </c>
      <c r="AN43" s="1130">
        <f>IF(보수일람표!S43="","",보수일람표!S43)</f>
        <v>0</v>
      </c>
      <c r="AO43" s="1131">
        <f>IF(보수일람표!R43="","",보수일람표!R43)</f>
        <v>0</v>
      </c>
      <c r="AP43" s="1118">
        <f>IF(보수일람표!S43="","",보수일람표!S43)</f>
        <v>0</v>
      </c>
      <c r="AQ43" s="1132">
        <f>IF(보수일람표!T43="","",보수일람표!T43)</f>
        <v>0</v>
      </c>
      <c r="AR43" s="1120">
        <f>IF(보수일람표!U43="","",보수일람표!U43)</f>
        <v>0</v>
      </c>
      <c r="AS43" s="1121">
        <f>IF(보수일람표!V43="","",보수일람표!V43)</f>
        <v>0</v>
      </c>
      <c r="AT43" s="1122">
        <f>IF(보수일람표!W43="","",보수일람표!W43)</f>
        <v>0</v>
      </c>
      <c r="AU43" s="1123">
        <f>IF(보수일람표!X43="","",보수일람표!X43)</f>
        <v>0</v>
      </c>
      <c r="AV43" s="1124">
        <f>IF(보수일람표!Y43="","",보수일람표!Y43)</f>
        <v>0</v>
      </c>
      <c r="AW43" s="1133">
        <f>IF(보수일람표!Z43="","",보수일람표!Z43)</f>
        <v>0</v>
      </c>
      <c r="AX43" s="1134">
        <f>IF(보수일람표!AA43="","",보수일람표!AA43)</f>
        <v>0</v>
      </c>
    </row>
    <row r="44" spans="1:50">
      <c r="A44" s="819" t="str">
        <f>IF(데이터입력!Y54=0,"X",데이터입력!X54)</f>
        <v>직원교육비</v>
      </c>
      <c r="B44" s="839">
        <f>데이터입력!Y54</f>
        <v>50000</v>
      </c>
      <c r="C44" s="840" t="str">
        <f>IF(데이터입력!Z54="","X",데이터입력!Z54)</f>
        <v>X</v>
      </c>
      <c r="D44" s="1064">
        <f>IF(A44="X",데이터입력!$Y$8,데이터입력!AA54)</f>
        <v>12</v>
      </c>
      <c r="E44" s="819" t="str">
        <f>IF(데이터입력!AB54="","X",데이터입력!AB54)</f>
        <v>X</v>
      </c>
      <c r="F44" s="820">
        <f>데이터입력!AC54</f>
        <v>0</v>
      </c>
      <c r="G44" s="819" t="str">
        <f>IF(데이터입력!AD54="","X",데이터입력!AD54)</f>
        <v>X</v>
      </c>
      <c r="H44" s="820">
        <f>데이터입력!AE54</f>
        <v>0</v>
      </c>
      <c r="I44" s="1064">
        <f>IF(G44="X",데이터입력!$Y$8,데이터입력!AF54)</f>
        <v>12</v>
      </c>
      <c r="K44" s="42"/>
      <c r="L44" s="12"/>
      <c r="M44" s="12"/>
      <c r="N44" s="12"/>
      <c r="O44" s="12" t="str">
        <f>IFERROR(IF(예산업로드양식!E39="","",IF(예산업로드양식!F39="06",예산업로드양식!E39,"")),"")</f>
        <v/>
      </c>
      <c r="P44" s="13" t="str">
        <f>IFERROR(IF(예산업로드양식!H39="","",IF(예산업로드양식!F39="06",예산업로드양식!H39,"")),"")</f>
        <v/>
      </c>
      <c r="Q44" s="7" t="str">
        <f t="shared" si="0"/>
        <v/>
      </c>
      <c r="R44" s="13"/>
      <c r="S44" s="218"/>
      <c r="T44" s="42"/>
      <c r="U44" s="12"/>
      <c r="V44" s="12"/>
      <c r="W44" s="12"/>
      <c r="X44" s="12" t="str">
        <f>IFERROR(IF(예산업로드양식!E39="","",IF(예산업로드양식!F39="07",예산업로드양식!E39,"")),"")</f>
        <v/>
      </c>
      <c r="Y44" s="13" t="str">
        <f>IFERROR(IF(예산업로드양식!H39="","",IF(예산업로드양식!F39="07",예산업로드양식!H39,"")),"")</f>
        <v/>
      </c>
      <c r="Z44" s="13"/>
      <c r="AA44" s="13"/>
      <c r="AB44" s="218"/>
      <c r="AC44" s="42"/>
      <c r="AD44" s="12"/>
      <c r="AE44" s="12"/>
      <c r="AF44" s="12"/>
      <c r="AG44" s="12" t="str">
        <f>IFERROR(IF(예산업로드양식!E39="","",IF(예산업로드양식!F39="05",예산업로드양식!E39,"")),"")</f>
        <v/>
      </c>
      <c r="AH44" s="13" t="str">
        <f>IFERROR(IF(예산업로드양식!H39="","",IF(예산업로드양식!F39="05",예산업로드양식!H39,"")),"")</f>
        <v/>
      </c>
      <c r="AI44" s="13"/>
      <c r="AJ44" s="13"/>
      <c r="AL44" s="1128" t="str">
        <f>IF(보수일람표!O44="","",보수일람표!O44)</f>
        <v/>
      </c>
      <c r="AM44" s="1129" t="str">
        <f>IF(보수일람표!P44="","",보수일람표!P44)</f>
        <v/>
      </c>
      <c r="AN44" s="1130">
        <f>IF(보수일람표!S44="","",보수일람표!S44)</f>
        <v>0</v>
      </c>
      <c r="AO44" s="1131">
        <f>IF(보수일람표!R44="","",보수일람표!R44)</f>
        <v>0</v>
      </c>
      <c r="AP44" s="1118">
        <f>IF(보수일람표!S44="","",보수일람표!S44)</f>
        <v>0</v>
      </c>
      <c r="AQ44" s="1132">
        <f>IF(보수일람표!T44="","",보수일람표!T44)</f>
        <v>0</v>
      </c>
      <c r="AR44" s="1120">
        <f>IF(보수일람표!U44="","",보수일람표!U44)</f>
        <v>0</v>
      </c>
      <c r="AS44" s="1121">
        <f>IF(보수일람표!V44="","",보수일람표!V44)</f>
        <v>0</v>
      </c>
      <c r="AT44" s="1122">
        <f>IF(보수일람표!W44="","",보수일람표!W44)</f>
        <v>0</v>
      </c>
      <c r="AU44" s="1123">
        <f>IF(보수일람표!X44="","",보수일람표!X44)</f>
        <v>0</v>
      </c>
      <c r="AV44" s="1124">
        <f>IF(보수일람표!Y44="","",보수일람표!Y44)</f>
        <v>0</v>
      </c>
      <c r="AW44" s="1133">
        <f>IF(보수일람표!Z44="","",보수일람표!Z44)</f>
        <v>0</v>
      </c>
      <c r="AX44" s="1134">
        <f>IF(보수일람표!AA44="","",보수일람표!AA44)</f>
        <v>0</v>
      </c>
    </row>
    <row r="45" spans="1:50">
      <c r="A45" s="819" t="str">
        <f>IF(데이터입력!Y55=0,"X",데이터입력!X55)</f>
        <v>경조사지원</v>
      </c>
      <c r="B45" s="839">
        <f>데이터입력!Y55</f>
        <v>100000</v>
      </c>
      <c r="C45" s="840" t="str">
        <f>IF(데이터입력!Z55="","X",데이터입력!Z55)</f>
        <v>X</v>
      </c>
      <c r="D45" s="1064">
        <f>IF(A45="X",데이터입력!$Y$8,데이터입력!AA55)</f>
        <v>3</v>
      </c>
      <c r="E45" s="819" t="str">
        <f>IF(데이터입력!AB55="","X",데이터입력!AB55)</f>
        <v>X</v>
      </c>
      <c r="F45" s="820">
        <f>데이터입력!AC55</f>
        <v>0</v>
      </c>
      <c r="G45" s="819" t="str">
        <f>IF(데이터입력!AD55="","X",데이터입력!AD55)</f>
        <v>X</v>
      </c>
      <c r="H45" s="820">
        <f>데이터입력!AE55</f>
        <v>0</v>
      </c>
      <c r="I45" s="1064">
        <f>IF(G45="X",데이터입력!$Y$8,데이터입력!AF55)</f>
        <v>12</v>
      </c>
      <c r="K45" s="41"/>
      <c r="L45" s="10"/>
      <c r="M45" s="10"/>
      <c r="N45" s="10"/>
      <c r="O45" s="10" t="str">
        <f>IFERROR(IF(예산업로드양식!E40="","",IF(예산업로드양식!F40="06",예산업로드양식!E40,"")),"")</f>
        <v/>
      </c>
      <c r="P45" s="11" t="str">
        <f>IFERROR(IF(예산업로드양식!H40="","",IF(예산업로드양식!F40="06",예산업로드양식!H40,"")),"")</f>
        <v/>
      </c>
      <c r="Q45" s="11" t="str">
        <f t="shared" si="0"/>
        <v/>
      </c>
      <c r="R45" s="11"/>
      <c r="S45" s="218"/>
      <c r="T45" s="41"/>
      <c r="U45" s="10"/>
      <c r="V45" s="10"/>
      <c r="W45" s="10"/>
      <c r="X45" s="10" t="str">
        <f>IFERROR(IF(예산업로드양식!E40="","",IF(예산업로드양식!F40="07",예산업로드양식!E40,"")),"")</f>
        <v/>
      </c>
      <c r="Y45" s="11" t="str">
        <f>IFERROR(IF(예산업로드양식!H40="","",IF(예산업로드양식!F40="07",예산업로드양식!H40,"")),"")</f>
        <v/>
      </c>
      <c r="Z45" s="11"/>
      <c r="AA45" s="11"/>
      <c r="AB45" s="218"/>
      <c r="AC45" s="41"/>
      <c r="AD45" s="10"/>
      <c r="AE45" s="10"/>
      <c r="AF45" s="10"/>
      <c r="AG45" s="10" t="str">
        <f>IFERROR(IF(예산업로드양식!E40="","",IF(예산업로드양식!F40="05",예산업로드양식!E40,"")),"")</f>
        <v/>
      </c>
      <c r="AH45" s="11" t="str">
        <f>IFERROR(IF(예산업로드양식!H40="","",IF(예산업로드양식!F40="05",예산업로드양식!H40,"")),"")</f>
        <v/>
      </c>
      <c r="AI45" s="11"/>
      <c r="AJ45" s="11"/>
      <c r="AL45" s="1128" t="str">
        <f>IF(보수일람표!O45="","",보수일람표!O45)</f>
        <v/>
      </c>
      <c r="AM45" s="1129" t="str">
        <f>IF(보수일람표!P45="","",보수일람표!P45)</f>
        <v/>
      </c>
      <c r="AN45" s="1130">
        <f>IF(보수일람표!S45="","",보수일람표!S45)</f>
        <v>0</v>
      </c>
      <c r="AO45" s="1131">
        <f>IF(보수일람표!R45="","",보수일람표!R45)</f>
        <v>0</v>
      </c>
      <c r="AP45" s="1118">
        <f>IF(보수일람표!S45="","",보수일람표!S45)</f>
        <v>0</v>
      </c>
      <c r="AQ45" s="1132">
        <f>IF(보수일람표!T45="","",보수일람표!T45)</f>
        <v>0</v>
      </c>
      <c r="AR45" s="1120">
        <f>IF(보수일람표!U45="","",보수일람표!U45)</f>
        <v>0</v>
      </c>
      <c r="AS45" s="1121">
        <f>IF(보수일람표!V45="","",보수일람표!V45)</f>
        <v>0</v>
      </c>
      <c r="AT45" s="1122">
        <f>IF(보수일람표!W45="","",보수일람표!W45)</f>
        <v>0</v>
      </c>
      <c r="AU45" s="1123">
        <f>IF(보수일람표!X45="","",보수일람표!X45)</f>
        <v>0</v>
      </c>
      <c r="AV45" s="1124">
        <f>IF(보수일람표!Y45="","",보수일람표!Y45)</f>
        <v>0</v>
      </c>
      <c r="AW45" s="1133">
        <f>IF(보수일람표!Z45="","",보수일람표!Z45)</f>
        <v>0</v>
      </c>
      <c r="AX45" s="1134">
        <f>IF(보수일람표!AA45="","",보수일람표!AA45)</f>
        <v>0</v>
      </c>
    </row>
    <row r="46" spans="1:50">
      <c r="A46" s="819" t="str">
        <f>IF(데이터입력!Y56=0,"X",데이터입력!X56)</f>
        <v>직원중식지원</v>
      </c>
      <c r="B46" s="839">
        <f>데이터입력!Y56</f>
        <v>125000</v>
      </c>
      <c r="C46" s="840" t="str">
        <f>IF(데이터입력!Z56="","X",데이터입력!Z56)</f>
        <v>X</v>
      </c>
      <c r="D46" s="1064">
        <f>IF(A46="X",데이터입력!$Y$8,데이터입력!AA56)</f>
        <v>12</v>
      </c>
      <c r="E46" s="819" t="str">
        <f>IF(데이터입력!AB56="","X",데이터입력!AB56)</f>
        <v>X</v>
      </c>
      <c r="F46" s="820">
        <f>데이터입력!AC56</f>
        <v>0</v>
      </c>
      <c r="G46" s="819" t="str">
        <f>IF(데이터입력!AD56="","X",데이터입력!AD56)</f>
        <v>X</v>
      </c>
      <c r="H46" s="820">
        <f>데이터입력!AE56</f>
        <v>0</v>
      </c>
      <c r="I46" s="1064">
        <f>IF(G46="X",데이터입력!$Y$8,데이터입력!AF56)</f>
        <v>12</v>
      </c>
      <c r="K46" s="42"/>
      <c r="L46" s="12"/>
      <c r="M46" s="12"/>
      <c r="N46" s="12"/>
      <c r="O46" s="12" t="str">
        <f>IFERROR(IF(예산업로드양식!E41="","",IF(예산업로드양식!F41="06",예산업로드양식!E41,"")),"")</f>
        <v/>
      </c>
      <c r="P46" s="13" t="str">
        <f>IFERROR(IF(예산업로드양식!H41="","",IF(예산업로드양식!F41="06",예산업로드양식!H41,"")),"")</f>
        <v/>
      </c>
      <c r="Q46" s="7" t="str">
        <f t="shared" si="0"/>
        <v/>
      </c>
      <c r="R46" s="13"/>
      <c r="S46" s="218"/>
      <c r="T46" s="42"/>
      <c r="U46" s="12"/>
      <c r="V46" s="12"/>
      <c r="W46" s="12"/>
      <c r="X46" s="12" t="str">
        <f>IFERROR(IF(예산업로드양식!E41="","",IF(예산업로드양식!F41="07",예산업로드양식!E41,"")),"")</f>
        <v/>
      </c>
      <c r="Y46" s="13" t="str">
        <f>IFERROR(IF(예산업로드양식!H41="","",IF(예산업로드양식!F41="07",예산업로드양식!H41,"")),"")</f>
        <v/>
      </c>
      <c r="Z46" s="13"/>
      <c r="AA46" s="13"/>
      <c r="AB46" s="218"/>
      <c r="AC46" s="42"/>
      <c r="AD46" s="12"/>
      <c r="AE46" s="12"/>
      <c r="AF46" s="12"/>
      <c r="AG46" s="12" t="str">
        <f>IFERROR(IF(예산업로드양식!E41="","",IF(예산업로드양식!F41="05",예산업로드양식!E41,"")),"")</f>
        <v/>
      </c>
      <c r="AH46" s="13" t="str">
        <f>IFERROR(IF(예산업로드양식!H41="","",IF(예산업로드양식!F41="05",예산업로드양식!H41,"")),"")</f>
        <v/>
      </c>
      <c r="AI46" s="13"/>
      <c r="AJ46" s="13"/>
      <c r="AL46" s="1128" t="str">
        <f>IF(보수일람표!O46="","",보수일람표!O46)</f>
        <v/>
      </c>
      <c r="AM46" s="1129" t="str">
        <f>IF(보수일람표!P46="","",보수일람표!P46)</f>
        <v/>
      </c>
      <c r="AN46" s="1130">
        <f>IF(보수일람표!S46="","",보수일람표!S46)</f>
        <v>0</v>
      </c>
      <c r="AO46" s="1131">
        <f>IF(보수일람표!R46="","",보수일람표!R46)</f>
        <v>0</v>
      </c>
      <c r="AP46" s="1118">
        <f>IF(보수일람표!S46="","",보수일람표!S46)</f>
        <v>0</v>
      </c>
      <c r="AQ46" s="1132">
        <f>IF(보수일람표!T46="","",보수일람표!T46)</f>
        <v>0</v>
      </c>
      <c r="AR46" s="1120">
        <f>IF(보수일람표!U46="","",보수일람표!U46)</f>
        <v>0</v>
      </c>
      <c r="AS46" s="1121">
        <f>IF(보수일람표!V46="","",보수일람표!V46)</f>
        <v>0</v>
      </c>
      <c r="AT46" s="1122">
        <f>IF(보수일람표!W46="","",보수일람표!W46)</f>
        <v>0</v>
      </c>
      <c r="AU46" s="1123">
        <f>IF(보수일람표!X46="","",보수일람표!X46)</f>
        <v>0</v>
      </c>
      <c r="AV46" s="1124">
        <f>IF(보수일람표!Y46="","",보수일람표!Y46)</f>
        <v>0</v>
      </c>
      <c r="AW46" s="1133">
        <f>IF(보수일람표!Z46="","",보수일람표!Z46)</f>
        <v>0</v>
      </c>
      <c r="AX46" s="1134">
        <f>IF(보수일람표!AA46="","",보수일람표!AA46)</f>
        <v>0</v>
      </c>
    </row>
    <row r="47" spans="1:50">
      <c r="A47" s="819" t="str">
        <f>IF(데이터입력!Y57=0,"X",데이터입력!X57)</f>
        <v>X</v>
      </c>
      <c r="B47" s="839">
        <f>데이터입력!Y57</f>
        <v>0</v>
      </c>
      <c r="C47" s="840" t="str">
        <f>IF(데이터입력!Z57="","X",데이터입력!Z57)</f>
        <v>X</v>
      </c>
      <c r="D47" s="1064">
        <f>IF(A47="X",데이터입력!$Y$8,데이터입력!AA57)</f>
        <v>12</v>
      </c>
      <c r="E47" s="819" t="str">
        <f>IF(데이터입력!AB57="","X",데이터입력!AB57)</f>
        <v>X</v>
      </c>
      <c r="F47" s="820">
        <f>데이터입력!AC57</f>
        <v>0</v>
      </c>
      <c r="G47" s="819" t="str">
        <f>IF(데이터입력!AD57="","X",데이터입력!AD57)</f>
        <v>X</v>
      </c>
      <c r="H47" s="820">
        <f>데이터입력!AE57</f>
        <v>0</v>
      </c>
      <c r="I47" s="1064">
        <f>IF(G47="X",데이터입력!$Y$8,데이터입력!AF57)</f>
        <v>12</v>
      </c>
      <c r="K47" s="41"/>
      <c r="L47" s="10"/>
      <c r="M47" s="10"/>
      <c r="N47" s="10"/>
      <c r="O47" s="10" t="str">
        <f>IFERROR(IF(예산업로드양식!E42="","",IF(예산업로드양식!F42="06",예산업로드양식!E42,"")),"")</f>
        <v/>
      </c>
      <c r="P47" s="11" t="str">
        <f>IFERROR(IF(예산업로드양식!H42="","",IF(예산업로드양식!F42="06",예산업로드양식!H42,"")),"")</f>
        <v/>
      </c>
      <c r="Q47" s="11" t="str">
        <f t="shared" si="0"/>
        <v/>
      </c>
      <c r="R47" s="11"/>
      <c r="S47" s="218"/>
      <c r="T47" s="41"/>
      <c r="U47" s="10"/>
      <c r="V47" s="10"/>
      <c r="W47" s="10"/>
      <c r="X47" s="10" t="str">
        <f>IFERROR(IF(예산업로드양식!E42="","",IF(예산업로드양식!F42="07",예산업로드양식!E42,"")),"")</f>
        <v/>
      </c>
      <c r="Y47" s="11" t="str">
        <f>IFERROR(IF(예산업로드양식!H42="","",IF(예산업로드양식!F42="07",예산업로드양식!H42,"")),"")</f>
        <v/>
      </c>
      <c r="Z47" s="11"/>
      <c r="AA47" s="11"/>
      <c r="AB47" s="218"/>
      <c r="AC47" s="41"/>
      <c r="AD47" s="10"/>
      <c r="AE47" s="10"/>
      <c r="AF47" s="10"/>
      <c r="AG47" s="10" t="str">
        <f>IFERROR(IF(예산업로드양식!E42="","",IF(예산업로드양식!F42="05",예산업로드양식!E42,"")),"")</f>
        <v/>
      </c>
      <c r="AH47" s="11" t="str">
        <f>IFERROR(IF(예산업로드양식!H42="","",IF(예산업로드양식!F42="05",예산업로드양식!H42,"")),"")</f>
        <v/>
      </c>
      <c r="AI47" s="11"/>
      <c r="AJ47" s="11"/>
      <c r="AL47" s="1128" t="str">
        <f>IF(보수일람표!O47="","",보수일람표!O47)</f>
        <v/>
      </c>
      <c r="AM47" s="1129" t="str">
        <f>IF(보수일람표!P47="","",보수일람표!P47)</f>
        <v/>
      </c>
      <c r="AN47" s="1130">
        <f>IF(보수일람표!S47="","",보수일람표!S47)</f>
        <v>0</v>
      </c>
      <c r="AO47" s="1131">
        <f>IF(보수일람표!R47="","",보수일람표!R47)</f>
        <v>0</v>
      </c>
      <c r="AP47" s="1118">
        <f>IF(보수일람표!S47="","",보수일람표!S47)</f>
        <v>0</v>
      </c>
      <c r="AQ47" s="1132">
        <f>IF(보수일람표!T47="","",보수일람표!T47)</f>
        <v>0</v>
      </c>
      <c r="AR47" s="1120">
        <f>IF(보수일람표!U47="","",보수일람표!U47)</f>
        <v>0</v>
      </c>
      <c r="AS47" s="1121">
        <f>IF(보수일람표!V47="","",보수일람표!V47)</f>
        <v>0</v>
      </c>
      <c r="AT47" s="1122">
        <f>IF(보수일람표!W47="","",보수일람표!W47)</f>
        <v>0</v>
      </c>
      <c r="AU47" s="1123">
        <f>IF(보수일람표!X47="","",보수일람표!X47)</f>
        <v>0</v>
      </c>
      <c r="AV47" s="1124">
        <f>IF(보수일람표!Y47="","",보수일람표!Y47)</f>
        <v>0</v>
      </c>
      <c r="AW47" s="1133">
        <f>IF(보수일람표!Z47="","",보수일람표!Z47)</f>
        <v>0</v>
      </c>
      <c r="AX47" s="1134">
        <f>IF(보수일람표!AA47="","",보수일람표!AA47)</f>
        <v>0</v>
      </c>
    </row>
    <row r="48" spans="1:50">
      <c r="A48" s="819" t="str">
        <f>IF(데이터입력!Y58=0,"X",데이터입력!X58)</f>
        <v>X</v>
      </c>
      <c r="B48" s="839">
        <f>데이터입력!Y58</f>
        <v>0</v>
      </c>
      <c r="C48" s="840" t="str">
        <f>IF(데이터입력!Z58="","X",데이터입력!Z58)</f>
        <v>X</v>
      </c>
      <c r="D48" s="1064">
        <f>IF(A48="X",데이터입력!$Y$8,데이터입력!AA58)</f>
        <v>12</v>
      </c>
      <c r="E48" s="819" t="str">
        <f>IF(데이터입력!AB58="","X",데이터입력!AB58)</f>
        <v>X</v>
      </c>
      <c r="F48" s="820">
        <f>데이터입력!AC58</f>
        <v>0</v>
      </c>
      <c r="G48" s="819" t="str">
        <f>IF(데이터입력!AD58="","X",데이터입력!AD58)</f>
        <v>X</v>
      </c>
      <c r="H48" s="820">
        <f>데이터입력!AE58</f>
        <v>0</v>
      </c>
      <c r="I48" s="1064">
        <f>IF(G48="X",데이터입력!$Y$8,데이터입력!AF58)</f>
        <v>12</v>
      </c>
      <c r="K48" s="42"/>
      <c r="L48" s="12"/>
      <c r="M48" s="12"/>
      <c r="N48" s="12"/>
      <c r="O48" s="12" t="str">
        <f>IFERROR(IF(예산업로드양식!E43="","",IF(예산업로드양식!F43="06",예산업로드양식!E43,"")),"")</f>
        <v/>
      </c>
      <c r="P48" s="13" t="str">
        <f>IFERROR(IF(예산업로드양식!H43="","",IF(예산업로드양식!F43="06",예산업로드양식!H43,"")),"")</f>
        <v/>
      </c>
      <c r="Q48" s="7" t="str">
        <f t="shared" si="0"/>
        <v/>
      </c>
      <c r="R48" s="13"/>
      <c r="S48" s="218"/>
      <c r="T48" s="42"/>
      <c r="U48" s="12"/>
      <c r="V48" s="12"/>
      <c r="W48" s="12"/>
      <c r="X48" s="12" t="str">
        <f>IFERROR(IF(예산업로드양식!E43="","",IF(예산업로드양식!F43="07",예산업로드양식!E43,"")),"")</f>
        <v/>
      </c>
      <c r="Y48" s="13" t="str">
        <f>IFERROR(IF(예산업로드양식!H43="","",IF(예산업로드양식!F43="07",예산업로드양식!H43,"")),"")</f>
        <v/>
      </c>
      <c r="Z48" s="13"/>
      <c r="AA48" s="13"/>
      <c r="AB48" s="218"/>
      <c r="AC48" s="42"/>
      <c r="AD48" s="12"/>
      <c r="AE48" s="12"/>
      <c r="AF48" s="12"/>
      <c r="AG48" s="12" t="str">
        <f>IFERROR(IF(예산업로드양식!E43="","",IF(예산업로드양식!F43="05",예산업로드양식!E43,"")),"")</f>
        <v/>
      </c>
      <c r="AH48" s="13" t="str">
        <f>IFERROR(IF(예산업로드양식!H43="","",IF(예산업로드양식!F43="05",예산업로드양식!H43,"")),"")</f>
        <v/>
      </c>
      <c r="AI48" s="13"/>
      <c r="AJ48" s="13"/>
      <c r="AL48" s="1128" t="str">
        <f>IF(보수일람표!O48="","",보수일람표!O48)</f>
        <v/>
      </c>
      <c r="AM48" s="1129" t="str">
        <f>IF(보수일람표!P48="","",보수일람표!P48)</f>
        <v/>
      </c>
      <c r="AN48" s="1130">
        <f>IF(보수일람표!S48="","",보수일람표!S48)</f>
        <v>0</v>
      </c>
      <c r="AO48" s="1131">
        <f>IF(보수일람표!R48="","",보수일람표!R48)</f>
        <v>0</v>
      </c>
      <c r="AP48" s="1118">
        <f>IF(보수일람표!S48="","",보수일람표!S48)</f>
        <v>0</v>
      </c>
      <c r="AQ48" s="1132">
        <f>IF(보수일람표!T48="","",보수일람표!T48)</f>
        <v>0</v>
      </c>
      <c r="AR48" s="1120">
        <f>IF(보수일람표!U48="","",보수일람표!U48)</f>
        <v>0</v>
      </c>
      <c r="AS48" s="1121">
        <f>IF(보수일람표!V48="","",보수일람표!V48)</f>
        <v>0</v>
      </c>
      <c r="AT48" s="1122">
        <f>IF(보수일람표!W48="","",보수일람표!W48)</f>
        <v>0</v>
      </c>
      <c r="AU48" s="1123">
        <f>IF(보수일람표!X48="","",보수일람표!X48)</f>
        <v>0</v>
      </c>
      <c r="AV48" s="1124">
        <f>IF(보수일람표!Y48="","",보수일람표!Y48)</f>
        <v>0</v>
      </c>
      <c r="AW48" s="1133">
        <f>IF(보수일람표!Z48="","",보수일람표!Z48)</f>
        <v>0</v>
      </c>
      <c r="AX48" s="1134">
        <f>IF(보수일람표!AA48="","",보수일람표!AA48)</f>
        <v>0</v>
      </c>
    </row>
    <row r="49" spans="1:50">
      <c r="A49" s="819" t="str">
        <f>IF(데이터입력!Y59=0,"X",데이터입력!X59)</f>
        <v>X</v>
      </c>
      <c r="B49" s="839">
        <f>데이터입력!Y59</f>
        <v>0</v>
      </c>
      <c r="C49" s="840" t="str">
        <f>IF(데이터입력!Z59="","X",데이터입력!Z59)</f>
        <v>X</v>
      </c>
      <c r="D49" s="1064">
        <f>IF(A49="X",데이터입력!$Y$8,데이터입력!AA59)</f>
        <v>12</v>
      </c>
      <c r="E49" s="819" t="str">
        <f>IF(데이터입력!AB59="","X",데이터입력!AB59)</f>
        <v>X</v>
      </c>
      <c r="F49" s="820">
        <f>데이터입력!AC59</f>
        <v>0</v>
      </c>
      <c r="G49" s="819" t="str">
        <f>IF(데이터입력!AD59="","X",데이터입력!AD59)</f>
        <v>X</v>
      </c>
      <c r="H49" s="820">
        <f>데이터입력!AE59</f>
        <v>0</v>
      </c>
      <c r="I49" s="1064">
        <f>IF(G49="X",데이터입력!$Y$8,데이터입력!AF59)</f>
        <v>12</v>
      </c>
      <c r="K49" s="41"/>
      <c r="L49" s="10"/>
      <c r="M49" s="10"/>
      <c r="N49" s="10"/>
      <c r="O49" s="10" t="str">
        <f>IFERROR(IF(예산업로드양식!E44="","",IF(예산업로드양식!F44="06",예산업로드양식!E44,"")),"")</f>
        <v/>
      </c>
      <c r="P49" s="11" t="str">
        <f>IFERROR(IF(예산업로드양식!H44="","",IF(예산업로드양식!F44="06",예산업로드양식!H44,"")),"")</f>
        <v/>
      </c>
      <c r="Q49" s="11" t="str">
        <f t="shared" si="0"/>
        <v/>
      </c>
      <c r="R49" s="11"/>
      <c r="S49" s="218"/>
      <c r="T49" s="41"/>
      <c r="U49" s="10"/>
      <c r="V49" s="10"/>
      <c r="W49" s="10"/>
      <c r="X49" s="10" t="str">
        <f>IFERROR(IF(예산업로드양식!E44="","",IF(예산업로드양식!F44="07",예산업로드양식!E44,"")),"")</f>
        <v/>
      </c>
      <c r="Y49" s="11" t="str">
        <f>IFERROR(IF(예산업로드양식!H44="","",IF(예산업로드양식!F44="07",예산업로드양식!H44,"")),"")</f>
        <v/>
      </c>
      <c r="Z49" s="11"/>
      <c r="AA49" s="11"/>
      <c r="AB49" s="218"/>
      <c r="AC49" s="41"/>
      <c r="AD49" s="10"/>
      <c r="AE49" s="10"/>
      <c r="AF49" s="10"/>
      <c r="AG49" s="10" t="str">
        <f>IFERROR(IF(예산업로드양식!E44="","",IF(예산업로드양식!F44="05",예산업로드양식!E44,"")),"")</f>
        <v/>
      </c>
      <c r="AH49" s="11" t="str">
        <f>IFERROR(IF(예산업로드양식!H44="","",IF(예산업로드양식!F44="05",예산업로드양식!H44,"")),"")</f>
        <v/>
      </c>
      <c r="AI49" s="11"/>
      <c r="AJ49" s="11"/>
      <c r="AL49" s="1128" t="str">
        <f>IF(보수일람표!O49="","",보수일람표!O49)</f>
        <v/>
      </c>
      <c r="AM49" s="1129" t="str">
        <f>IF(보수일람표!P49="","",보수일람표!P49)</f>
        <v/>
      </c>
      <c r="AN49" s="1130">
        <f>IF(보수일람표!S49="","",보수일람표!S49)</f>
        <v>0</v>
      </c>
      <c r="AO49" s="1131">
        <f>IF(보수일람표!R49="","",보수일람표!R49)</f>
        <v>0</v>
      </c>
      <c r="AP49" s="1118">
        <f>IF(보수일람표!S49="","",보수일람표!S49)</f>
        <v>0</v>
      </c>
      <c r="AQ49" s="1132">
        <f>IF(보수일람표!T49="","",보수일람표!T49)</f>
        <v>0</v>
      </c>
      <c r="AR49" s="1120">
        <f>IF(보수일람표!U49="","",보수일람표!U49)</f>
        <v>0</v>
      </c>
      <c r="AS49" s="1121">
        <f>IF(보수일람표!V49="","",보수일람표!V49)</f>
        <v>0</v>
      </c>
      <c r="AT49" s="1122">
        <f>IF(보수일람표!W49="","",보수일람표!W49)</f>
        <v>0</v>
      </c>
      <c r="AU49" s="1123">
        <f>IF(보수일람표!X49="","",보수일람표!X49)</f>
        <v>0</v>
      </c>
      <c r="AV49" s="1124">
        <f>IF(보수일람표!Y49="","",보수일람표!Y49)</f>
        <v>0</v>
      </c>
      <c r="AW49" s="1133">
        <f>IF(보수일람표!Z49="","",보수일람표!Z49)</f>
        <v>0</v>
      </c>
      <c r="AX49" s="1134">
        <f>IF(보수일람표!AA49="","",보수일람표!AA49)</f>
        <v>0</v>
      </c>
    </row>
    <row r="50" spans="1:50" ht="17.25" thickBot="1">
      <c r="A50" s="819" t="str">
        <f>IF(데이터입력!X60="","X",데이터입력!X60)</f>
        <v>X</v>
      </c>
      <c r="B50" s="839">
        <f>데이터입력!Y60</f>
        <v>0</v>
      </c>
      <c r="C50" s="840" t="str">
        <f>IF(데이터입력!Z60="","X",데이터입력!Z60)</f>
        <v>X</v>
      </c>
      <c r="D50" s="1064">
        <f>IF(A50="X",데이터입력!$Y$8,데이터입력!AA60)</f>
        <v>12</v>
      </c>
      <c r="E50" s="819" t="str">
        <f>IF(데이터입력!AB60="","X",데이터입력!AB60)</f>
        <v>X</v>
      </c>
      <c r="F50" s="820">
        <f>데이터입력!AC60</f>
        <v>0</v>
      </c>
      <c r="G50" s="819" t="str">
        <f>IF(데이터입력!AD60="","X",데이터입력!AD60)</f>
        <v>X</v>
      </c>
      <c r="H50" s="820">
        <f>데이터입력!AE60</f>
        <v>0</v>
      </c>
      <c r="I50" s="1064">
        <f>IF(G50="X",데이터입력!$Y$8,데이터입력!AF60)</f>
        <v>12</v>
      </c>
      <c r="K50" s="42"/>
      <c r="L50" s="12"/>
      <c r="M50" s="12"/>
      <c r="N50" s="12"/>
      <c r="O50" s="12" t="str">
        <f>IFERROR(IF(예산업로드양식!E45="","",IF(예산업로드양식!F45="06",예산업로드양식!E45,"")),"")</f>
        <v/>
      </c>
      <c r="P50" s="13" t="str">
        <f>IFERROR(IF(예산업로드양식!H45="","",IF(예산업로드양식!F45="06",예산업로드양식!H45,"")),"")</f>
        <v/>
      </c>
      <c r="Q50" s="7" t="str">
        <f t="shared" si="0"/>
        <v/>
      </c>
      <c r="R50" s="13"/>
      <c r="S50" s="218"/>
      <c r="T50" s="42"/>
      <c r="U50" s="12"/>
      <c r="V50" s="12"/>
      <c r="W50" s="12"/>
      <c r="X50" s="12" t="str">
        <f>IFERROR(IF(예산업로드양식!E45="","",IF(예산업로드양식!F45="07",예산업로드양식!E45,"")),"")</f>
        <v/>
      </c>
      <c r="Y50" s="13" t="str">
        <f>IFERROR(IF(예산업로드양식!H45="","",IF(예산업로드양식!F45="07",예산업로드양식!H45,"")),"")</f>
        <v/>
      </c>
      <c r="Z50" s="13"/>
      <c r="AA50" s="13"/>
      <c r="AB50" s="218"/>
      <c r="AC50" s="42"/>
      <c r="AD50" s="12"/>
      <c r="AE50" s="12"/>
      <c r="AF50" s="12"/>
      <c r="AG50" s="12" t="str">
        <f>IFERROR(IF(예산업로드양식!E45="","",IF(예산업로드양식!F45="05",예산업로드양식!E45,"")),"")</f>
        <v/>
      </c>
      <c r="AH50" s="13" t="str">
        <f>IFERROR(IF(예산업로드양식!H45="","",IF(예산업로드양식!F45="05",예산업로드양식!H45,"")),"")</f>
        <v/>
      </c>
      <c r="AI50" s="13"/>
      <c r="AJ50" s="13"/>
      <c r="AL50" s="1128" t="str">
        <f>IF(보수일람표!O50="","",보수일람표!O50)</f>
        <v/>
      </c>
      <c r="AM50" s="1129" t="str">
        <f>IF(보수일람표!P50="","",보수일람표!P50)</f>
        <v/>
      </c>
      <c r="AN50" s="1130">
        <f>IF(보수일람표!S50="","",보수일람표!S50)</f>
        <v>0</v>
      </c>
      <c r="AO50" s="1131">
        <f>IF(보수일람표!R50="","",보수일람표!R50)</f>
        <v>0</v>
      </c>
      <c r="AP50" s="1118">
        <f>IF(보수일람표!S50="","",보수일람표!S50)</f>
        <v>0</v>
      </c>
      <c r="AQ50" s="1132">
        <f>IF(보수일람표!T50="","",보수일람표!T50)</f>
        <v>0</v>
      </c>
      <c r="AR50" s="1120">
        <f>IF(보수일람표!U50="","",보수일람표!U50)</f>
        <v>0</v>
      </c>
      <c r="AS50" s="1121">
        <f>IF(보수일람표!V50="","",보수일람표!V50)</f>
        <v>0</v>
      </c>
      <c r="AT50" s="1122">
        <f>IF(보수일람표!W50="","",보수일람표!W50)</f>
        <v>0</v>
      </c>
      <c r="AU50" s="1123">
        <f>IF(보수일람표!X50="","",보수일람표!X50)</f>
        <v>0</v>
      </c>
      <c r="AV50" s="1124">
        <f>IF(보수일람표!Y50="","",보수일람표!Y50)</f>
        <v>0</v>
      </c>
      <c r="AW50" s="1133">
        <f>IF(보수일람표!Z50="","",보수일람표!Z50)</f>
        <v>0</v>
      </c>
      <c r="AX50" s="1134">
        <f>IF(보수일람표!AA50="","",보수일람표!AA50)</f>
        <v>0</v>
      </c>
    </row>
    <row r="51" spans="1:50" ht="17.25" thickBot="1">
      <c r="A51" s="827" t="s">
        <v>243</v>
      </c>
      <c r="B51" s="836"/>
      <c r="C51" s="831" t="s">
        <v>185</v>
      </c>
      <c r="D51" s="831" t="s">
        <v>215</v>
      </c>
      <c r="E51" s="824" t="s">
        <v>188</v>
      </c>
      <c r="F51" s="823"/>
      <c r="G51" s="824" t="s">
        <v>173</v>
      </c>
      <c r="H51" s="823"/>
      <c r="I51" s="831" t="s">
        <v>215</v>
      </c>
      <c r="K51" s="41"/>
      <c r="L51" s="10"/>
      <c r="M51" s="10"/>
      <c r="N51" s="10"/>
      <c r="O51" s="10" t="str">
        <f>IFERROR(IF(예산업로드양식!E46="","",IF(예산업로드양식!F46="06",예산업로드양식!E46,"")),"")</f>
        <v/>
      </c>
      <c r="P51" s="11" t="str">
        <f>IFERROR(IF(예산업로드양식!H46="","",IF(예산업로드양식!F46="06",예산업로드양식!H46,"")),"")</f>
        <v/>
      </c>
      <c r="Q51" s="11" t="str">
        <f t="shared" si="0"/>
        <v/>
      </c>
      <c r="R51" s="11"/>
      <c r="S51" s="218"/>
      <c r="T51" s="41"/>
      <c r="U51" s="10"/>
      <c r="V51" s="10"/>
      <c r="W51" s="10"/>
      <c r="X51" s="10" t="str">
        <f>IFERROR(IF(예산업로드양식!E46="","",IF(예산업로드양식!F46="07",예산업로드양식!E46,"")),"")</f>
        <v/>
      </c>
      <c r="Y51" s="11" t="str">
        <f>IFERROR(IF(예산업로드양식!H46="","",IF(예산업로드양식!F46="07",예산업로드양식!H46,"")),"")</f>
        <v/>
      </c>
      <c r="Z51" s="11"/>
      <c r="AA51" s="11"/>
      <c r="AB51" s="218"/>
      <c r="AC51" s="41"/>
      <c r="AD51" s="10"/>
      <c r="AE51" s="10"/>
      <c r="AF51" s="10"/>
      <c r="AG51" s="10" t="str">
        <f>IFERROR(IF(예산업로드양식!E46="","",IF(예산업로드양식!F46="05",예산업로드양식!E46,"")),"")</f>
        <v/>
      </c>
      <c r="AH51" s="11" t="str">
        <f>IFERROR(IF(예산업로드양식!H46="","",IF(예산업로드양식!F46="05",예산업로드양식!H46,"")),"")</f>
        <v/>
      </c>
      <c r="AI51" s="11"/>
      <c r="AJ51" s="11"/>
      <c r="AL51" s="1128" t="str">
        <f>IF(보수일람표!O51="","",보수일람표!O51)</f>
        <v/>
      </c>
      <c r="AM51" s="1129" t="str">
        <f>IF(보수일람표!P51="","",보수일람표!P51)</f>
        <v/>
      </c>
      <c r="AN51" s="1130">
        <f>IF(보수일람표!S51="","",보수일람표!S51)</f>
        <v>0</v>
      </c>
      <c r="AO51" s="1131">
        <f>IF(보수일람표!R51="","",보수일람표!R51)</f>
        <v>0</v>
      </c>
      <c r="AP51" s="1118">
        <f>IF(보수일람표!S51="","",보수일람표!S51)</f>
        <v>0</v>
      </c>
      <c r="AQ51" s="1132">
        <f>IF(보수일람표!T51="","",보수일람표!T51)</f>
        <v>0</v>
      </c>
      <c r="AR51" s="1120">
        <f>IF(보수일람표!U51="","",보수일람표!U51)</f>
        <v>0</v>
      </c>
      <c r="AS51" s="1121">
        <f>IF(보수일람표!V51="","",보수일람표!V51)</f>
        <v>0</v>
      </c>
      <c r="AT51" s="1122">
        <f>IF(보수일람표!W51="","",보수일람표!W51)</f>
        <v>0</v>
      </c>
      <c r="AU51" s="1123">
        <f>IF(보수일람표!X51="","",보수일람표!X51)</f>
        <v>0</v>
      </c>
      <c r="AV51" s="1124">
        <f>IF(보수일람표!Y51="","",보수일람표!Y51)</f>
        <v>0</v>
      </c>
      <c r="AW51" s="1133">
        <f>IF(보수일람표!Z51="","",보수일람표!Z51)</f>
        <v>0</v>
      </c>
      <c r="AX51" s="1134">
        <f>IF(보수일람표!AA51="","",보수일람표!AA51)</f>
        <v>0</v>
      </c>
    </row>
    <row r="52" spans="1:50">
      <c r="A52" s="1063" t="str">
        <f>IF(데이터입력!X62="","X",데이터입력!X62)</f>
        <v>재료비 등</v>
      </c>
      <c r="B52" s="834"/>
      <c r="C52" s="840" t="str">
        <f>IF(데이터입력!Z62="","X",데이터입력!Z62)</f>
        <v>X</v>
      </c>
      <c r="D52" s="1064">
        <f>IF(A52="X",데이터입력!$Y$8,데이터입력!AA62)</f>
        <v>12</v>
      </c>
      <c r="E52" s="1063" t="str">
        <f>IF(데이터입력!AB62="","X",데이터입력!AB62)</f>
        <v>진료비 등</v>
      </c>
      <c r="F52" s="834"/>
      <c r="G52" s="1063" t="str">
        <f>IF(데이터입력!AD62="","X",데이터입력!AD62)</f>
        <v>잡지출</v>
      </c>
      <c r="H52" s="834"/>
      <c r="I52" s="841"/>
      <c r="K52" s="42"/>
      <c r="L52" s="12"/>
      <c r="M52" s="12"/>
      <c r="N52" s="12"/>
      <c r="O52" s="12" t="str">
        <f>IFERROR(IF(예산업로드양식!E47="","",IF(예산업로드양식!F47="06",예산업로드양식!E47,"")),"")</f>
        <v/>
      </c>
      <c r="P52" s="13" t="str">
        <f>IFERROR(IF(예산업로드양식!H47="","",IF(예산업로드양식!F47="06",예산업로드양식!H47,"")),"")</f>
        <v/>
      </c>
      <c r="Q52" s="7" t="str">
        <f t="shared" si="0"/>
        <v/>
      </c>
      <c r="R52" s="13"/>
      <c r="S52" s="218"/>
      <c r="T52" s="42"/>
      <c r="U52" s="12"/>
      <c r="V52" s="12"/>
      <c r="W52" s="12"/>
      <c r="X52" s="12" t="str">
        <f>IFERROR(IF(예산업로드양식!E47="","",IF(예산업로드양식!F47="07",예산업로드양식!E47,"")),"")</f>
        <v/>
      </c>
      <c r="Y52" s="13" t="str">
        <f>IFERROR(IF(예산업로드양식!H47="","",IF(예산업로드양식!F47="07",예산업로드양식!H47,"")),"")</f>
        <v/>
      </c>
      <c r="Z52" s="13"/>
      <c r="AA52" s="13"/>
      <c r="AB52" s="218"/>
      <c r="AC52" s="42"/>
      <c r="AD52" s="12"/>
      <c r="AE52" s="12"/>
      <c r="AF52" s="12"/>
      <c r="AG52" s="12" t="str">
        <f>IFERROR(IF(예산업로드양식!E47="","",IF(예산업로드양식!F47="05",예산업로드양식!E47,"")),"")</f>
        <v/>
      </c>
      <c r="AH52" s="13" t="str">
        <f>IFERROR(IF(예산업로드양식!H47="","",IF(예산업로드양식!F47="05",예산업로드양식!H47,"")),"")</f>
        <v/>
      </c>
      <c r="AI52" s="13"/>
      <c r="AJ52" s="13"/>
      <c r="AL52" s="1128" t="str">
        <f>IF(보수일람표!O52="","",보수일람표!O52)</f>
        <v/>
      </c>
      <c r="AM52" s="1129" t="str">
        <f>IF(보수일람표!P52="","",보수일람표!P52)</f>
        <v/>
      </c>
      <c r="AN52" s="1130">
        <f>IF(보수일람표!S52="","",보수일람표!S52)</f>
        <v>0</v>
      </c>
      <c r="AO52" s="1131">
        <f>IF(보수일람표!R52="","",보수일람표!R52)</f>
        <v>0</v>
      </c>
      <c r="AP52" s="1118">
        <f>IF(보수일람표!S52="","",보수일람표!S52)</f>
        <v>0</v>
      </c>
      <c r="AQ52" s="1132">
        <f>IF(보수일람표!T52="","",보수일람표!T52)</f>
        <v>0</v>
      </c>
      <c r="AR52" s="1120">
        <f>IF(보수일람표!U52="","",보수일람표!U52)</f>
        <v>0</v>
      </c>
      <c r="AS52" s="1121">
        <f>IF(보수일람표!V52="","",보수일람표!V52)</f>
        <v>0</v>
      </c>
      <c r="AT52" s="1122">
        <f>IF(보수일람표!W52="","",보수일람표!W52)</f>
        <v>0</v>
      </c>
      <c r="AU52" s="1123">
        <f>IF(보수일람표!X52="","",보수일람표!X52)</f>
        <v>0</v>
      </c>
      <c r="AV52" s="1124">
        <f>IF(보수일람표!Y52="","",보수일람표!Y52)</f>
        <v>0</v>
      </c>
      <c r="AW52" s="1133">
        <f>IF(보수일람표!Z52="","",보수일람표!Z52)</f>
        <v>0</v>
      </c>
      <c r="AX52" s="1134">
        <f>IF(보수일람표!AA52="","",보수일람표!AA52)</f>
        <v>0</v>
      </c>
    </row>
    <row r="53" spans="1:50">
      <c r="A53" s="819" t="str">
        <f>IF(데이터입력!Y63=0,"X",데이터입력!X63)</f>
        <v>인지기능 등</v>
      </c>
      <c r="B53" s="839">
        <f>데이터입력!Y63</f>
        <v>250000</v>
      </c>
      <c r="C53" s="840" t="str">
        <f>IF(데이터입력!Z63="","X",데이터입력!Z63)</f>
        <v>X</v>
      </c>
      <c r="D53" s="1064">
        <f>IF(A53="X",데이터입력!$Y$8,데이터입력!AA63)</f>
        <v>12</v>
      </c>
      <c r="E53" s="819" t="str">
        <f>IF(데이터입력!AC63=0,"X",데이터입력!AB63)</f>
        <v>상비약구입 등</v>
      </c>
      <c r="F53" s="820">
        <f>데이터입력!AC63</f>
        <v>45000</v>
      </c>
      <c r="G53" s="819" t="str">
        <f>IF(데이터입력!AD63="","X",데이터입력!AD63)</f>
        <v>각종근로지원금</v>
      </c>
      <c r="H53" s="820">
        <f>데이터입력!AE63</f>
        <v>150000</v>
      </c>
      <c r="I53" s="1064">
        <f>IF(F53="X",데이터입력!$Y$8,데이터입력!AF63)</f>
        <v>12</v>
      </c>
      <c r="K53" s="41"/>
      <c r="L53" s="10"/>
      <c r="M53" s="10"/>
      <c r="N53" s="10"/>
      <c r="O53" s="10" t="str">
        <f>IFERROR(IF(예산업로드양식!E48="","",IF(예산업로드양식!F48="06",예산업로드양식!E48,"")),"")</f>
        <v/>
      </c>
      <c r="P53" s="11" t="str">
        <f>IFERROR(IF(예산업로드양식!H48="","",IF(예산업로드양식!F48="06",예산업로드양식!H48,"")),"")</f>
        <v/>
      </c>
      <c r="Q53" s="11" t="str">
        <f t="shared" si="0"/>
        <v/>
      </c>
      <c r="R53" s="11"/>
      <c r="S53" s="218"/>
      <c r="T53" s="41"/>
      <c r="U53" s="10"/>
      <c r="V53" s="10"/>
      <c r="W53" s="10"/>
      <c r="X53" s="10" t="str">
        <f>IFERROR(IF(예산업로드양식!E48="","",IF(예산업로드양식!F48="07",예산업로드양식!E48,"")),"")</f>
        <v/>
      </c>
      <c r="Y53" s="11" t="str">
        <f>IFERROR(IF(예산업로드양식!H48="","",IF(예산업로드양식!F48="07",예산업로드양식!H48,"")),"")</f>
        <v/>
      </c>
      <c r="Z53" s="11"/>
      <c r="AA53" s="11"/>
      <c r="AB53" s="218"/>
      <c r="AC53" s="41"/>
      <c r="AD53" s="10"/>
      <c r="AE53" s="10"/>
      <c r="AF53" s="10"/>
      <c r="AG53" s="10" t="str">
        <f>IFERROR(IF(예산업로드양식!E48="","",IF(예산업로드양식!F48="05",예산업로드양식!E48,"")),"")</f>
        <v/>
      </c>
      <c r="AH53" s="11" t="str">
        <f>IFERROR(IF(예산업로드양식!H48="","",IF(예산업로드양식!F48="05",예산업로드양식!H48,"")),"")</f>
        <v/>
      </c>
      <c r="AI53" s="11"/>
      <c r="AJ53" s="11"/>
      <c r="AL53" s="1128" t="str">
        <f>IF(보수일람표!O53="","",보수일람표!O53)</f>
        <v/>
      </c>
      <c r="AM53" s="1129" t="str">
        <f>IF(보수일람표!P53="","",보수일람표!P53)</f>
        <v/>
      </c>
      <c r="AN53" s="1130">
        <f>IF(보수일람표!S53="","",보수일람표!S53)</f>
        <v>0</v>
      </c>
      <c r="AO53" s="1131">
        <f>IF(보수일람표!R53="","",보수일람표!R53)</f>
        <v>0</v>
      </c>
      <c r="AP53" s="1118">
        <f>IF(보수일람표!S53="","",보수일람표!S53)</f>
        <v>0</v>
      </c>
      <c r="AQ53" s="1132">
        <f>IF(보수일람표!T53="","",보수일람표!T53)</f>
        <v>0</v>
      </c>
      <c r="AR53" s="1120">
        <f>IF(보수일람표!U53="","",보수일람표!U53)</f>
        <v>0</v>
      </c>
      <c r="AS53" s="1121">
        <f>IF(보수일람표!V53="","",보수일람표!V53)</f>
        <v>0</v>
      </c>
      <c r="AT53" s="1122">
        <f>IF(보수일람표!W53="","",보수일람표!W53)</f>
        <v>0</v>
      </c>
      <c r="AU53" s="1123">
        <f>IF(보수일람표!X53="","",보수일람표!X53)</f>
        <v>0</v>
      </c>
      <c r="AV53" s="1124">
        <f>IF(보수일람표!Y53="","",보수일람표!Y53)</f>
        <v>0</v>
      </c>
      <c r="AW53" s="1133">
        <f>IF(보수일람표!Z53="","",보수일람표!Z53)</f>
        <v>0</v>
      </c>
      <c r="AX53" s="1134">
        <f>IF(보수일람표!AA53="","",보수일람표!AA53)</f>
        <v>0</v>
      </c>
    </row>
    <row r="54" spans="1:50">
      <c r="A54" s="819" t="str">
        <f>IF(데이터입력!Y64=0,"X",데이터입력!X64)</f>
        <v>신체기능 등</v>
      </c>
      <c r="B54" s="839">
        <f>데이터입력!Y64</f>
        <v>250000</v>
      </c>
      <c r="C54" s="840" t="str">
        <f>IF(데이터입력!Z64="","X",데이터입력!Z64)</f>
        <v>X</v>
      </c>
      <c r="D54" s="1064">
        <f>IF(A54="X",데이터입력!$Y$8,데이터입력!AA64)</f>
        <v>12</v>
      </c>
      <c r="E54" s="819" t="str">
        <f>IF(데이터입력!AC64=0,"X",데이터입력!AB64)</f>
        <v>기타</v>
      </c>
      <c r="F54" s="820">
        <f>데이터입력!AC64</f>
        <v>23000</v>
      </c>
      <c r="G54" s="819" t="str">
        <f>IF(데이터입력!AD64="","X",데이터입력!AD64)</f>
        <v>의료비대납외</v>
      </c>
      <c r="H54" s="820">
        <f>데이터입력!AE64</f>
        <v>50000</v>
      </c>
      <c r="I54" s="1064">
        <f>IF(F54="X",데이터입력!$Y$8,데이터입력!AF64)</f>
        <v>12</v>
      </c>
      <c r="K54" s="42"/>
      <c r="L54" s="12"/>
      <c r="M54" s="12"/>
      <c r="N54" s="12"/>
      <c r="O54" s="12" t="str">
        <f>IFERROR(IF(예산업로드양식!E49="","",IF(예산업로드양식!F49="06",예산업로드양식!E49,"")),"")</f>
        <v/>
      </c>
      <c r="P54" s="13" t="str">
        <f>IFERROR(IF(예산업로드양식!H49="","",IF(예산업로드양식!F49="06",예산업로드양식!H49,"")),"")</f>
        <v/>
      </c>
      <c r="Q54" s="7" t="str">
        <f t="shared" si="0"/>
        <v/>
      </c>
      <c r="R54" s="13"/>
      <c r="S54" s="218"/>
      <c r="T54" s="42"/>
      <c r="U54" s="12"/>
      <c r="V54" s="12"/>
      <c r="W54" s="12"/>
      <c r="X54" s="12" t="str">
        <f>IFERROR(IF(예산업로드양식!E49="","",IF(예산업로드양식!F49="07",예산업로드양식!E49,"")),"")</f>
        <v/>
      </c>
      <c r="Y54" s="13" t="str">
        <f>IFERROR(IF(예산업로드양식!H49="","",IF(예산업로드양식!F49="07",예산업로드양식!H49,"")),"")</f>
        <v/>
      </c>
      <c r="Z54" s="13"/>
      <c r="AA54" s="13"/>
      <c r="AB54" s="218"/>
      <c r="AC54" s="42"/>
      <c r="AD54" s="12"/>
      <c r="AE54" s="12"/>
      <c r="AF54" s="12"/>
      <c r="AG54" s="12" t="str">
        <f>IFERROR(IF(예산업로드양식!E49="","",IF(예산업로드양식!F49="05",예산업로드양식!E49,"")),"")</f>
        <v/>
      </c>
      <c r="AH54" s="13" t="str">
        <f>IFERROR(IF(예산업로드양식!H49="","",IF(예산업로드양식!F49="05",예산업로드양식!H49,"")),"")</f>
        <v/>
      </c>
      <c r="AI54" s="13"/>
      <c r="AJ54" s="13"/>
      <c r="AL54" s="1128" t="str">
        <f>IF(보수일람표!O54="","",보수일람표!O54)</f>
        <v/>
      </c>
      <c r="AM54" s="1129" t="str">
        <f>IF(보수일람표!P54="","",보수일람표!P54)</f>
        <v/>
      </c>
      <c r="AN54" s="1130">
        <f>IF(보수일람표!S54="","",보수일람표!S54)</f>
        <v>0</v>
      </c>
      <c r="AO54" s="1131">
        <f>IF(보수일람표!R54="","",보수일람표!R54)</f>
        <v>0</v>
      </c>
      <c r="AP54" s="1118">
        <f>IF(보수일람표!S54="","",보수일람표!S54)</f>
        <v>0</v>
      </c>
      <c r="AQ54" s="1132">
        <f>IF(보수일람표!T54="","",보수일람표!T54)</f>
        <v>0</v>
      </c>
      <c r="AR54" s="1120">
        <f>IF(보수일람표!U54="","",보수일람표!U54)</f>
        <v>0</v>
      </c>
      <c r="AS54" s="1121">
        <f>IF(보수일람표!V54="","",보수일람표!V54)</f>
        <v>0</v>
      </c>
      <c r="AT54" s="1122">
        <f>IF(보수일람표!W54="","",보수일람표!W54)</f>
        <v>0</v>
      </c>
      <c r="AU54" s="1123">
        <f>IF(보수일람표!X54="","",보수일람표!X54)</f>
        <v>0</v>
      </c>
      <c r="AV54" s="1124">
        <f>IF(보수일람표!Y54="","",보수일람표!Y54)</f>
        <v>0</v>
      </c>
      <c r="AW54" s="1133">
        <f>IF(보수일람표!Z54="","",보수일람표!Z54)</f>
        <v>0</v>
      </c>
      <c r="AX54" s="1134">
        <f>IF(보수일람표!AA54="","",보수일람표!AA54)</f>
        <v>0</v>
      </c>
    </row>
    <row r="55" spans="1:50">
      <c r="A55" s="819" t="str">
        <f>IF(데이터입력!Y65=0,"X",데이터입력!X65)</f>
        <v>사회적응</v>
      </c>
      <c r="B55" s="839">
        <f>데이터입력!Y65</f>
        <v>30000</v>
      </c>
      <c r="C55" s="840" t="str">
        <f>IF(데이터입력!Z65="","X",데이터입력!Z65)</f>
        <v>X</v>
      </c>
      <c r="D55" s="1064">
        <f>IF(A55="X",데이터입력!$Y$8,데이터입력!AA65)</f>
        <v>2</v>
      </c>
      <c r="E55" s="819" t="str">
        <f>IF(데이터입력!AB65="","X",데이터입력!AB65)</f>
        <v>X</v>
      </c>
      <c r="F55" s="820">
        <f>데이터입력!AC65</f>
        <v>0</v>
      </c>
      <c r="G55" s="819" t="str">
        <f>IF(데이터입력!AD65="","X",데이터입력!AD65)</f>
        <v>과태료외</v>
      </c>
      <c r="H55" s="820">
        <f>데이터입력!AE65</f>
        <v>50000</v>
      </c>
      <c r="I55" s="1064">
        <f>IF(F55="X",데이터입력!$Y$8,데이터입력!AF65)</f>
        <v>6</v>
      </c>
      <c r="K55" s="41"/>
      <c r="L55" s="10"/>
      <c r="M55" s="10"/>
      <c r="N55" s="10"/>
      <c r="O55" s="10" t="str">
        <f>IFERROR(IF(예산업로드양식!E50="","",IF(예산업로드양식!F50="06",예산업로드양식!E50,"")),"")</f>
        <v/>
      </c>
      <c r="P55" s="11" t="str">
        <f>IFERROR(IF(예산업로드양식!H50="","",IF(예산업로드양식!F50="06",예산업로드양식!H50,"")),"")</f>
        <v/>
      </c>
      <c r="Q55" s="11" t="str">
        <f t="shared" si="0"/>
        <v/>
      </c>
      <c r="R55" s="11"/>
      <c r="S55" s="218"/>
      <c r="T55" s="41"/>
      <c r="U55" s="10"/>
      <c r="V55" s="10"/>
      <c r="W55" s="10"/>
      <c r="X55" s="10" t="str">
        <f>IFERROR(IF(예산업로드양식!E50="","",IF(예산업로드양식!F50="07",예산업로드양식!E50,"")),"")</f>
        <v/>
      </c>
      <c r="Y55" s="11" t="str">
        <f>IFERROR(IF(예산업로드양식!H50="","",IF(예산업로드양식!F50="07",예산업로드양식!H50,"")),"")</f>
        <v/>
      </c>
      <c r="Z55" s="11"/>
      <c r="AA55" s="11"/>
      <c r="AB55" s="218"/>
      <c r="AC55" s="41"/>
      <c r="AD55" s="10"/>
      <c r="AE55" s="10"/>
      <c r="AF55" s="10"/>
      <c r="AG55" s="10" t="str">
        <f>IFERROR(IF(예산업로드양식!E50="","",IF(예산업로드양식!F50="05",예산업로드양식!E50,"")),"")</f>
        <v/>
      </c>
      <c r="AH55" s="11" t="str">
        <f>IFERROR(IF(예산업로드양식!H50="","",IF(예산업로드양식!F50="05",예산업로드양식!H50,"")),"")</f>
        <v/>
      </c>
      <c r="AI55" s="11"/>
      <c r="AJ55" s="11"/>
      <c r="AL55" s="1128" t="str">
        <f>IF(보수일람표!O55="","",보수일람표!O55)</f>
        <v/>
      </c>
      <c r="AM55" s="1129" t="str">
        <f>IF(보수일람표!P55="","",보수일람표!P55)</f>
        <v/>
      </c>
      <c r="AN55" s="1130">
        <f>IF(보수일람표!S55="","",보수일람표!S55)</f>
        <v>0</v>
      </c>
      <c r="AO55" s="1131">
        <f>IF(보수일람표!R55="","",보수일람표!R55)</f>
        <v>0</v>
      </c>
      <c r="AP55" s="1118">
        <f>IF(보수일람표!S55="","",보수일람표!S55)</f>
        <v>0</v>
      </c>
      <c r="AQ55" s="1132">
        <f>IF(보수일람표!T55="","",보수일람표!T55)</f>
        <v>0</v>
      </c>
      <c r="AR55" s="1120">
        <f>IF(보수일람표!U55="","",보수일람표!U55)</f>
        <v>0</v>
      </c>
      <c r="AS55" s="1121">
        <f>IF(보수일람표!V55="","",보수일람표!V55)</f>
        <v>0</v>
      </c>
      <c r="AT55" s="1122">
        <f>IF(보수일람표!W55="","",보수일람표!W55)</f>
        <v>0</v>
      </c>
      <c r="AU55" s="1123">
        <f>IF(보수일람표!X55="","",보수일람표!X55)</f>
        <v>0</v>
      </c>
      <c r="AV55" s="1124">
        <f>IF(보수일람표!Y55="","",보수일람표!Y55)</f>
        <v>0</v>
      </c>
      <c r="AW55" s="1133">
        <f>IF(보수일람표!Z55="","",보수일람표!Z55)</f>
        <v>0</v>
      </c>
      <c r="AX55" s="1134">
        <f>IF(보수일람표!AA55="","",보수일람표!AA55)</f>
        <v>0</v>
      </c>
    </row>
    <row r="56" spans="1:50">
      <c r="A56" s="819" t="str">
        <f>IF(데이터입력!Y66=0,"X",데이터입력!X66)</f>
        <v>명절잔치(수급자)</v>
      </c>
      <c r="B56" s="839">
        <f>데이터입력!Y66</f>
        <v>50000</v>
      </c>
      <c r="C56" s="840" t="str">
        <f>IF(데이터입력!Z66="","X",데이터입력!Z66)</f>
        <v>X</v>
      </c>
      <c r="D56" s="1064">
        <f>IF(A56="X",데이터입력!$Y$8,데이터입력!AA66)</f>
        <v>2</v>
      </c>
      <c r="E56" s="819" t="str">
        <f>IF(데이터입력!AB66="","X",데이터입력!AB66)</f>
        <v>X</v>
      </c>
      <c r="F56" s="820">
        <f>데이터입력!AC66</f>
        <v>0</v>
      </c>
      <c r="G56" s="819" t="str">
        <f>IF(데이터입력!AD66="","X",데이터입력!AD66)</f>
        <v>X</v>
      </c>
      <c r="H56" s="820">
        <f>데이터입력!AE66</f>
        <v>0</v>
      </c>
      <c r="I56" s="1064">
        <f>IF(F56="X",데이터입력!$Y$8,데이터입력!AF66)</f>
        <v>12</v>
      </c>
      <c r="K56" s="42"/>
      <c r="L56" s="12"/>
      <c r="M56" s="12"/>
      <c r="N56" s="12"/>
      <c r="O56" s="12" t="str">
        <f>IFERROR(IF(예산업로드양식!E51="","",IF(예산업로드양식!F51="06",예산업로드양식!E51,"")),"")</f>
        <v/>
      </c>
      <c r="P56" s="13" t="str">
        <f>IFERROR(IF(예산업로드양식!H51="","",IF(예산업로드양식!F51="06",예산업로드양식!H51,"")),"")</f>
        <v/>
      </c>
      <c r="Q56" s="7" t="str">
        <f t="shared" si="0"/>
        <v/>
      </c>
      <c r="R56" s="13"/>
      <c r="S56" s="218"/>
      <c r="T56" s="42"/>
      <c r="U56" s="12"/>
      <c r="V56" s="12"/>
      <c r="W56" s="12"/>
      <c r="X56" s="12" t="str">
        <f>IFERROR(IF(예산업로드양식!E51="","",IF(예산업로드양식!F51="07",예산업로드양식!E51,"")),"")</f>
        <v/>
      </c>
      <c r="Y56" s="13" t="str">
        <f>IFERROR(IF(예산업로드양식!H51="","",IF(예산업로드양식!F51="07",예산업로드양식!H51,"")),"")</f>
        <v/>
      </c>
      <c r="Z56" s="13"/>
      <c r="AA56" s="13"/>
      <c r="AB56" s="218"/>
      <c r="AC56" s="42"/>
      <c r="AD56" s="12"/>
      <c r="AE56" s="12"/>
      <c r="AF56" s="12"/>
      <c r="AG56" s="12" t="str">
        <f>IFERROR(IF(예산업로드양식!E51="","",IF(예산업로드양식!F51="05",예산업로드양식!E51,"")),"")</f>
        <v/>
      </c>
      <c r="AH56" s="13" t="str">
        <f>IFERROR(IF(예산업로드양식!H51="","",IF(예산업로드양식!F51="05",예산업로드양식!H51,"")),"")</f>
        <v/>
      </c>
      <c r="AI56" s="13"/>
      <c r="AJ56" s="13"/>
      <c r="AL56" s="1128" t="str">
        <f>IF(보수일람표!O56="","",보수일람표!O56)</f>
        <v/>
      </c>
      <c r="AM56" s="1129" t="str">
        <f>IF(보수일람표!P56="","",보수일람표!P56)</f>
        <v/>
      </c>
      <c r="AN56" s="1130">
        <f>IF(보수일람표!S56="","",보수일람표!S56)</f>
        <v>0</v>
      </c>
      <c r="AO56" s="1131">
        <f>IF(보수일람표!R56="","",보수일람표!R56)</f>
        <v>0</v>
      </c>
      <c r="AP56" s="1118">
        <f>IF(보수일람표!S56="","",보수일람표!S56)</f>
        <v>0</v>
      </c>
      <c r="AQ56" s="1132">
        <f>IF(보수일람표!T56="","",보수일람표!T56)</f>
        <v>0</v>
      </c>
      <c r="AR56" s="1120">
        <f>IF(보수일람표!U56="","",보수일람표!U56)</f>
        <v>0</v>
      </c>
      <c r="AS56" s="1121">
        <f>IF(보수일람표!V56="","",보수일람표!V56)</f>
        <v>0</v>
      </c>
      <c r="AT56" s="1122">
        <f>IF(보수일람표!W56="","",보수일람표!W56)</f>
        <v>0</v>
      </c>
      <c r="AU56" s="1123">
        <f>IF(보수일람표!X56="","",보수일람표!X56)</f>
        <v>0</v>
      </c>
      <c r="AV56" s="1124">
        <f>IF(보수일람표!Y56="","",보수일람표!Y56)</f>
        <v>0</v>
      </c>
      <c r="AW56" s="1133">
        <f>IF(보수일람표!Z56="","",보수일람표!Z56)</f>
        <v>0</v>
      </c>
      <c r="AX56" s="1134">
        <f>IF(보수일람표!AA56="","",보수일람표!AA56)</f>
        <v>0</v>
      </c>
    </row>
    <row r="57" spans="1:50">
      <c r="A57" s="819" t="str">
        <f>IF(데이터입력!Y67=0,"X",데이터입력!X67)</f>
        <v>생일잔치(수급자)</v>
      </c>
      <c r="B57" s="839">
        <f>데이터입력!Y67</f>
        <v>70000</v>
      </c>
      <c r="C57" s="840" t="str">
        <f>IF(데이터입력!Z67="","X",데이터입력!Z67)</f>
        <v>X</v>
      </c>
      <c r="D57" s="1064">
        <f>IF(A57="X",데이터입력!$Y$8,데이터입력!AA67)</f>
        <v>12</v>
      </c>
      <c r="E57" s="819" t="str">
        <f>IF(데이터입력!AB67="","X",데이터입력!AB67)</f>
        <v>X</v>
      </c>
      <c r="F57" s="820">
        <f>데이터입력!AC67</f>
        <v>0</v>
      </c>
      <c r="G57" s="819" t="str">
        <f>IF(데이터입력!AD67="","X",데이터입력!AD67)</f>
        <v>X</v>
      </c>
      <c r="H57" s="820">
        <f>데이터입력!AE67</f>
        <v>0</v>
      </c>
      <c r="I57" s="1064">
        <f>IF(F57="X",데이터입력!$Y$8,데이터입력!AF67)</f>
        <v>12</v>
      </c>
      <c r="K57" s="41"/>
      <c r="L57" s="10"/>
      <c r="M57" s="10"/>
      <c r="N57" s="10"/>
      <c r="O57" s="10" t="str">
        <f>IFERROR(IF(예산업로드양식!E52="","",IF(예산업로드양식!F52="06",예산업로드양식!E52,"")),"")</f>
        <v/>
      </c>
      <c r="P57" s="11" t="str">
        <f>IFERROR(IF(예산업로드양식!H52="","",IF(예산업로드양식!F52="06",예산업로드양식!H52,"")),"")</f>
        <v/>
      </c>
      <c r="Q57" s="11" t="str">
        <f t="shared" si="0"/>
        <v/>
      </c>
      <c r="R57" s="11"/>
      <c r="S57" s="218"/>
      <c r="T57" s="41"/>
      <c r="U57" s="10"/>
      <c r="V57" s="10"/>
      <c r="W57" s="10"/>
      <c r="X57" s="10" t="str">
        <f>IFERROR(IF(예산업로드양식!E52="","",IF(예산업로드양식!F52="07",예산업로드양식!E52,"")),"")</f>
        <v/>
      </c>
      <c r="Y57" s="11" t="str">
        <f>IFERROR(IF(예산업로드양식!H52="","",IF(예산업로드양식!F52="07",예산업로드양식!H52,"")),"")</f>
        <v/>
      </c>
      <c r="Z57" s="11"/>
      <c r="AA57" s="11"/>
      <c r="AB57" s="218"/>
      <c r="AC57" s="41"/>
      <c r="AD57" s="10"/>
      <c r="AE57" s="10"/>
      <c r="AF57" s="10"/>
      <c r="AG57" s="10" t="str">
        <f>IFERROR(IF(예산업로드양식!E52="","",IF(예산업로드양식!F52="05",예산업로드양식!E52,"")),"")</f>
        <v/>
      </c>
      <c r="AH57" s="11" t="str">
        <f>IFERROR(IF(예산업로드양식!H52="","",IF(예산업로드양식!F52="05",예산업로드양식!H52,"")),"")</f>
        <v/>
      </c>
      <c r="AI57" s="11"/>
      <c r="AJ57" s="11"/>
      <c r="AL57" s="1128" t="str">
        <f>IF(보수일람표!O57="","",보수일람표!O57)</f>
        <v/>
      </c>
      <c r="AM57" s="1129" t="str">
        <f>IF(보수일람표!P57="","",보수일람표!P57)</f>
        <v/>
      </c>
      <c r="AN57" s="1130">
        <f>IF(보수일람표!S57="","",보수일람표!S57)</f>
        <v>0</v>
      </c>
      <c r="AO57" s="1131">
        <f>IF(보수일람표!R57="","",보수일람표!R57)</f>
        <v>0</v>
      </c>
      <c r="AP57" s="1118">
        <f>IF(보수일람표!S57="","",보수일람표!S57)</f>
        <v>0</v>
      </c>
      <c r="AQ57" s="1132">
        <f>IF(보수일람표!T57="","",보수일람표!T57)</f>
        <v>0</v>
      </c>
      <c r="AR57" s="1120">
        <f>IF(보수일람표!U57="","",보수일람표!U57)</f>
        <v>0</v>
      </c>
      <c r="AS57" s="1121">
        <f>IF(보수일람표!V57="","",보수일람표!V57)</f>
        <v>0</v>
      </c>
      <c r="AT57" s="1122">
        <f>IF(보수일람표!W57="","",보수일람표!W57)</f>
        <v>0</v>
      </c>
      <c r="AU57" s="1123">
        <f>IF(보수일람표!X57="","",보수일람표!X57)</f>
        <v>0</v>
      </c>
      <c r="AV57" s="1124">
        <f>IF(보수일람표!Y57="","",보수일람표!Y57)</f>
        <v>0</v>
      </c>
      <c r="AW57" s="1133">
        <f>IF(보수일람표!Z57="","",보수일람표!Z57)</f>
        <v>0</v>
      </c>
      <c r="AX57" s="1134">
        <f>IF(보수일람표!AA57="","",보수일람표!AA57)</f>
        <v>0</v>
      </c>
    </row>
    <row r="58" spans="1:50">
      <c r="A58" s="819" t="str">
        <f>IF(데이터입력!Y68=0,"X",데이터입력!X68)</f>
        <v>가족내방참여</v>
      </c>
      <c r="B58" s="839">
        <f>데이터입력!Y68</f>
        <v>100000</v>
      </c>
      <c r="C58" s="840" t="str">
        <f>IF(데이터입력!Z68="","X",데이터입력!Z68)</f>
        <v>X</v>
      </c>
      <c r="D58" s="1064">
        <f>IF(A58="X",데이터입력!$Y$8,데이터입력!AA68)</f>
        <v>2</v>
      </c>
      <c r="E58" s="819" t="str">
        <f>IF(데이터입력!AB68="","X",데이터입력!AB68)</f>
        <v>X</v>
      </c>
      <c r="F58" s="820">
        <f>데이터입력!AC68</f>
        <v>0</v>
      </c>
      <c r="G58" s="819" t="str">
        <f>IF(데이터입력!AD68="","X",데이터입력!AD68)</f>
        <v>X</v>
      </c>
      <c r="H58" s="820">
        <f>데이터입력!AE68</f>
        <v>0</v>
      </c>
      <c r="I58" s="1064">
        <f>IF(F58="X",데이터입력!$Y$8,데이터입력!AF68)</f>
        <v>12</v>
      </c>
      <c r="K58" s="42"/>
      <c r="L58" s="12"/>
      <c r="M58" s="12"/>
      <c r="N58" s="12"/>
      <c r="O58" s="12" t="str">
        <f>IFERROR(IF(예산업로드양식!E53="","",IF(예산업로드양식!F53="06",예산업로드양식!E53,"")),"")</f>
        <v/>
      </c>
      <c r="P58" s="13" t="str">
        <f>IFERROR(IF(예산업로드양식!H53="","",IF(예산업로드양식!F53="06",예산업로드양식!H53,"")),"")</f>
        <v/>
      </c>
      <c r="Q58" s="7" t="str">
        <f t="shared" si="0"/>
        <v/>
      </c>
      <c r="R58" s="13"/>
      <c r="S58" s="218"/>
      <c r="T58" s="42"/>
      <c r="U58" s="12"/>
      <c r="V58" s="12"/>
      <c r="W58" s="12"/>
      <c r="X58" s="12" t="str">
        <f>IFERROR(IF(예산업로드양식!E53="","",IF(예산업로드양식!F53="07",예산업로드양식!E53,"")),"")</f>
        <v/>
      </c>
      <c r="Y58" s="13" t="str">
        <f>IFERROR(IF(예산업로드양식!H53="","",IF(예산업로드양식!F53="07",예산업로드양식!H53,"")),"")</f>
        <v/>
      </c>
      <c r="Z58" s="13"/>
      <c r="AA58" s="13"/>
      <c r="AB58" s="218"/>
      <c r="AC58" s="42"/>
      <c r="AD58" s="12"/>
      <c r="AE58" s="12"/>
      <c r="AF58" s="12"/>
      <c r="AG58" s="12" t="str">
        <f>IFERROR(IF(예산업로드양식!E53="","",IF(예산업로드양식!F53="05",예산업로드양식!E53,"")),"")</f>
        <v/>
      </c>
      <c r="AH58" s="13" t="str">
        <f>IFERROR(IF(예산업로드양식!H53="","",IF(예산업로드양식!F53="05",예산업로드양식!H53,"")),"")</f>
        <v/>
      </c>
      <c r="AI58" s="13"/>
      <c r="AJ58" s="13"/>
      <c r="AL58" s="1128" t="str">
        <f>IF(보수일람표!O58="","",보수일람표!O58)</f>
        <v/>
      </c>
      <c r="AM58" s="1129" t="str">
        <f>IF(보수일람표!P58="","",보수일람표!P58)</f>
        <v/>
      </c>
      <c r="AN58" s="1130">
        <f>IF(보수일람표!S58="","",보수일람표!S58)</f>
        <v>0</v>
      </c>
      <c r="AO58" s="1131">
        <f>IF(보수일람표!R58="","",보수일람표!R58)</f>
        <v>0</v>
      </c>
      <c r="AP58" s="1118">
        <f>IF(보수일람표!S58="","",보수일람표!S58)</f>
        <v>0</v>
      </c>
      <c r="AQ58" s="1132">
        <f>IF(보수일람표!T58="","",보수일람표!T58)</f>
        <v>0</v>
      </c>
      <c r="AR58" s="1120">
        <f>IF(보수일람표!U58="","",보수일람표!U58)</f>
        <v>0</v>
      </c>
      <c r="AS58" s="1121">
        <f>IF(보수일람표!V58="","",보수일람표!V58)</f>
        <v>0</v>
      </c>
      <c r="AT58" s="1122">
        <f>IF(보수일람표!W58="","",보수일람표!W58)</f>
        <v>0</v>
      </c>
      <c r="AU58" s="1123">
        <f>IF(보수일람표!X58="","",보수일람표!X58)</f>
        <v>0</v>
      </c>
      <c r="AV58" s="1124">
        <f>IF(보수일람표!Y58="","",보수일람표!Y58)</f>
        <v>0</v>
      </c>
      <c r="AW58" s="1133">
        <f>IF(보수일람표!Z58="","",보수일람표!Z58)</f>
        <v>0</v>
      </c>
      <c r="AX58" s="1134">
        <f>IF(보수일람표!AA58="","",보수일람표!AA58)</f>
        <v>0</v>
      </c>
    </row>
    <row r="59" spans="1:50">
      <c r="A59" s="819" t="str">
        <f>IF(데이터입력!Y69=0,"X",데이터입력!X69)</f>
        <v>외부나들이</v>
      </c>
      <c r="B59" s="839">
        <f>데이터입력!Y69</f>
        <v>100000</v>
      </c>
      <c r="C59" s="840" t="str">
        <f>IF(데이터입력!Z69="","X",데이터입력!Z69)</f>
        <v>X</v>
      </c>
      <c r="D59" s="1064">
        <f>IF(A59="X",데이터입력!$Y$8,데이터입력!AA69)</f>
        <v>2</v>
      </c>
      <c r="E59" s="819" t="str">
        <f>IF(데이터입력!AB69="","X",데이터입력!AB69)</f>
        <v>X</v>
      </c>
      <c r="F59" s="820">
        <f>데이터입력!AC69</f>
        <v>0</v>
      </c>
      <c r="G59" s="819" t="str">
        <f>IF(데이터입력!AD69="","X",데이터입력!AD69)</f>
        <v>X</v>
      </c>
      <c r="H59" s="820">
        <f>데이터입력!AE69</f>
        <v>0</v>
      </c>
      <c r="I59" s="1064">
        <f>IF(F59="X",데이터입력!$Y$8,데이터입력!AF69)</f>
        <v>12</v>
      </c>
      <c r="K59" s="41"/>
      <c r="L59" s="10"/>
      <c r="M59" s="10"/>
      <c r="N59" s="10"/>
      <c r="O59" s="10" t="str">
        <f>IFERROR(IF(예산업로드양식!E54="","",IF(예산업로드양식!F54="06",예산업로드양식!E54,"")),"")</f>
        <v/>
      </c>
      <c r="P59" s="11" t="str">
        <f>IFERROR(IF(예산업로드양식!H54="","",IF(예산업로드양식!F54="06",예산업로드양식!H54,"")),"")</f>
        <v/>
      </c>
      <c r="Q59" s="11" t="str">
        <f t="shared" si="0"/>
        <v/>
      </c>
      <c r="R59" s="11"/>
      <c r="S59" s="218"/>
      <c r="T59" s="41"/>
      <c r="U59" s="10"/>
      <c r="V59" s="10"/>
      <c r="W59" s="10"/>
      <c r="X59" s="10" t="str">
        <f>IFERROR(IF(예산업로드양식!E54="","",IF(예산업로드양식!F54="07",예산업로드양식!E54,"")),"")</f>
        <v/>
      </c>
      <c r="Y59" s="11" t="str">
        <f>IFERROR(IF(예산업로드양식!H54="","",IF(예산업로드양식!F54="07",예산업로드양식!H54,"")),"")</f>
        <v/>
      </c>
      <c r="Z59" s="11"/>
      <c r="AA59" s="11"/>
      <c r="AB59" s="218"/>
      <c r="AC59" s="41"/>
      <c r="AD59" s="10"/>
      <c r="AE59" s="10"/>
      <c r="AF59" s="10"/>
      <c r="AG59" s="10" t="str">
        <f>IFERROR(IF(예산업로드양식!E54="","",IF(예산업로드양식!F54="05",예산업로드양식!E54,"")),"")</f>
        <v/>
      </c>
      <c r="AH59" s="11" t="str">
        <f>IFERROR(IF(예산업로드양식!H54="","",IF(예산업로드양식!F54="05",예산업로드양식!H54,"")),"")</f>
        <v/>
      </c>
      <c r="AI59" s="11"/>
      <c r="AJ59" s="11"/>
      <c r="AL59" s="1128" t="str">
        <f>IF(보수일람표!O59="","",보수일람표!O59)</f>
        <v/>
      </c>
      <c r="AM59" s="1129" t="str">
        <f>IF(보수일람표!P59="","",보수일람표!P59)</f>
        <v/>
      </c>
      <c r="AN59" s="1130">
        <f>IF(보수일람표!S59="","",보수일람표!S59)</f>
        <v>0</v>
      </c>
      <c r="AO59" s="1131">
        <f>IF(보수일람표!R59="","",보수일람표!R59)</f>
        <v>0</v>
      </c>
      <c r="AP59" s="1118">
        <f>IF(보수일람표!S59="","",보수일람표!S59)</f>
        <v>0</v>
      </c>
      <c r="AQ59" s="1132">
        <f>IF(보수일람표!T59="","",보수일람표!T59)</f>
        <v>0</v>
      </c>
      <c r="AR59" s="1120">
        <f>IF(보수일람표!U59="","",보수일람표!U59)</f>
        <v>0</v>
      </c>
      <c r="AS59" s="1121">
        <f>IF(보수일람표!V59="","",보수일람표!V59)</f>
        <v>0</v>
      </c>
      <c r="AT59" s="1122">
        <f>IF(보수일람표!W59="","",보수일람표!W59)</f>
        <v>0</v>
      </c>
      <c r="AU59" s="1123">
        <f>IF(보수일람표!X59="","",보수일람표!X59)</f>
        <v>0</v>
      </c>
      <c r="AV59" s="1124">
        <f>IF(보수일람표!Y59="","",보수일람표!Y59)</f>
        <v>0</v>
      </c>
      <c r="AW59" s="1133">
        <f>IF(보수일람표!Z59="","",보수일람표!Z59)</f>
        <v>0</v>
      </c>
      <c r="AX59" s="1134">
        <f>IF(보수일람표!AA59="","",보수일람표!AA59)</f>
        <v>0</v>
      </c>
    </row>
    <row r="60" spans="1:50" ht="17.25" thickBot="1">
      <c r="A60" s="819" t="str">
        <f>IF(데이터입력!X70="","X",데이터입력!X70)</f>
        <v>X</v>
      </c>
      <c r="B60" s="839">
        <f>데이터입력!Y70</f>
        <v>0</v>
      </c>
      <c r="C60" s="840" t="str">
        <f>IF(데이터입력!Z70="","X",데이터입력!Z70)</f>
        <v>X</v>
      </c>
      <c r="D60" s="1064">
        <f>IF(A60="X",데이터입력!$Y$8,데이터입력!AA70)</f>
        <v>12</v>
      </c>
      <c r="E60" s="819" t="str">
        <f>IF(데이터입력!AB70="","X",데이터입력!AB70)</f>
        <v>X</v>
      </c>
      <c r="F60" s="820">
        <f>데이터입력!AC70</f>
        <v>0</v>
      </c>
      <c r="G60" s="819" t="str">
        <f>IF(데이터입력!AD70="","X",데이터입력!AD70)</f>
        <v>X</v>
      </c>
      <c r="H60" s="820">
        <f>데이터입력!AE70</f>
        <v>0</v>
      </c>
      <c r="I60" s="1064">
        <f>IF(F60="X",데이터입력!$Y$8,데이터입력!AF70)</f>
        <v>12</v>
      </c>
      <c r="K60" s="42"/>
      <c r="L60" s="12"/>
      <c r="M60" s="12"/>
      <c r="N60" s="12"/>
      <c r="O60" s="12" t="str">
        <f>IFERROR(IF(예산업로드양식!E55="","",IF(예산업로드양식!F55="06",예산업로드양식!E55,"")),"")</f>
        <v/>
      </c>
      <c r="P60" s="13" t="str">
        <f>IFERROR(IF(예산업로드양식!H55="","",IF(예산업로드양식!F55="06",예산업로드양식!H55,"")),"")</f>
        <v/>
      </c>
      <c r="Q60" s="7" t="str">
        <f t="shared" si="0"/>
        <v/>
      </c>
      <c r="R60" s="13"/>
      <c r="S60" s="218"/>
      <c r="T60" s="42"/>
      <c r="U60" s="12"/>
      <c r="V60" s="12"/>
      <c r="W60" s="12"/>
      <c r="X60" s="12" t="str">
        <f>IFERROR(IF(예산업로드양식!E55="","",IF(예산업로드양식!F55="07",예산업로드양식!E55,"")),"")</f>
        <v/>
      </c>
      <c r="Y60" s="13" t="str">
        <f>IFERROR(IF(예산업로드양식!H55="","",IF(예산업로드양식!F55="07",예산업로드양식!H55,"")),"")</f>
        <v/>
      </c>
      <c r="Z60" s="13"/>
      <c r="AA60" s="13"/>
      <c r="AB60" s="218"/>
      <c r="AC60" s="42"/>
      <c r="AD60" s="12"/>
      <c r="AE60" s="12"/>
      <c r="AF60" s="12"/>
      <c r="AG60" s="12" t="str">
        <f>IFERROR(IF(예산업로드양식!E55="","",IF(예산업로드양식!F55="05",예산업로드양식!E55,"")),"")</f>
        <v/>
      </c>
      <c r="AH60" s="13" t="str">
        <f>IFERROR(IF(예산업로드양식!H55="","",IF(예산업로드양식!F55="05",예산업로드양식!H55,"")),"")</f>
        <v/>
      </c>
      <c r="AI60" s="13"/>
      <c r="AJ60" s="13"/>
      <c r="AL60" s="1128" t="str">
        <f>IF(보수일람표!O60="","",보수일람표!O60)</f>
        <v/>
      </c>
      <c r="AM60" s="1129" t="str">
        <f>IF(보수일람표!P60="","",보수일람표!P60)</f>
        <v/>
      </c>
      <c r="AN60" s="1130">
        <f>IF(보수일람표!S60="","",보수일람표!S60)</f>
        <v>0</v>
      </c>
      <c r="AO60" s="1131">
        <f>IF(보수일람표!R60="","",보수일람표!R60)</f>
        <v>0</v>
      </c>
      <c r="AP60" s="1118">
        <f>IF(보수일람표!S60="","",보수일람표!S60)</f>
        <v>0</v>
      </c>
      <c r="AQ60" s="1132">
        <f>IF(보수일람표!T60="","",보수일람표!T60)</f>
        <v>0</v>
      </c>
      <c r="AR60" s="1120">
        <f>IF(보수일람표!U60="","",보수일람표!U60)</f>
        <v>0</v>
      </c>
      <c r="AS60" s="1121">
        <f>IF(보수일람표!V60="","",보수일람표!V60)</f>
        <v>0</v>
      </c>
      <c r="AT60" s="1122">
        <f>IF(보수일람표!W60="","",보수일람표!W60)</f>
        <v>0</v>
      </c>
      <c r="AU60" s="1123">
        <f>IF(보수일람표!X60="","",보수일람표!X60)</f>
        <v>0</v>
      </c>
      <c r="AV60" s="1124">
        <f>IF(보수일람표!Y60="","",보수일람표!Y60)</f>
        <v>0</v>
      </c>
      <c r="AW60" s="1133">
        <f>IF(보수일람표!Z60="","",보수일람표!Z60)</f>
        <v>0</v>
      </c>
      <c r="AX60" s="1134">
        <f>IF(보수일람표!AA60="","",보수일람표!AA60)</f>
        <v>0</v>
      </c>
    </row>
    <row r="61" spans="1:50" ht="18" thickTop="1" thickBot="1">
      <c r="A61" s="819" t="str">
        <f>IF(데이터입력!X71="","X",데이터입력!X71)</f>
        <v>X</v>
      </c>
      <c r="B61" s="839">
        <f>데이터입력!Y71</f>
        <v>0</v>
      </c>
      <c r="C61" s="840" t="str">
        <f>IF(데이터입력!Z71="","X",데이터입력!Z71)</f>
        <v>X</v>
      </c>
      <c r="D61" s="1064">
        <f>IF(A61="X",데이터입력!$Y$8,데이터입력!AA71)</f>
        <v>12</v>
      </c>
      <c r="E61" s="819" t="str">
        <f>IF(데이터입력!AB71="","X",데이터입력!AB71)</f>
        <v>X</v>
      </c>
      <c r="F61" s="820">
        <f>데이터입력!AC71</f>
        <v>0</v>
      </c>
      <c r="G61" s="819" t="str">
        <f>IF(데이터입력!AD71="","X",데이터입력!AD71)</f>
        <v>X</v>
      </c>
      <c r="H61" s="820">
        <f>데이터입력!AE71</f>
        <v>0</v>
      </c>
      <c r="I61" s="1064">
        <f>IF(F61="X",데이터입력!$Y$8,데이터입력!AF71)</f>
        <v>12</v>
      </c>
      <c r="K61" s="41"/>
      <c r="L61" s="10"/>
      <c r="M61" s="10"/>
      <c r="N61" s="10"/>
      <c r="O61" s="10" t="str">
        <f>IFERROR(IF(예산업로드양식!E56="","",IF(예산업로드양식!F56="06",예산업로드양식!E56,"")),"")</f>
        <v/>
      </c>
      <c r="P61" s="11" t="str">
        <f>IFERROR(IF(예산업로드양식!H56="","",IF(예산업로드양식!F56="06",예산업로드양식!H56,"")),"")</f>
        <v/>
      </c>
      <c r="Q61" s="11" t="str">
        <f t="shared" si="0"/>
        <v/>
      </c>
      <c r="R61" s="11"/>
      <c r="S61" s="218"/>
      <c r="T61" s="41"/>
      <c r="U61" s="10"/>
      <c r="V61" s="10"/>
      <c r="W61" s="10"/>
      <c r="X61" s="10" t="str">
        <f>IFERROR(IF(예산업로드양식!E56="","",IF(예산업로드양식!F56="07",예산업로드양식!E56,"")),"")</f>
        <v/>
      </c>
      <c r="Y61" s="11" t="str">
        <f>IFERROR(IF(예산업로드양식!H56="","",IF(예산업로드양식!F56="07",예산업로드양식!H56,"")),"")</f>
        <v/>
      </c>
      <c r="Z61" s="11"/>
      <c r="AA61" s="11"/>
      <c r="AB61" s="218"/>
      <c r="AC61" s="41"/>
      <c r="AD61" s="10"/>
      <c r="AE61" s="10"/>
      <c r="AF61" s="10"/>
      <c r="AG61" s="10" t="str">
        <f>IFERROR(IF(예산업로드양식!E56="","",IF(예산업로드양식!F56="05",예산업로드양식!E56,"")),"")</f>
        <v/>
      </c>
      <c r="AH61" s="11" t="str">
        <f>IFERROR(IF(예산업로드양식!H56="","",IF(예산업로드양식!F56="05",예산업로드양식!H56,"")),"")</f>
        <v/>
      </c>
      <c r="AI61" s="11"/>
      <c r="AJ61" s="11"/>
      <c r="AL61" s="1256" t="s">
        <v>487</v>
      </c>
      <c r="AM61" s="1257"/>
      <c r="AN61" s="1156">
        <f>SUM(AN11:AN60)</f>
        <v>4800000</v>
      </c>
      <c r="AO61" s="1156">
        <f>SUM(AO11:AO60)</f>
        <v>0</v>
      </c>
      <c r="AP61" s="1157">
        <f>IF(AN61+AO61=0,0,SUM(AP11:AP60))</f>
        <v>4800000</v>
      </c>
      <c r="AQ61" s="1158">
        <f>SUM(AQ11:AQ60)</f>
        <v>0</v>
      </c>
      <c r="AR61" s="1159">
        <f>SUM(AR11:AR60)</f>
        <v>400000</v>
      </c>
      <c r="AS61" s="1159">
        <f>SUM(AS11:AS60)</f>
        <v>702860</v>
      </c>
      <c r="AT61" s="1157">
        <f>IF(AN61+AO61=0,0,SUM(AT11:AT60))</f>
        <v>5902860</v>
      </c>
      <c r="AU61" s="1160">
        <f>SUM(AU11:AU53)</f>
        <v>4619540</v>
      </c>
      <c r="AV61" s="1160">
        <f>SUM(AV11:AV53)</f>
        <v>4800000</v>
      </c>
      <c r="AW61" s="1161"/>
      <c r="AX61" s="1161"/>
    </row>
    <row r="62" spans="1:50" ht="25.5" thickTop="1" thickBot="1">
      <c r="A62" s="842"/>
      <c r="B62" s="825"/>
      <c r="C62" s="825"/>
      <c r="D62" s="825"/>
      <c r="E62" s="825"/>
      <c r="F62" s="826"/>
      <c r="G62" s="407" t="s">
        <v>213</v>
      </c>
      <c r="H62" s="878"/>
      <c r="I62" s="437" t="s">
        <v>215</v>
      </c>
      <c r="K62" s="42"/>
      <c r="L62" s="12"/>
      <c r="M62" s="12"/>
      <c r="N62" s="12"/>
      <c r="O62" s="12" t="str">
        <f>IFERROR(IF(예산업로드양식!E57="","",IF(예산업로드양식!F57="06",예산업로드양식!E57,"")),"")</f>
        <v/>
      </c>
      <c r="P62" s="13" t="str">
        <f>IFERROR(IF(예산업로드양식!H57="","",IF(예산업로드양식!F57="06",예산업로드양식!H57,"")),"")</f>
        <v/>
      </c>
      <c r="Q62" s="7" t="str">
        <f t="shared" si="0"/>
        <v/>
      </c>
      <c r="R62" s="13"/>
      <c r="S62" s="218"/>
      <c r="T62" s="42"/>
      <c r="U62" s="12"/>
      <c r="V62" s="12"/>
      <c r="W62" s="12"/>
      <c r="X62" s="12" t="str">
        <f>IFERROR(IF(예산업로드양식!E57="","",IF(예산업로드양식!F57="07",예산업로드양식!E57,"")),"")</f>
        <v/>
      </c>
      <c r="Y62" s="13" t="str">
        <f>IFERROR(IF(예산업로드양식!H57="","",IF(예산업로드양식!F57="07",예산업로드양식!H57,"")),"")</f>
        <v/>
      </c>
      <c r="Z62" s="13"/>
      <c r="AA62" s="13"/>
      <c r="AB62" s="218"/>
      <c r="AC62" s="42"/>
      <c r="AD62" s="12"/>
      <c r="AE62" s="12"/>
      <c r="AF62" s="12"/>
      <c r="AG62" s="12" t="str">
        <f>IFERROR(IF(예산업로드양식!E57="","",IF(예산업로드양식!F57="05",예산업로드양식!E57,"")),"")</f>
        <v/>
      </c>
      <c r="AH62" s="13" t="str">
        <f>IFERROR(IF(예산업로드양식!H57="","",IF(예산업로드양식!F57="05",예산업로드양식!H57,"")),"")</f>
        <v/>
      </c>
      <c r="AI62" s="13"/>
      <c r="AJ62" s="13"/>
      <c r="AL62" s="1162" t="s">
        <v>472</v>
      </c>
      <c r="AM62" s="1163" t="s">
        <v>744</v>
      </c>
      <c r="AN62" s="1163" t="s">
        <v>251</v>
      </c>
      <c r="AO62" s="1164" t="s">
        <v>435</v>
      </c>
      <c r="AP62" s="1165" t="s">
        <v>477</v>
      </c>
      <c r="AQ62" s="1166" t="s">
        <v>436</v>
      </c>
      <c r="AR62" s="1163" t="s">
        <v>475</v>
      </c>
      <c r="AS62" s="1164" t="s">
        <v>476</v>
      </c>
      <c r="AT62" s="1165" t="s">
        <v>478</v>
      </c>
      <c r="AU62" s="1165" t="s">
        <v>714</v>
      </c>
      <c r="AV62" s="1165" t="s">
        <v>715</v>
      </c>
      <c r="AW62" s="1167" t="s">
        <v>479</v>
      </c>
      <c r="AX62" s="1168" t="s">
        <v>480</v>
      </c>
    </row>
    <row r="63" spans="1:50" ht="17.25" thickBot="1">
      <c r="A63" s="846" t="s">
        <v>373</v>
      </c>
      <c r="B63" s="847"/>
      <c r="C63" s="847"/>
      <c r="D63" s="847"/>
      <c r="E63" s="847"/>
      <c r="F63" s="848"/>
      <c r="G63" s="1059" t="s">
        <v>16</v>
      </c>
      <c r="H63" s="1305"/>
      <c r="I63" s="645"/>
      <c r="K63" s="41"/>
      <c r="L63" s="10"/>
      <c r="M63" s="10"/>
      <c r="N63" s="10"/>
      <c r="O63" s="10" t="str">
        <f>IFERROR(IF(예산업로드양식!E58="","",IF(예산업로드양식!F58="06",예산업로드양식!E58,"")),"")</f>
        <v/>
      </c>
      <c r="P63" s="11" t="str">
        <f>IFERROR(IF(예산업로드양식!H58="","",IF(예산업로드양식!F58="06",예산업로드양식!H58,"")),"")</f>
        <v/>
      </c>
      <c r="Q63" s="11" t="str">
        <f t="shared" si="0"/>
        <v/>
      </c>
      <c r="R63" s="11"/>
      <c r="S63" s="218"/>
      <c r="T63" s="41"/>
      <c r="U63" s="10"/>
      <c r="V63" s="10"/>
      <c r="W63" s="10"/>
      <c r="X63" s="10" t="str">
        <f>IFERROR(IF(예산업로드양식!E58="","",IF(예산업로드양식!F58="07",예산업로드양식!E58,"")),"")</f>
        <v/>
      </c>
      <c r="Y63" s="11" t="str">
        <f>IFERROR(IF(예산업로드양식!H58="","",IF(예산업로드양식!F58="07",예산업로드양식!H58,"")),"")</f>
        <v/>
      </c>
      <c r="Z63" s="11"/>
      <c r="AA63" s="11"/>
      <c r="AB63" s="218"/>
      <c r="AC63" s="41"/>
      <c r="AD63" s="10"/>
      <c r="AE63" s="10"/>
      <c r="AF63" s="10"/>
      <c r="AG63" s="10" t="str">
        <f>IFERROR(IF(예산업로드양식!E58="","",IF(예산업로드양식!F58="05",예산업로드양식!E58,"")),"")</f>
        <v/>
      </c>
      <c r="AH63" s="11" t="str">
        <f>IFERROR(IF(예산업로드양식!H58="","",IF(예산업로드양식!F58="05",예산업로드양식!H58,"")),"")</f>
        <v/>
      </c>
      <c r="AI63" s="11"/>
      <c r="AJ63" s="11"/>
      <c r="AL63" s="1182" t="str">
        <f>IF(보수일람표!O61="","",보수일람표!O61)</f>
        <v>신정숙</v>
      </c>
      <c r="AM63" s="1183" t="str">
        <f>IF(보수일람표!P61="","",보수일람표!P61)</f>
        <v>사회복지사</v>
      </c>
      <c r="AN63" s="1184">
        <f>IF(보수일람표!S61="","",보수일람표!S61)</f>
        <v>2100000</v>
      </c>
      <c r="AO63" s="1185">
        <f>IF(보수일람표!R61="","",보수일람표!R61)</f>
        <v>0</v>
      </c>
      <c r="AP63" s="1118">
        <f>IF(보수일람표!S61="","",보수일람표!S61)</f>
        <v>2100000</v>
      </c>
      <c r="AQ63" s="1186">
        <f>IF(보수일람표!T61="","",보수일람표!T61)</f>
        <v>0</v>
      </c>
      <c r="AR63" s="1120">
        <f>IF(보수일람표!U61="","",보수일람표!U61)</f>
        <v>175000</v>
      </c>
      <c r="AS63" s="1121">
        <f>IF(보수일람표!V61="","",보수일람표!V61)</f>
        <v>219640</v>
      </c>
      <c r="AT63" s="1122">
        <f>IF(보수일람표!W61="","",보수일람표!W61)</f>
        <v>2494640</v>
      </c>
      <c r="AU63" s="1123">
        <f>IF(보수일람표!X61="","",보수일람표!X61)</f>
        <v>2100000</v>
      </c>
      <c r="AV63" s="1124">
        <f>IF(보수일람표!Y61="","",보수일람표!Y61)</f>
        <v>2100000</v>
      </c>
      <c r="AW63" s="1187">
        <f>IF(보수일람표!Z61="","",보수일람표!Z61)</f>
        <v>175000</v>
      </c>
      <c r="AX63" s="1134">
        <f>IF(보수일람표!AA61="","",보수일람표!AA61)</f>
        <v>175000</v>
      </c>
    </row>
    <row r="64" spans="1:50" ht="17.25" thickBot="1">
      <c r="A64" s="824" t="s">
        <v>211</v>
      </c>
      <c r="B64" s="823"/>
      <c r="C64" s="824" t="s">
        <v>212</v>
      </c>
      <c r="D64" s="823"/>
      <c r="E64" s="824" t="s">
        <v>214</v>
      </c>
      <c r="F64" s="823"/>
      <c r="G64" s="1304" t="s">
        <v>790</v>
      </c>
      <c r="H64" s="1306"/>
      <c r="I64" s="1307"/>
      <c r="K64" s="42"/>
      <c r="L64" s="12"/>
      <c r="M64" s="12"/>
      <c r="N64" s="12"/>
      <c r="O64" s="12" t="str">
        <f>IFERROR(IF(예산업로드양식!E59="","",IF(예산업로드양식!F59="06",예산업로드양식!E59,"")),"")</f>
        <v/>
      </c>
      <c r="P64" s="13" t="str">
        <f>IFERROR(IF(예산업로드양식!H59="","",IF(예산업로드양식!F59="06",예산업로드양식!H59,"")),"")</f>
        <v/>
      </c>
      <c r="Q64" s="7" t="str">
        <f t="shared" si="0"/>
        <v/>
      </c>
      <c r="R64" s="13"/>
      <c r="S64" s="218"/>
      <c r="T64" s="42"/>
      <c r="U64" s="12"/>
      <c r="V64" s="12"/>
      <c r="W64" s="12"/>
      <c r="X64" s="12" t="str">
        <f>IFERROR(IF(예산업로드양식!E59="","",IF(예산업로드양식!F59="07",예산업로드양식!E59,"")),"")</f>
        <v/>
      </c>
      <c r="Y64" s="13" t="str">
        <f>IFERROR(IF(예산업로드양식!H59="","",IF(예산업로드양식!F59="07",예산업로드양식!H59,"")),"")</f>
        <v/>
      </c>
      <c r="Z64" s="13"/>
      <c r="AA64" s="13"/>
      <c r="AB64" s="218"/>
      <c r="AC64" s="42"/>
      <c r="AD64" s="12"/>
      <c r="AE64" s="12"/>
      <c r="AF64" s="12"/>
      <c r="AG64" s="12" t="str">
        <f>IFERROR(IF(예산업로드양식!E59="","",IF(예산업로드양식!F59="05",예산업로드양식!E59,"")),"")</f>
        <v/>
      </c>
      <c r="AH64" s="13" t="str">
        <f>IFERROR(IF(예산업로드양식!H59="","",IF(예산업로드양식!F59="05",예산업로드양식!H59,"")),"")</f>
        <v/>
      </c>
      <c r="AI64" s="13"/>
      <c r="AJ64" s="13"/>
      <c r="AL64" s="1182" t="str">
        <f>IF(보수일람표!O62="","",보수일람표!O62)</f>
        <v>최선옥</v>
      </c>
      <c r="AM64" s="1183" t="str">
        <f>IF(보수일람표!P62="","",보수일람표!P62)</f>
        <v>간호조무사</v>
      </c>
      <c r="AN64" s="1184">
        <f>IF(보수일람표!S62="","",보수일람표!S62)</f>
        <v>2100000</v>
      </c>
      <c r="AO64" s="1185">
        <f>IF(보수일람표!R62="","",보수일람표!R62)</f>
        <v>0</v>
      </c>
      <c r="AP64" s="1118">
        <f>IF(보수일람표!S62="","",보수일람표!S62)</f>
        <v>2100000</v>
      </c>
      <c r="AQ64" s="1186">
        <f>IF(보수일람표!T62="","",보수일람표!T62)</f>
        <v>0</v>
      </c>
      <c r="AR64" s="1120">
        <f>IF(보수일람표!U62="","",보수일람표!U62)</f>
        <v>175000</v>
      </c>
      <c r="AS64" s="1121">
        <f>IF(보수일람표!V62="","",보수일람표!V62)</f>
        <v>219640</v>
      </c>
      <c r="AT64" s="1122">
        <f>IF(보수일람표!W62="","",보수일람표!W62)</f>
        <v>2494640</v>
      </c>
      <c r="AU64" s="1123">
        <f>IF(보수일람표!X62="","",보수일람표!X62)</f>
        <v>2100000</v>
      </c>
      <c r="AV64" s="1124">
        <f>IF(보수일람표!Y62="","",보수일람표!Y62)</f>
        <v>2100000</v>
      </c>
      <c r="AW64" s="1187">
        <f>IF(보수일람표!Z62="","",보수일람표!Z62)</f>
        <v>175000</v>
      </c>
      <c r="AX64" s="1134">
        <f>IF(보수일람표!AA62="","",보수일람표!AA62)</f>
        <v>175000</v>
      </c>
    </row>
    <row r="65" spans="1:50">
      <c r="A65" s="1066" t="str">
        <f>IF(데이터입력!X75="","X",데이터입력!X75)</f>
        <v>국고보조금</v>
      </c>
      <c r="B65" s="849"/>
      <c r="C65" s="1066" t="str">
        <f>IF(데이터입력!Z75="","X",데이터입력!Z75)</f>
        <v>시도보조금</v>
      </c>
      <c r="D65" s="849"/>
      <c r="E65" s="1066" t="str">
        <f>IF(데이터입력!AB75="","X",데이터입력!AB75)</f>
        <v>기타보조금</v>
      </c>
      <c r="F65" s="849"/>
      <c r="G65" s="1304" t="s">
        <v>791</v>
      </c>
      <c r="H65" s="1306"/>
      <c r="I65" s="1307"/>
      <c r="K65" s="41"/>
      <c r="L65" s="10"/>
      <c r="M65" s="10"/>
      <c r="N65" s="10"/>
      <c r="O65" s="10" t="str">
        <f>IFERROR(IF(예산업로드양식!E60="","",IF(예산업로드양식!F60="06",예산업로드양식!E60,"")),"")</f>
        <v/>
      </c>
      <c r="P65" s="11" t="str">
        <f>IFERROR(IF(예산업로드양식!H60="","",IF(예산업로드양식!F60="06",예산업로드양식!H60,"")),"")</f>
        <v/>
      </c>
      <c r="Q65" s="11" t="str">
        <f t="shared" si="0"/>
        <v/>
      </c>
      <c r="R65" s="11"/>
      <c r="S65" s="218"/>
      <c r="T65" s="41"/>
      <c r="U65" s="10"/>
      <c r="V65" s="10"/>
      <c r="W65" s="10"/>
      <c r="X65" s="10" t="str">
        <f>IFERROR(IF(예산업로드양식!E60="","",IF(예산업로드양식!F60="07",예산업로드양식!E60,"")),"")</f>
        <v/>
      </c>
      <c r="Y65" s="11" t="str">
        <f>IFERROR(IF(예산업로드양식!H60="","",IF(예산업로드양식!F60="07",예산업로드양식!H60,"")),"")</f>
        <v/>
      </c>
      <c r="Z65" s="11"/>
      <c r="AA65" s="11"/>
      <c r="AB65" s="218"/>
      <c r="AC65" s="41"/>
      <c r="AD65" s="10"/>
      <c r="AE65" s="10"/>
      <c r="AF65" s="10"/>
      <c r="AG65" s="10" t="str">
        <f>IFERROR(IF(예산업로드양식!E60="","",IF(예산업로드양식!F60="05",예산업로드양식!E60,"")),"")</f>
        <v/>
      </c>
      <c r="AH65" s="11" t="str">
        <f>IFERROR(IF(예산업로드양식!H60="","",IF(예산업로드양식!F60="05",예산업로드양식!H60,"")),"")</f>
        <v/>
      </c>
      <c r="AI65" s="11"/>
      <c r="AJ65" s="11"/>
      <c r="AL65" s="1182" t="str">
        <f>IF(보수일람표!O63="","",보수일람표!O63)</f>
        <v>강태술</v>
      </c>
      <c r="AM65" s="1183" t="str">
        <f>IF(보수일람표!P63="","",보수일람표!P63)</f>
        <v>요양보호사 1급</v>
      </c>
      <c r="AN65" s="1184">
        <f>IF(보수일람표!S63="","",보수일람표!S63)</f>
        <v>2126000</v>
      </c>
      <c r="AO65" s="1185">
        <f>IF(보수일람표!R63="","",보수일람표!R63)</f>
        <v>0</v>
      </c>
      <c r="AP65" s="1118">
        <f>IF(보수일람표!S63="","",보수일람표!S63)</f>
        <v>2126000</v>
      </c>
      <c r="AQ65" s="1186">
        <f>IF(보수일람표!T63="","",보수일람표!T63)</f>
        <v>0</v>
      </c>
      <c r="AR65" s="1120">
        <f>IF(보수일람표!U63="","",보수일람표!U63)</f>
        <v>177167</v>
      </c>
      <c r="AS65" s="1121">
        <f>IF(보수일람표!V63="","",보수일람표!V63)</f>
        <v>222360</v>
      </c>
      <c r="AT65" s="1122">
        <f>IF(보수일람표!W63="","",보수일람표!W63)</f>
        <v>2525527</v>
      </c>
      <c r="AU65" s="1123">
        <f>IF(보수일람표!X63="","",보수일람표!X63)</f>
        <v>2126000</v>
      </c>
      <c r="AV65" s="1124">
        <f>IF(보수일람표!Y63="","",보수일람표!Y63)</f>
        <v>2126000</v>
      </c>
      <c r="AW65" s="1187">
        <f>IF(보수일람표!Z63="","",보수일람표!Z63)</f>
        <v>177167</v>
      </c>
      <c r="AX65" s="1134">
        <f>IF(보수일람표!AA63="","",보수일람표!AA63)</f>
        <v>177167</v>
      </c>
    </row>
    <row r="66" spans="1:50">
      <c r="A66" s="853" t="str">
        <f>IF(데이터입력!X76="","X",데이터입력!X76)</f>
        <v>X</v>
      </c>
      <c r="B66" s="854">
        <f>데이터입력!Y76</f>
        <v>0</v>
      </c>
      <c r="C66" s="853" t="str">
        <f>IF(데이터입력!Z76="","X",데이터입력!Z76)</f>
        <v>X</v>
      </c>
      <c r="D66" s="854">
        <f>데이터입력!AA76</f>
        <v>0</v>
      </c>
      <c r="E66" s="853" t="str">
        <f>IF(데이터입력!AB76="","X",데이터입력!AB76)</f>
        <v>X</v>
      </c>
      <c r="F66" s="854">
        <f>데이터입력!AC76</f>
        <v>0</v>
      </c>
      <c r="G66" s="853" t="str">
        <f>IF(데이터입력!AD76="","X",데이터입력!AD76)</f>
        <v>X</v>
      </c>
      <c r="H66" s="854">
        <f>데이터입력!AE76</f>
        <v>0</v>
      </c>
      <c r="I66" s="1308">
        <v>1</v>
      </c>
      <c r="K66" s="42"/>
      <c r="L66" s="12"/>
      <c r="M66" s="12"/>
      <c r="N66" s="12"/>
      <c r="O66" s="12" t="str">
        <f>IFERROR(IF(예산업로드양식!E61="","",IF(예산업로드양식!F61="06",예산업로드양식!E61,"")),"")</f>
        <v/>
      </c>
      <c r="P66" s="13" t="str">
        <f>IFERROR(IF(예산업로드양식!H61="","",IF(예산업로드양식!F61="06",예산업로드양식!H61,"")),"")</f>
        <v/>
      </c>
      <c r="Q66" s="7" t="str">
        <f t="shared" si="0"/>
        <v/>
      </c>
      <c r="R66" s="13"/>
      <c r="S66" s="218"/>
      <c r="T66" s="42"/>
      <c r="U66" s="12"/>
      <c r="V66" s="12"/>
      <c r="W66" s="12"/>
      <c r="X66" s="12" t="str">
        <f>IFERROR(IF(예산업로드양식!E61="","",IF(예산업로드양식!F61="07",예산업로드양식!E61,"")),"")</f>
        <v/>
      </c>
      <c r="Y66" s="13" t="str">
        <f>IFERROR(IF(예산업로드양식!H61="","",IF(예산업로드양식!F61="07",예산업로드양식!H61,"")),"")</f>
        <v/>
      </c>
      <c r="Z66" s="13"/>
      <c r="AA66" s="13"/>
      <c r="AB66" s="218"/>
      <c r="AC66" s="42"/>
      <c r="AD66" s="12"/>
      <c r="AE66" s="12"/>
      <c r="AF66" s="12"/>
      <c r="AG66" s="12" t="str">
        <f>IFERROR(IF(예산업로드양식!E61="","",IF(예산업로드양식!F61="05",예산업로드양식!E61,"")),"")</f>
        <v/>
      </c>
      <c r="AH66" s="13" t="str">
        <f>IFERROR(IF(예산업로드양식!H61="","",IF(예산업로드양식!F61="05",예산업로드양식!H61,"")),"")</f>
        <v/>
      </c>
      <c r="AI66" s="13"/>
      <c r="AJ66" s="13"/>
      <c r="AL66" s="1182" t="str">
        <f>IF(보수일람표!O64="","",보수일람표!O64)</f>
        <v>김수연</v>
      </c>
      <c r="AM66" s="1183" t="str">
        <f>IF(보수일람표!P64="","",보수일람표!P64)</f>
        <v>요양보호사 1급</v>
      </c>
      <c r="AN66" s="1184">
        <f>IF(보수일람표!S64="","",보수일람표!S64)</f>
        <v>2126000</v>
      </c>
      <c r="AO66" s="1185">
        <f>IF(보수일람표!R64="","",보수일람표!R64)</f>
        <v>0</v>
      </c>
      <c r="AP66" s="1118">
        <f>IF(보수일람표!S64="","",보수일람표!S64)</f>
        <v>2126000</v>
      </c>
      <c r="AQ66" s="1186">
        <f>IF(보수일람표!T64="","",보수일람표!T64)</f>
        <v>0</v>
      </c>
      <c r="AR66" s="1120">
        <f>IF(보수일람표!U64="","",보수일람표!U64)</f>
        <v>177167</v>
      </c>
      <c r="AS66" s="1121">
        <f>IF(보수일람표!V64="","",보수일람표!V64)</f>
        <v>222360</v>
      </c>
      <c r="AT66" s="1122">
        <f>IF(보수일람표!W64="","",보수일람표!W64)</f>
        <v>2525527</v>
      </c>
      <c r="AU66" s="1123">
        <f>IF(보수일람표!X64="","",보수일람표!X64)</f>
        <v>2126000</v>
      </c>
      <c r="AV66" s="1124">
        <f>IF(보수일람표!Y64="","",보수일람표!Y64)</f>
        <v>2126000</v>
      </c>
      <c r="AW66" s="1187">
        <f>IF(보수일람표!Z64="","",보수일람표!Z64)</f>
        <v>177167</v>
      </c>
      <c r="AX66" s="1134">
        <f>IF(보수일람표!AA64="","",보수일람표!AA64)</f>
        <v>177167</v>
      </c>
    </row>
    <row r="67" spans="1:50" ht="17.25" thickBot="1">
      <c r="A67" s="855" t="str">
        <f>IF(데이터입력!X77="","X",데이터입력!X77)</f>
        <v>X</v>
      </c>
      <c r="B67" s="856">
        <f>데이터입력!Y77</f>
        <v>0</v>
      </c>
      <c r="C67" s="855" t="str">
        <f>IF(데이터입력!Z77="","X",데이터입력!Z77)</f>
        <v>X</v>
      </c>
      <c r="D67" s="856">
        <f>데이터입력!AA77</f>
        <v>0</v>
      </c>
      <c r="E67" s="855" t="str">
        <f>IF(데이터입력!AB77="","X",데이터입력!AB77)</f>
        <v>X</v>
      </c>
      <c r="F67" s="857">
        <f>데이터입력!AC77</f>
        <v>0</v>
      </c>
      <c r="G67" s="853" t="str">
        <f>IF(데이터입력!AD77="","X",데이터입력!AD77)</f>
        <v>X</v>
      </c>
      <c r="H67" s="854">
        <f>데이터입력!AE77</f>
        <v>0</v>
      </c>
      <c r="I67" s="1308">
        <v>1</v>
      </c>
      <c r="K67" s="41"/>
      <c r="L67" s="10"/>
      <c r="M67" s="10"/>
      <c r="N67" s="10"/>
      <c r="O67" s="10" t="str">
        <f>IFERROR(IF(예산업로드양식!E62="","",IF(예산업로드양식!F62="06",예산업로드양식!E62,"")),"")</f>
        <v/>
      </c>
      <c r="P67" s="11" t="str">
        <f>IFERROR(IF(예산업로드양식!H62="","",IF(예산업로드양식!F62="06",예산업로드양식!H62,"")),"")</f>
        <v/>
      </c>
      <c r="Q67" s="11" t="str">
        <f t="shared" si="0"/>
        <v/>
      </c>
      <c r="R67" s="11"/>
      <c r="S67" s="218"/>
      <c r="T67" s="41"/>
      <c r="U67" s="10"/>
      <c r="V67" s="10"/>
      <c r="W67" s="10"/>
      <c r="X67" s="10" t="str">
        <f>IFERROR(IF(예산업로드양식!E62="","",IF(예산업로드양식!F62="07",예산업로드양식!E62,"")),"")</f>
        <v/>
      </c>
      <c r="Y67" s="11" t="str">
        <f>IFERROR(IF(예산업로드양식!H62="","",IF(예산업로드양식!F62="07",예산업로드양식!H62,"")),"")</f>
        <v/>
      </c>
      <c r="Z67" s="11"/>
      <c r="AA67" s="11"/>
      <c r="AB67" s="218"/>
      <c r="AC67" s="41"/>
      <c r="AD67" s="10"/>
      <c r="AE67" s="10"/>
      <c r="AF67" s="10"/>
      <c r="AG67" s="10" t="str">
        <f>IFERROR(IF(예산업로드양식!E62="","",IF(예산업로드양식!F62="05",예산업로드양식!E62,"")),"")</f>
        <v/>
      </c>
      <c r="AH67" s="11" t="str">
        <f>IFERROR(IF(예산업로드양식!H62="","",IF(예산업로드양식!F62="05",예산업로드양식!H62,"")),"")</f>
        <v/>
      </c>
      <c r="AI67" s="11"/>
      <c r="AJ67" s="11"/>
      <c r="AL67" s="1182" t="str">
        <f>IF(보수일람표!O65="","",보수일람표!O65)</f>
        <v>신규2</v>
      </c>
      <c r="AM67" s="1183" t="str">
        <f>IF(보수일람표!P65="","",보수일람표!P65)</f>
        <v>요양보호사 1급</v>
      </c>
      <c r="AN67" s="1184">
        <f>IF(보수일람표!S65="","",보수일람표!S65)</f>
        <v>2126000</v>
      </c>
      <c r="AO67" s="1185">
        <f>IF(보수일람표!R65="","",보수일람표!R65)</f>
        <v>0</v>
      </c>
      <c r="AP67" s="1118">
        <f>IF(보수일람표!S65="","",보수일람표!S65)</f>
        <v>2126000</v>
      </c>
      <c r="AQ67" s="1186">
        <f>IF(보수일람표!T65="","",보수일람표!T65)</f>
        <v>0</v>
      </c>
      <c r="AR67" s="1120">
        <f>IF(보수일람표!U65="","",보수일람표!U65)</f>
        <v>177167</v>
      </c>
      <c r="AS67" s="1121">
        <f>IF(보수일람표!V65="","",보수일람표!V65)</f>
        <v>222360</v>
      </c>
      <c r="AT67" s="1122">
        <f>IF(보수일람표!W65="","",보수일람표!W65)</f>
        <v>2525527</v>
      </c>
      <c r="AU67" s="1123">
        <f>IF(보수일람표!X65="","",보수일람표!X65)</f>
        <v>2126000</v>
      </c>
      <c r="AV67" s="1124">
        <f>IF(보수일람표!Y65="","",보수일람표!Y65)</f>
        <v>2126000</v>
      </c>
      <c r="AW67" s="1187">
        <f>IF(보수일람표!Z65="","",보수일람표!Z65)</f>
        <v>177167</v>
      </c>
      <c r="AX67" s="1134">
        <f>IF(보수일람표!AA65="","",보수일람표!AA65)</f>
        <v>177167</v>
      </c>
    </row>
    <row r="68" spans="1:50" ht="17.25" thickBot="1">
      <c r="A68" s="859"/>
      <c r="B68" s="860"/>
      <c r="C68" s="860"/>
      <c r="D68" s="860"/>
      <c r="E68" s="860"/>
      <c r="F68" s="860"/>
      <c r="G68" s="853" t="str">
        <f>IF(데이터입력!AD78="","X",데이터입력!AD78)</f>
        <v>X</v>
      </c>
      <c r="H68" s="854">
        <f>데이터입력!AE78</f>
        <v>0</v>
      </c>
      <c r="I68" s="1308">
        <v>1</v>
      </c>
      <c r="K68" s="42"/>
      <c r="L68" s="12"/>
      <c r="M68" s="12"/>
      <c r="N68" s="12"/>
      <c r="O68" s="12" t="str">
        <f>IFERROR(IF(예산업로드양식!E63="","",IF(예산업로드양식!F63="06",예산업로드양식!E63,"")),"")</f>
        <v/>
      </c>
      <c r="P68" s="13" t="str">
        <f>IFERROR(IF(예산업로드양식!H63="","",IF(예산업로드양식!F63="06",예산업로드양식!H63,"")),"")</f>
        <v/>
      </c>
      <c r="Q68" s="7" t="str">
        <f t="shared" si="0"/>
        <v/>
      </c>
      <c r="R68" s="13"/>
      <c r="S68" s="218"/>
      <c r="T68" s="42"/>
      <c r="U68" s="12"/>
      <c r="V68" s="12"/>
      <c r="W68" s="12"/>
      <c r="X68" s="12" t="str">
        <f>IFERROR(IF(예산업로드양식!E63="","",IF(예산업로드양식!F63="07",예산업로드양식!E63,"")),"")</f>
        <v/>
      </c>
      <c r="Y68" s="13" t="str">
        <f>IFERROR(IF(예산업로드양식!H63="","",IF(예산업로드양식!F63="07",예산업로드양식!H63,"")),"")</f>
        <v/>
      </c>
      <c r="Z68" s="13"/>
      <c r="AA68" s="13"/>
      <c r="AB68" s="218"/>
      <c r="AC68" s="42"/>
      <c r="AD68" s="12"/>
      <c r="AE68" s="12"/>
      <c r="AF68" s="12"/>
      <c r="AG68" s="12" t="str">
        <f>IFERROR(IF(예산업로드양식!E63="","",IF(예산업로드양식!F63="05",예산업로드양식!E63,"")),"")</f>
        <v/>
      </c>
      <c r="AH68" s="13" t="str">
        <f>IFERROR(IF(예산업로드양식!H63="","",IF(예산업로드양식!F63="05",예산업로드양식!H63,"")),"")</f>
        <v/>
      </c>
      <c r="AI68" s="13"/>
      <c r="AJ68" s="13"/>
      <c r="AL68" s="1182" t="str">
        <f>IF(보수일람표!O66="","",보수일람표!O66)</f>
        <v/>
      </c>
      <c r="AM68" s="1183" t="str">
        <f>IF(보수일람표!P66="","",보수일람표!P66)</f>
        <v/>
      </c>
      <c r="AN68" s="1184">
        <f>IF(보수일람표!S66="","",보수일람표!S66)</f>
        <v>0</v>
      </c>
      <c r="AO68" s="1185">
        <f>IF(보수일람표!R66="","",보수일람표!R66)</f>
        <v>0</v>
      </c>
      <c r="AP68" s="1118">
        <f>IF(보수일람표!S66="","",보수일람표!S66)</f>
        <v>0</v>
      </c>
      <c r="AQ68" s="1186">
        <f>IF(보수일람표!T66="","",보수일람표!T66)</f>
        <v>0</v>
      </c>
      <c r="AR68" s="1120">
        <f>IF(보수일람표!U66="","",보수일람표!U66)</f>
        <v>0</v>
      </c>
      <c r="AS68" s="1121">
        <f>IF(보수일람표!V66="","",보수일람표!V66)</f>
        <v>0</v>
      </c>
      <c r="AT68" s="1122">
        <f>IF(보수일람표!W66="","",보수일람표!W66)</f>
        <v>0</v>
      </c>
      <c r="AU68" s="1123">
        <f>IF(보수일람표!X66="","",보수일람표!X66)</f>
        <v>0</v>
      </c>
      <c r="AV68" s="1124">
        <f>IF(보수일람표!Y66="","",보수일람표!Y66)</f>
        <v>0</v>
      </c>
      <c r="AW68" s="1187">
        <f>IF(보수일람표!Z66="","",보수일람표!Z66)</f>
        <v>0</v>
      </c>
      <c r="AX68" s="1134">
        <f>IF(보수일람표!AA66="","",보수일람표!AA66)</f>
        <v>0</v>
      </c>
    </row>
    <row r="69" spans="1:50" ht="17.25" thickBot="1">
      <c r="A69" s="864" t="s">
        <v>123</v>
      </c>
      <c r="B69" s="865"/>
      <c r="C69" s="866"/>
      <c r="D69" s="843" t="s">
        <v>374</v>
      </c>
      <c r="E69" s="844"/>
      <c r="F69" s="845"/>
      <c r="K69" s="41"/>
      <c r="L69" s="10"/>
      <c r="M69" s="10"/>
      <c r="N69" s="10"/>
      <c r="O69" s="10" t="str">
        <f>IFERROR(IF(예산업로드양식!E64="","",IF(예산업로드양식!F64="06",예산업로드양식!E64,"")),"")</f>
        <v/>
      </c>
      <c r="P69" s="11" t="str">
        <f>IFERROR(IF(예산업로드양식!H64="","",IF(예산업로드양식!F64="06",예산업로드양식!H64,"")),"")</f>
        <v/>
      </c>
      <c r="Q69" s="11" t="str">
        <f t="shared" si="0"/>
        <v/>
      </c>
      <c r="R69" s="11"/>
      <c r="S69" s="218"/>
      <c r="T69" s="41"/>
      <c r="U69" s="10"/>
      <c r="V69" s="10"/>
      <c r="W69" s="10"/>
      <c r="X69" s="10" t="str">
        <f>IFERROR(IF(예산업로드양식!E64="","",IF(예산업로드양식!F64="07",예산업로드양식!E64,"")),"")</f>
        <v/>
      </c>
      <c r="Y69" s="11" t="str">
        <f>IFERROR(IF(예산업로드양식!H64="","",IF(예산업로드양식!F64="07",예산업로드양식!H64,"")),"")</f>
        <v/>
      </c>
      <c r="Z69" s="11"/>
      <c r="AA69" s="11"/>
      <c r="AB69" s="218"/>
      <c r="AC69" s="41"/>
      <c r="AD69" s="10"/>
      <c r="AE69" s="10"/>
      <c r="AF69" s="10"/>
      <c r="AG69" s="10" t="str">
        <f>IFERROR(IF(예산업로드양식!E64="","",IF(예산업로드양식!F64="05",예산업로드양식!E64,"")),"")</f>
        <v/>
      </c>
      <c r="AH69" s="11" t="str">
        <f>IFERROR(IF(예산업로드양식!H64="","",IF(예산업로드양식!F64="05",예산업로드양식!H64,"")),"")</f>
        <v/>
      </c>
      <c r="AI69" s="11"/>
      <c r="AJ69" s="11"/>
      <c r="AL69" s="1182" t="str">
        <f>IF(보수일람표!O67="","",보수일람표!O67)</f>
        <v/>
      </c>
      <c r="AM69" s="1183" t="str">
        <f>IF(보수일람표!P67="","",보수일람표!P67)</f>
        <v/>
      </c>
      <c r="AN69" s="1184">
        <f>IF(보수일람표!S67="","",보수일람표!S67)</f>
        <v>0</v>
      </c>
      <c r="AO69" s="1185">
        <f>IF(보수일람표!R67="","",보수일람표!R67)</f>
        <v>0</v>
      </c>
      <c r="AP69" s="1118">
        <f>IF(보수일람표!S67="","",보수일람표!S67)</f>
        <v>0</v>
      </c>
      <c r="AQ69" s="1186">
        <f>IF(보수일람표!T67="","",보수일람표!T67)</f>
        <v>0</v>
      </c>
      <c r="AR69" s="1120">
        <f>IF(보수일람표!U67="","",보수일람표!U67)</f>
        <v>0</v>
      </c>
      <c r="AS69" s="1121">
        <f>IF(보수일람표!V67="","",보수일람표!V67)</f>
        <v>0</v>
      </c>
      <c r="AT69" s="1122">
        <f>IF(보수일람표!W67="","",보수일람표!W67)</f>
        <v>0</v>
      </c>
      <c r="AU69" s="1123">
        <f>IF(보수일람표!X67="","",보수일람표!X67)</f>
        <v>0</v>
      </c>
      <c r="AV69" s="1124">
        <f>IF(보수일람표!Y67="","",보수일람표!Y67)</f>
        <v>0</v>
      </c>
      <c r="AW69" s="1187">
        <f>IF(보수일람표!Z67="","",보수일람표!Z67)</f>
        <v>0</v>
      </c>
      <c r="AX69" s="1134">
        <f>IF(보수일람표!AA67="","",보수일람표!AA67)</f>
        <v>0</v>
      </c>
    </row>
    <row r="70" spans="1:50" ht="17.25" thickBot="1">
      <c r="A70" s="827" t="s">
        <v>448</v>
      </c>
      <c r="B70" s="867">
        <f>데이터입력!Y80</f>
        <v>0.3</v>
      </c>
      <c r="C70" s="868"/>
      <c r="D70" s="824" t="s">
        <v>375</v>
      </c>
      <c r="E70" s="823"/>
      <c r="F70" s="823" t="s">
        <v>215</v>
      </c>
      <c r="K70" s="42"/>
      <c r="L70" s="12"/>
      <c r="M70" s="12"/>
      <c r="N70" s="12"/>
      <c r="O70" s="12" t="str">
        <f>IFERROR(IF(예산업로드양식!E65="","",IF(예산업로드양식!F65="06",예산업로드양식!E65,"")),"")</f>
        <v/>
      </c>
      <c r="P70" s="13" t="str">
        <f>IFERROR(IF(예산업로드양식!H65="","",IF(예산업로드양식!F65="06",예산업로드양식!H65,"")),"")</f>
        <v/>
      </c>
      <c r="Q70" s="7" t="str">
        <f t="shared" si="0"/>
        <v/>
      </c>
      <c r="R70" s="13"/>
      <c r="S70" s="218"/>
      <c r="T70" s="42"/>
      <c r="U70" s="12"/>
      <c r="V70" s="12"/>
      <c r="W70" s="12"/>
      <c r="X70" s="12" t="str">
        <f>IFERROR(IF(예산업로드양식!E65="","",IF(예산업로드양식!F65="07",예산업로드양식!E65,"")),"")</f>
        <v/>
      </c>
      <c r="Y70" s="13" t="str">
        <f>IFERROR(IF(예산업로드양식!H65="","",IF(예산업로드양식!F65="07",예산업로드양식!H65,"")),"")</f>
        <v/>
      </c>
      <c r="Z70" s="13"/>
      <c r="AA70" s="13"/>
      <c r="AB70" s="218"/>
      <c r="AC70" s="42"/>
      <c r="AD70" s="12"/>
      <c r="AE70" s="12"/>
      <c r="AF70" s="12"/>
      <c r="AG70" s="12" t="str">
        <f>IFERROR(IF(예산업로드양식!E65="","",IF(예산업로드양식!F65="05",예산업로드양식!E65,"")),"")</f>
        <v/>
      </c>
      <c r="AH70" s="13" t="str">
        <f>IFERROR(IF(예산업로드양식!H65="","",IF(예산업로드양식!F65="05",예산업로드양식!H65,"")),"")</f>
        <v/>
      </c>
      <c r="AI70" s="13"/>
      <c r="AJ70" s="13"/>
      <c r="AL70" s="1182" t="str">
        <f>IF(보수일람표!O68="","",보수일람표!O68)</f>
        <v/>
      </c>
      <c r="AM70" s="1183" t="str">
        <f>IF(보수일람표!P68="","",보수일람표!P68)</f>
        <v/>
      </c>
      <c r="AN70" s="1184">
        <f>IF(보수일람표!S68="","",보수일람표!S68)</f>
        <v>0</v>
      </c>
      <c r="AO70" s="1185">
        <f>IF(보수일람표!R68="","",보수일람표!R68)</f>
        <v>0</v>
      </c>
      <c r="AP70" s="1118">
        <f>IF(보수일람표!S68="","",보수일람표!S68)</f>
        <v>0</v>
      </c>
      <c r="AQ70" s="1186">
        <f>IF(보수일람표!T68="","",보수일람표!T68)</f>
        <v>0</v>
      </c>
      <c r="AR70" s="1120">
        <f>IF(보수일람표!U68="","",보수일람표!U68)</f>
        <v>0</v>
      </c>
      <c r="AS70" s="1121">
        <f>IF(보수일람표!V68="","",보수일람표!V68)</f>
        <v>0</v>
      </c>
      <c r="AT70" s="1122">
        <f>IF(보수일람표!W68="","",보수일람표!W68)</f>
        <v>0</v>
      </c>
      <c r="AU70" s="1123">
        <f>IF(보수일람표!X68="","",보수일람표!X68)</f>
        <v>0</v>
      </c>
      <c r="AV70" s="1124">
        <f>IF(보수일람표!Y68="","",보수일람표!Y68)</f>
        <v>0</v>
      </c>
      <c r="AW70" s="1187">
        <f>IF(보수일람표!Z68="","",보수일람표!Z68)</f>
        <v>0</v>
      </c>
      <c r="AX70" s="1134">
        <f>IF(보수일람표!AA68="","",보수일람표!AA68)</f>
        <v>0</v>
      </c>
    </row>
    <row r="71" spans="1:50">
      <c r="A71" s="1063" t="str">
        <f>IF(데이터입력!X81="","X",데이터입력!X81)</f>
        <v>대여용구취득비</v>
      </c>
      <c r="B71" s="869"/>
      <c r="C71" s="870"/>
      <c r="D71" s="1065" t="str">
        <f>IF(데이터입력!AD81="","X",데이터입력!AD81)</f>
        <v>지정후원금</v>
      </c>
      <c r="E71" s="849"/>
      <c r="F71" s="1067">
        <f>IF(D71="X",데이터입력!$Y$8,데이터입력!AF81)</f>
        <v>12</v>
      </c>
      <c r="K71" s="41"/>
      <c r="L71" s="10"/>
      <c r="M71" s="10"/>
      <c r="N71" s="10"/>
      <c r="O71" s="10" t="str">
        <f>IFERROR(IF(예산업로드양식!E66="","",IF(예산업로드양식!F66="06",예산업로드양식!E66,"")),"")</f>
        <v/>
      </c>
      <c r="P71" s="11" t="str">
        <f>IFERROR(IF(예산업로드양식!H66="","",IF(예산업로드양식!F66="06",예산업로드양식!H66,"")),"")</f>
        <v/>
      </c>
      <c r="Q71" s="11" t="str">
        <f t="shared" si="0"/>
        <v/>
      </c>
      <c r="R71" s="11"/>
      <c r="S71" s="218"/>
      <c r="T71" s="41"/>
      <c r="U71" s="10"/>
      <c r="V71" s="10"/>
      <c r="W71" s="10"/>
      <c r="X71" s="10" t="str">
        <f>IFERROR(IF(예산업로드양식!E66="","",IF(예산업로드양식!F66="07",예산업로드양식!E66,"")),"")</f>
        <v/>
      </c>
      <c r="Y71" s="11" t="str">
        <f>IFERROR(IF(예산업로드양식!H66="","",IF(예산업로드양식!F66="07",예산업로드양식!H66,"")),"")</f>
        <v/>
      </c>
      <c r="Z71" s="11"/>
      <c r="AA71" s="11"/>
      <c r="AB71" s="218"/>
      <c r="AC71" s="41"/>
      <c r="AD71" s="10"/>
      <c r="AE71" s="10"/>
      <c r="AF71" s="10"/>
      <c r="AG71" s="10" t="str">
        <f>IFERROR(IF(예산업로드양식!E66="","",IF(예산업로드양식!F66="05",예산업로드양식!E66,"")),"")</f>
        <v/>
      </c>
      <c r="AH71" s="11" t="str">
        <f>IFERROR(IF(예산업로드양식!H66="","",IF(예산업로드양식!F66="05",예산업로드양식!H66,"")),"")</f>
        <v/>
      </c>
      <c r="AI71" s="11"/>
      <c r="AJ71" s="11"/>
      <c r="AL71" s="1182" t="str">
        <f>IF(보수일람표!O69="","",보수일람표!O69)</f>
        <v/>
      </c>
      <c r="AM71" s="1183" t="str">
        <f>IF(보수일람표!P69="","",보수일람표!P69)</f>
        <v/>
      </c>
      <c r="AN71" s="1184">
        <f>IF(보수일람표!S69="","",보수일람표!S69)</f>
        <v>0</v>
      </c>
      <c r="AO71" s="1185">
        <f>IF(보수일람표!R69="","",보수일람표!R69)</f>
        <v>0</v>
      </c>
      <c r="AP71" s="1118">
        <f>IF(보수일람표!S69="","",보수일람표!S69)</f>
        <v>0</v>
      </c>
      <c r="AQ71" s="1186">
        <f>IF(보수일람표!T69="","",보수일람표!T69)</f>
        <v>0</v>
      </c>
      <c r="AR71" s="1120">
        <f>IF(보수일람표!U69="","",보수일람표!U69)</f>
        <v>0</v>
      </c>
      <c r="AS71" s="1121">
        <f>IF(보수일람표!V69="","",보수일람표!V69)</f>
        <v>0</v>
      </c>
      <c r="AT71" s="1122">
        <f>IF(보수일람표!W69="","",보수일람표!W69)</f>
        <v>0</v>
      </c>
      <c r="AU71" s="1123">
        <f>IF(보수일람표!X69="","",보수일람표!X69)</f>
        <v>0</v>
      </c>
      <c r="AV71" s="1124">
        <f>IF(보수일람표!Y69="","",보수일람표!Y69)</f>
        <v>0</v>
      </c>
      <c r="AW71" s="1187">
        <f>IF(보수일람표!Z69="","",보수일람표!Z69)</f>
        <v>0</v>
      </c>
      <c r="AX71" s="1134">
        <f>IF(보수일람표!AA69="","",보수일람표!AA69)</f>
        <v>0</v>
      </c>
    </row>
    <row r="72" spans="1:50" ht="17.25" thickBot="1">
      <c r="A72" s="819" t="str">
        <f>IF(데이터입력!X82="","X",데이터입력!X82)</f>
        <v>X</v>
      </c>
      <c r="B72" s="871">
        <f>데이터입력!Y82</f>
        <v>0</v>
      </c>
      <c r="C72" s="872"/>
      <c r="D72" s="851" t="str">
        <f>IF(데이터입력!AD82="","X",데이터입력!AD82)</f>
        <v>X</v>
      </c>
      <c r="E72" s="852">
        <f>데이터입력!AE82</f>
        <v>0</v>
      </c>
      <c r="F72" s="1067">
        <f>IF(D72="X",데이터입력!$Y$8,데이터입력!AF82)</f>
        <v>12</v>
      </c>
      <c r="K72" s="42"/>
      <c r="L72" s="12"/>
      <c r="M72" s="12"/>
      <c r="N72" s="12"/>
      <c r="O72" s="12" t="str">
        <f>IFERROR(IF(예산업로드양식!E67="","",IF(예산업로드양식!F67="06",예산업로드양식!E67,"")),"")</f>
        <v/>
      </c>
      <c r="P72" s="13" t="str">
        <f>IFERROR(IF(예산업로드양식!H67="","",IF(예산업로드양식!F67="06",예산업로드양식!H67,"")),"")</f>
        <v/>
      </c>
      <c r="Q72" s="7" t="str">
        <f t="shared" si="0"/>
        <v/>
      </c>
      <c r="R72" s="13"/>
      <c r="S72" s="218"/>
      <c r="T72" s="42"/>
      <c r="U72" s="12"/>
      <c r="V72" s="12"/>
      <c r="W72" s="12"/>
      <c r="X72" s="12" t="str">
        <f>IFERROR(IF(예산업로드양식!E67="","",IF(예산업로드양식!F67="07",예산업로드양식!E67,"")),"")</f>
        <v/>
      </c>
      <c r="Y72" s="13" t="str">
        <f>IFERROR(IF(예산업로드양식!H67="","",IF(예산업로드양식!F67="07",예산업로드양식!H67,"")),"")</f>
        <v/>
      </c>
      <c r="Z72" s="13"/>
      <c r="AA72" s="13"/>
      <c r="AB72" s="218"/>
      <c r="AC72" s="42"/>
      <c r="AD72" s="12"/>
      <c r="AE72" s="12"/>
      <c r="AF72" s="12"/>
      <c r="AG72" s="12" t="str">
        <f>IFERROR(IF(예산업로드양식!E67="","",IF(예산업로드양식!F67="05",예산업로드양식!E67,"")),"")</f>
        <v/>
      </c>
      <c r="AH72" s="13" t="str">
        <f>IFERROR(IF(예산업로드양식!H67="","",IF(예산업로드양식!F67="05",예산업로드양식!H67,"")),"")</f>
        <v/>
      </c>
      <c r="AI72" s="13"/>
      <c r="AJ72" s="13"/>
      <c r="AL72" s="1182" t="str">
        <f>IF(보수일람표!O70="","",보수일람표!O70)</f>
        <v/>
      </c>
      <c r="AM72" s="1183" t="str">
        <f>IF(보수일람표!P70="","",보수일람표!P70)</f>
        <v/>
      </c>
      <c r="AN72" s="1184">
        <f>IF(보수일람표!S70="","",보수일람표!S70)</f>
        <v>0</v>
      </c>
      <c r="AO72" s="1185">
        <f>IF(보수일람표!R70="","",보수일람표!R70)</f>
        <v>0</v>
      </c>
      <c r="AP72" s="1118">
        <f>IF(보수일람표!S70="","",보수일람표!S70)</f>
        <v>0</v>
      </c>
      <c r="AQ72" s="1186">
        <f>IF(보수일람표!T70="","",보수일람표!T70)</f>
        <v>0</v>
      </c>
      <c r="AR72" s="1120">
        <f>IF(보수일람표!U70="","",보수일람표!U70)</f>
        <v>0</v>
      </c>
      <c r="AS72" s="1121">
        <f>IF(보수일람표!V70="","",보수일람표!V70)</f>
        <v>0</v>
      </c>
      <c r="AT72" s="1122">
        <f>IF(보수일람표!W70="","",보수일람표!W70)</f>
        <v>0</v>
      </c>
      <c r="AU72" s="1123">
        <f>IF(보수일람표!X70="","",보수일람표!X70)</f>
        <v>0</v>
      </c>
      <c r="AV72" s="1124">
        <f>IF(보수일람표!Y70="","",보수일람표!Y70)</f>
        <v>0</v>
      </c>
      <c r="AW72" s="1187">
        <f>IF(보수일람표!Z70="","",보수일람표!Z70)</f>
        <v>0</v>
      </c>
      <c r="AX72" s="1134">
        <f>IF(보수일람표!AA70="","",보수일람표!AA70)</f>
        <v>0</v>
      </c>
    </row>
    <row r="73" spans="1:50" ht="17.25" thickBot="1">
      <c r="A73" s="827" t="s">
        <v>447</v>
      </c>
      <c r="B73" s="867">
        <f>데이터입력!Y83</f>
        <v>0.4</v>
      </c>
      <c r="C73" s="868"/>
      <c r="D73" s="822" t="s">
        <v>376</v>
      </c>
      <c r="E73" s="823"/>
      <c r="F73" s="823" t="s">
        <v>215</v>
      </c>
      <c r="K73" s="41"/>
      <c r="L73" s="10"/>
      <c r="M73" s="10"/>
      <c r="N73" s="10"/>
      <c r="O73" s="10" t="str">
        <f>IFERROR(IF(예산업로드양식!E68="","",IF(예산업로드양식!F68="06",예산업로드양식!E68,"")),"")</f>
        <v/>
      </c>
      <c r="P73" s="11" t="str">
        <f>IFERROR(IF(예산업로드양식!H68="","",IF(예산업로드양식!F68="06",예산업로드양식!H68,"")),"")</f>
        <v/>
      </c>
      <c r="Q73" s="11" t="str">
        <f t="shared" si="0"/>
        <v/>
      </c>
      <c r="R73" s="11"/>
      <c r="S73" s="218"/>
      <c r="T73" s="41"/>
      <c r="U73" s="10"/>
      <c r="V73" s="10"/>
      <c r="W73" s="10"/>
      <c r="X73" s="10" t="str">
        <f>IFERROR(IF(예산업로드양식!E68="","",IF(예산업로드양식!F68="07",예산업로드양식!E68,"")),"")</f>
        <v/>
      </c>
      <c r="Y73" s="11" t="str">
        <f>IFERROR(IF(예산업로드양식!H68="","",IF(예산업로드양식!F68="07",예산업로드양식!H68,"")),"")</f>
        <v/>
      </c>
      <c r="Z73" s="11"/>
      <c r="AA73" s="11"/>
      <c r="AB73" s="218"/>
      <c r="AC73" s="41"/>
      <c r="AD73" s="10"/>
      <c r="AE73" s="10"/>
      <c r="AF73" s="10"/>
      <c r="AG73" s="10" t="str">
        <f>IFERROR(IF(예산업로드양식!E68="","",IF(예산업로드양식!F68="05",예산업로드양식!E68,"")),"")</f>
        <v/>
      </c>
      <c r="AH73" s="11" t="str">
        <f>IFERROR(IF(예산업로드양식!H68="","",IF(예산업로드양식!F68="05",예산업로드양식!H68,"")),"")</f>
        <v/>
      </c>
      <c r="AI73" s="11"/>
      <c r="AJ73" s="11"/>
      <c r="AL73" s="1182" t="str">
        <f>IF(보수일람표!O71="","",보수일람표!O71)</f>
        <v/>
      </c>
      <c r="AM73" s="1183" t="str">
        <f>IF(보수일람표!P71="","",보수일람표!P71)</f>
        <v/>
      </c>
      <c r="AN73" s="1184">
        <f>IF(보수일람표!S71="","",보수일람표!S71)</f>
        <v>0</v>
      </c>
      <c r="AO73" s="1185">
        <f>IF(보수일람표!R71="","",보수일람표!R71)</f>
        <v>0</v>
      </c>
      <c r="AP73" s="1118">
        <f>IF(보수일람표!S71="","",보수일람표!S71)</f>
        <v>0</v>
      </c>
      <c r="AQ73" s="1186">
        <f>IF(보수일람표!T71="","",보수일람표!T71)</f>
        <v>0</v>
      </c>
      <c r="AR73" s="1120">
        <f>IF(보수일람표!U71="","",보수일람표!U71)</f>
        <v>0</v>
      </c>
      <c r="AS73" s="1121">
        <f>IF(보수일람표!V71="","",보수일람표!V71)</f>
        <v>0</v>
      </c>
      <c r="AT73" s="1122">
        <f>IF(보수일람표!W71="","",보수일람표!W71)</f>
        <v>0</v>
      </c>
      <c r="AU73" s="1123">
        <f>IF(보수일람표!X71="","",보수일람표!X71)</f>
        <v>0</v>
      </c>
      <c r="AV73" s="1124">
        <f>IF(보수일람표!Y71="","",보수일람표!Y71)</f>
        <v>0</v>
      </c>
      <c r="AW73" s="1187">
        <f>IF(보수일람표!Z71="","",보수일람표!Z71)</f>
        <v>0</v>
      </c>
      <c r="AX73" s="1134">
        <f>IF(보수일람표!AA71="","",보수일람표!AA71)</f>
        <v>0</v>
      </c>
    </row>
    <row r="74" spans="1:50">
      <c r="A74" s="1069" t="str">
        <f>IF(데이터입력!X84="","X",데이터입력!X84)</f>
        <v>판매용구취득비</v>
      </c>
      <c r="B74" s="869"/>
      <c r="C74" s="870"/>
      <c r="D74" s="1068" t="str">
        <f>IF(데이터입력!AD84="","X",데이터입력!AD84)</f>
        <v>비지정후원금</v>
      </c>
      <c r="E74" s="849"/>
      <c r="F74" s="1067">
        <f>IF(D74="X",데이터입력!$Y$8,데이터입력!AF84)</f>
        <v>12</v>
      </c>
      <c r="K74" s="42"/>
      <c r="L74" s="12"/>
      <c r="M74" s="12"/>
      <c r="N74" s="12"/>
      <c r="O74" s="12" t="str">
        <f>IFERROR(IF(예산업로드양식!E69="","",IF(예산업로드양식!F69="06",예산업로드양식!E69,"")),"")</f>
        <v/>
      </c>
      <c r="P74" s="13" t="str">
        <f>IFERROR(IF(예산업로드양식!H69="","",IF(예산업로드양식!F69="06",예산업로드양식!H69,"")),"")</f>
        <v/>
      </c>
      <c r="Q74" s="7" t="str">
        <f t="shared" ref="Q74:Q113" si="1">P74</f>
        <v/>
      </c>
      <c r="R74" s="13"/>
      <c r="S74" s="218"/>
      <c r="T74" s="42"/>
      <c r="U74" s="12"/>
      <c r="V74" s="12"/>
      <c r="W74" s="12"/>
      <c r="X74" s="12" t="str">
        <f>IFERROR(IF(예산업로드양식!E69="","",IF(예산업로드양식!F69="07",예산업로드양식!E69,"")),"")</f>
        <v/>
      </c>
      <c r="Y74" s="13" t="str">
        <f>IFERROR(IF(예산업로드양식!H69="","",IF(예산업로드양식!F69="07",예산업로드양식!H69,"")),"")</f>
        <v/>
      </c>
      <c r="Z74" s="13"/>
      <c r="AA74" s="13"/>
      <c r="AB74" s="218"/>
      <c r="AC74" s="42"/>
      <c r="AD74" s="12"/>
      <c r="AE74" s="12"/>
      <c r="AF74" s="12"/>
      <c r="AG74" s="12" t="str">
        <f>IFERROR(IF(예산업로드양식!E69="","",IF(예산업로드양식!F69="05",예산업로드양식!E69,"")),"")</f>
        <v/>
      </c>
      <c r="AH74" s="13" t="str">
        <f>IFERROR(IF(예산업로드양식!H69="","",IF(예산업로드양식!F69="05",예산업로드양식!H69,"")),"")</f>
        <v/>
      </c>
      <c r="AI74" s="13"/>
      <c r="AJ74" s="13"/>
      <c r="AL74" s="1182" t="str">
        <f>IF(보수일람표!O72="","",보수일람표!O72)</f>
        <v/>
      </c>
      <c r="AM74" s="1183" t="str">
        <f>IF(보수일람표!P72="","",보수일람표!P72)</f>
        <v/>
      </c>
      <c r="AN74" s="1184">
        <f>IF(보수일람표!S72="","",보수일람표!S72)</f>
        <v>0</v>
      </c>
      <c r="AO74" s="1185">
        <f>IF(보수일람표!R72="","",보수일람표!R72)</f>
        <v>0</v>
      </c>
      <c r="AP74" s="1118">
        <f>IF(보수일람표!S72="","",보수일람표!S72)</f>
        <v>0</v>
      </c>
      <c r="AQ74" s="1186">
        <f>IF(보수일람표!T72="","",보수일람표!T72)</f>
        <v>0</v>
      </c>
      <c r="AR74" s="1120">
        <f>IF(보수일람표!U72="","",보수일람표!U72)</f>
        <v>0</v>
      </c>
      <c r="AS74" s="1121">
        <f>IF(보수일람표!V72="","",보수일람표!V72)</f>
        <v>0</v>
      </c>
      <c r="AT74" s="1122">
        <f>IF(보수일람표!W72="","",보수일람표!W72)</f>
        <v>0</v>
      </c>
      <c r="AU74" s="1123">
        <f>IF(보수일람표!X72="","",보수일람표!X72)</f>
        <v>0</v>
      </c>
      <c r="AV74" s="1124">
        <f>IF(보수일람표!Y72="","",보수일람표!Y72)</f>
        <v>0</v>
      </c>
      <c r="AW74" s="1187">
        <f>IF(보수일람표!Z72="","",보수일람표!Z72)</f>
        <v>0</v>
      </c>
      <c r="AX74" s="1134">
        <f>IF(보수일람표!AA72="","",보수일람표!AA72)</f>
        <v>0</v>
      </c>
    </row>
    <row r="75" spans="1:50" ht="17.25" thickBot="1">
      <c r="A75" s="1070" t="str">
        <f>IF(데이터입력!X85="","X",데이터입력!X85)</f>
        <v>X</v>
      </c>
      <c r="B75" s="871">
        <f>데이터입력!Y85</f>
        <v>0</v>
      </c>
      <c r="C75" s="872"/>
      <c r="D75" s="861" t="str">
        <f>IF(데이터입력!AD85="","X",데이터입력!AD85)</f>
        <v>X</v>
      </c>
      <c r="E75" s="862">
        <f>데이터입력!AE85</f>
        <v>0</v>
      </c>
      <c r="F75" s="1067">
        <f>IF(D75="X",데이터입력!$Y$8,데이터입력!AF85)</f>
        <v>12</v>
      </c>
      <c r="K75" s="41"/>
      <c r="L75" s="10"/>
      <c r="M75" s="10"/>
      <c r="N75" s="10"/>
      <c r="O75" s="10" t="str">
        <f>IFERROR(IF(예산업로드양식!E70="","",IF(예산업로드양식!F70="06",예산업로드양식!E70,"")),"")</f>
        <v/>
      </c>
      <c r="P75" s="11" t="str">
        <f>IFERROR(IF(예산업로드양식!H70="","",IF(예산업로드양식!F70="06",예산업로드양식!H70,"")),"")</f>
        <v/>
      </c>
      <c r="Q75" s="11" t="str">
        <f t="shared" si="1"/>
        <v/>
      </c>
      <c r="R75" s="11"/>
      <c r="S75" s="218"/>
      <c r="T75" s="41"/>
      <c r="U75" s="10"/>
      <c r="V75" s="10"/>
      <c r="W75" s="10"/>
      <c r="X75" s="10" t="str">
        <f>IFERROR(IF(예산업로드양식!E70="","",IF(예산업로드양식!F70="07",예산업로드양식!E70,"")),"")</f>
        <v/>
      </c>
      <c r="Y75" s="11" t="str">
        <f>IFERROR(IF(예산업로드양식!H70="","",IF(예산업로드양식!F70="07",예산업로드양식!H70,"")),"")</f>
        <v/>
      </c>
      <c r="Z75" s="11"/>
      <c r="AA75" s="11"/>
      <c r="AB75" s="218"/>
      <c r="AC75" s="41"/>
      <c r="AD75" s="10"/>
      <c r="AE75" s="10"/>
      <c r="AF75" s="10"/>
      <c r="AG75" s="10" t="str">
        <f>IFERROR(IF(예산업로드양식!E70="","",IF(예산업로드양식!F70="05",예산업로드양식!E70,"")),"")</f>
        <v/>
      </c>
      <c r="AH75" s="11" t="str">
        <f>IFERROR(IF(예산업로드양식!H70="","",IF(예산업로드양식!F70="05",예산업로드양식!H70,"")),"")</f>
        <v/>
      </c>
      <c r="AI75" s="11"/>
      <c r="AJ75" s="11"/>
      <c r="AL75" s="1182" t="str">
        <f>IF(보수일람표!O73="","",보수일람표!O73)</f>
        <v/>
      </c>
      <c r="AM75" s="1183" t="str">
        <f>IF(보수일람표!P73="","",보수일람표!P73)</f>
        <v/>
      </c>
      <c r="AN75" s="1184">
        <f>IF(보수일람표!S73="","",보수일람표!S73)</f>
        <v>0</v>
      </c>
      <c r="AO75" s="1185">
        <f>IF(보수일람표!R73="","",보수일람표!R73)</f>
        <v>0</v>
      </c>
      <c r="AP75" s="1118">
        <f>IF(보수일람표!S73="","",보수일람표!S73)</f>
        <v>0</v>
      </c>
      <c r="AQ75" s="1186">
        <f>IF(보수일람표!T73="","",보수일람표!T73)</f>
        <v>0</v>
      </c>
      <c r="AR75" s="1120">
        <f>IF(보수일람표!U73="","",보수일람표!U73)</f>
        <v>0</v>
      </c>
      <c r="AS75" s="1121">
        <f>IF(보수일람표!V73="","",보수일람표!V73)</f>
        <v>0</v>
      </c>
      <c r="AT75" s="1122">
        <f>IF(보수일람표!W73="","",보수일람표!W73)</f>
        <v>0</v>
      </c>
      <c r="AU75" s="1123">
        <f>IF(보수일람표!X73="","",보수일람표!X73)</f>
        <v>0</v>
      </c>
      <c r="AV75" s="1124">
        <f>IF(보수일람표!Y73="","",보수일람표!Y73)</f>
        <v>0</v>
      </c>
      <c r="AW75" s="1187">
        <f>IF(보수일람표!Z73="","",보수일람표!Z73)</f>
        <v>0</v>
      </c>
      <c r="AX75" s="1134">
        <f>IF(보수일람표!AA73="","",보수일람표!AA73)</f>
        <v>0</v>
      </c>
    </row>
    <row r="76" spans="1:50">
      <c r="K76" s="42"/>
      <c r="L76" s="12"/>
      <c r="M76" s="12"/>
      <c r="N76" s="12"/>
      <c r="O76" s="12" t="str">
        <f>IFERROR(IF(예산업로드양식!E71="","",IF(예산업로드양식!F71="06",예산업로드양식!E71,"")),"")</f>
        <v/>
      </c>
      <c r="P76" s="13" t="str">
        <f>IFERROR(IF(예산업로드양식!H71="","",IF(예산업로드양식!F71="06",예산업로드양식!H71,"")),"")</f>
        <v/>
      </c>
      <c r="Q76" s="7" t="str">
        <f t="shared" si="1"/>
        <v/>
      </c>
      <c r="R76" s="13"/>
      <c r="S76" s="218"/>
      <c r="T76" s="42"/>
      <c r="U76" s="12"/>
      <c r="V76" s="12"/>
      <c r="W76" s="12"/>
      <c r="X76" s="12" t="str">
        <f>IFERROR(IF(예산업로드양식!E71="","",IF(예산업로드양식!F71="07",예산업로드양식!E71,"")),"")</f>
        <v/>
      </c>
      <c r="Y76" s="13" t="str">
        <f>IFERROR(IF(예산업로드양식!H71="","",IF(예산업로드양식!F71="07",예산업로드양식!H71,"")),"")</f>
        <v/>
      </c>
      <c r="Z76" s="13"/>
      <c r="AA76" s="13"/>
      <c r="AB76" s="218"/>
      <c r="AC76" s="42"/>
      <c r="AD76" s="12"/>
      <c r="AE76" s="12"/>
      <c r="AF76" s="12"/>
      <c r="AG76" s="12" t="str">
        <f>IFERROR(IF(예산업로드양식!E71="","",IF(예산업로드양식!F71="05",예산업로드양식!E71,"")),"")</f>
        <v/>
      </c>
      <c r="AH76" s="13" t="str">
        <f>IFERROR(IF(예산업로드양식!H71="","",IF(예산업로드양식!F71="05",예산업로드양식!H71,"")),"")</f>
        <v/>
      </c>
      <c r="AI76" s="13"/>
      <c r="AJ76" s="13"/>
      <c r="AL76" s="1182" t="str">
        <f>IF(보수일람표!O74="","",보수일람표!O74)</f>
        <v/>
      </c>
      <c r="AM76" s="1183" t="str">
        <f>IF(보수일람표!P74="","",보수일람표!P74)</f>
        <v/>
      </c>
      <c r="AN76" s="1184">
        <f>IF(보수일람표!S74="","",보수일람표!S74)</f>
        <v>0</v>
      </c>
      <c r="AO76" s="1185">
        <f>IF(보수일람표!R74="","",보수일람표!R74)</f>
        <v>0</v>
      </c>
      <c r="AP76" s="1118">
        <f>IF(보수일람표!S74="","",보수일람표!S74)</f>
        <v>0</v>
      </c>
      <c r="AQ76" s="1186">
        <f>IF(보수일람표!T74="","",보수일람표!T74)</f>
        <v>0</v>
      </c>
      <c r="AR76" s="1120">
        <f>IF(보수일람표!U74="","",보수일람표!U74)</f>
        <v>0</v>
      </c>
      <c r="AS76" s="1121">
        <f>IF(보수일람표!V74="","",보수일람표!V74)</f>
        <v>0</v>
      </c>
      <c r="AT76" s="1122">
        <f>IF(보수일람표!W74="","",보수일람표!W74)</f>
        <v>0</v>
      </c>
      <c r="AU76" s="1123">
        <f>IF(보수일람표!X74="","",보수일람표!X74)</f>
        <v>0</v>
      </c>
      <c r="AV76" s="1124">
        <f>IF(보수일람표!Y74="","",보수일람표!Y74)</f>
        <v>0</v>
      </c>
      <c r="AW76" s="1187">
        <f>IF(보수일람표!Z74="","",보수일람표!Z74)</f>
        <v>0</v>
      </c>
      <c r="AX76" s="1134">
        <f>IF(보수일람표!AA74="","",보수일람표!AA74)</f>
        <v>0</v>
      </c>
    </row>
    <row r="77" spans="1:50">
      <c r="K77" s="41"/>
      <c r="L77" s="10"/>
      <c r="M77" s="10"/>
      <c r="N77" s="10"/>
      <c r="O77" s="10" t="str">
        <f>IFERROR(IF(예산업로드양식!E72="","",IF(예산업로드양식!F72="06",예산업로드양식!E72,"")),"")</f>
        <v/>
      </c>
      <c r="P77" s="11" t="str">
        <f>IFERROR(IF(예산업로드양식!H72="","",IF(예산업로드양식!F72="06",예산업로드양식!H72,"")),"")</f>
        <v/>
      </c>
      <c r="Q77" s="11" t="str">
        <f t="shared" si="1"/>
        <v/>
      </c>
      <c r="R77" s="11"/>
      <c r="S77" s="218"/>
      <c r="T77" s="41"/>
      <c r="U77" s="10"/>
      <c r="V77" s="10"/>
      <c r="W77" s="10"/>
      <c r="X77" s="10" t="str">
        <f>IFERROR(IF(예산업로드양식!E72="","",IF(예산업로드양식!F72="07",예산업로드양식!E72,"")),"")</f>
        <v/>
      </c>
      <c r="Y77" s="11" t="str">
        <f>IFERROR(IF(예산업로드양식!H72="","",IF(예산업로드양식!F72="07",예산업로드양식!H72,"")),"")</f>
        <v/>
      </c>
      <c r="Z77" s="11"/>
      <c r="AA77" s="11"/>
      <c r="AB77" s="218"/>
      <c r="AC77" s="41"/>
      <c r="AD77" s="10"/>
      <c r="AE77" s="10"/>
      <c r="AF77" s="10"/>
      <c r="AG77" s="10" t="str">
        <f>IFERROR(IF(예산업로드양식!E72="","",IF(예산업로드양식!F72="05",예산업로드양식!E72,"")),"")</f>
        <v/>
      </c>
      <c r="AH77" s="11" t="str">
        <f>IFERROR(IF(예산업로드양식!H72="","",IF(예산업로드양식!F72="05",예산업로드양식!H72,"")),"")</f>
        <v/>
      </c>
      <c r="AI77" s="11"/>
      <c r="AJ77" s="11"/>
      <c r="AL77" s="1182" t="str">
        <f>IF(보수일람표!O75="","",보수일람표!O75)</f>
        <v/>
      </c>
      <c r="AM77" s="1183" t="str">
        <f>IF(보수일람표!P75="","",보수일람표!P75)</f>
        <v/>
      </c>
      <c r="AN77" s="1184">
        <f>IF(보수일람표!S75="","",보수일람표!S75)</f>
        <v>0</v>
      </c>
      <c r="AO77" s="1185">
        <f>IF(보수일람표!R75="","",보수일람표!R75)</f>
        <v>0</v>
      </c>
      <c r="AP77" s="1118">
        <f>IF(보수일람표!S75="","",보수일람표!S75)</f>
        <v>0</v>
      </c>
      <c r="AQ77" s="1186">
        <f>IF(보수일람표!T75="","",보수일람표!T75)</f>
        <v>0</v>
      </c>
      <c r="AR77" s="1120">
        <f>IF(보수일람표!U75="","",보수일람표!U75)</f>
        <v>0</v>
      </c>
      <c r="AS77" s="1121">
        <f>IF(보수일람표!V75="","",보수일람표!V75)</f>
        <v>0</v>
      </c>
      <c r="AT77" s="1122">
        <f>IF(보수일람표!W75="","",보수일람표!W75)</f>
        <v>0</v>
      </c>
      <c r="AU77" s="1123">
        <f>IF(보수일람표!X75="","",보수일람표!X75)</f>
        <v>0</v>
      </c>
      <c r="AV77" s="1124">
        <f>IF(보수일람표!Y75="","",보수일람표!Y75)</f>
        <v>0</v>
      </c>
      <c r="AW77" s="1187">
        <f>IF(보수일람표!Z75="","",보수일람표!Z75)</f>
        <v>0</v>
      </c>
      <c r="AX77" s="1134">
        <f>IF(보수일람표!AA75="","",보수일람표!AA75)</f>
        <v>0</v>
      </c>
    </row>
    <row r="78" spans="1:50">
      <c r="K78" s="42"/>
      <c r="L78" s="12"/>
      <c r="M78" s="12"/>
      <c r="N78" s="12"/>
      <c r="O78" s="12" t="str">
        <f>IFERROR(IF(예산업로드양식!E73="","",IF(예산업로드양식!F73="06",예산업로드양식!E73,"")),"")</f>
        <v/>
      </c>
      <c r="P78" s="13" t="str">
        <f>IFERROR(IF(예산업로드양식!H73="","",IF(예산업로드양식!F73="06",예산업로드양식!H73,"")),"")</f>
        <v/>
      </c>
      <c r="Q78" s="7" t="str">
        <f t="shared" si="1"/>
        <v/>
      </c>
      <c r="R78" s="13"/>
      <c r="S78" s="218"/>
      <c r="T78" s="42"/>
      <c r="U78" s="12"/>
      <c r="V78" s="12"/>
      <c r="W78" s="12"/>
      <c r="X78" s="12" t="str">
        <f>IFERROR(IF(예산업로드양식!E73="","",IF(예산업로드양식!F73="07",예산업로드양식!E73,"")),"")</f>
        <v/>
      </c>
      <c r="Y78" s="13" t="str">
        <f>IFERROR(IF(예산업로드양식!H73="","",IF(예산업로드양식!F73="07",예산업로드양식!H73,"")),"")</f>
        <v/>
      </c>
      <c r="Z78" s="13"/>
      <c r="AA78" s="13"/>
      <c r="AB78" s="218"/>
      <c r="AC78" s="42"/>
      <c r="AD78" s="12"/>
      <c r="AE78" s="12"/>
      <c r="AF78" s="12"/>
      <c r="AG78" s="12" t="str">
        <f>IFERROR(IF(예산업로드양식!E73="","",IF(예산업로드양식!F73="05",예산업로드양식!E73,"")),"")</f>
        <v/>
      </c>
      <c r="AH78" s="13" t="str">
        <f>IFERROR(IF(예산업로드양식!H73="","",IF(예산업로드양식!F73="05",예산업로드양식!H73,"")),"")</f>
        <v/>
      </c>
      <c r="AI78" s="13"/>
      <c r="AJ78" s="13"/>
      <c r="AL78" s="1182" t="str">
        <f>IF(보수일람표!O76="","",보수일람표!O76)</f>
        <v/>
      </c>
      <c r="AM78" s="1183" t="str">
        <f>IF(보수일람표!P76="","",보수일람표!P76)</f>
        <v/>
      </c>
      <c r="AN78" s="1184">
        <f>IF(보수일람표!S76="","",보수일람표!S76)</f>
        <v>0</v>
      </c>
      <c r="AO78" s="1185">
        <f>IF(보수일람표!R76="","",보수일람표!R76)</f>
        <v>0</v>
      </c>
      <c r="AP78" s="1118">
        <f>IF(보수일람표!S76="","",보수일람표!S76)</f>
        <v>0</v>
      </c>
      <c r="AQ78" s="1186">
        <f>IF(보수일람표!T76="","",보수일람표!T76)</f>
        <v>0</v>
      </c>
      <c r="AR78" s="1120">
        <f>IF(보수일람표!U76="","",보수일람표!U76)</f>
        <v>0</v>
      </c>
      <c r="AS78" s="1121">
        <f>IF(보수일람표!V76="","",보수일람표!V76)</f>
        <v>0</v>
      </c>
      <c r="AT78" s="1122">
        <f>IF(보수일람표!W76="","",보수일람표!W76)</f>
        <v>0</v>
      </c>
      <c r="AU78" s="1123">
        <f>IF(보수일람표!X76="","",보수일람표!X76)</f>
        <v>0</v>
      </c>
      <c r="AV78" s="1124">
        <f>IF(보수일람표!Y76="","",보수일람표!Y76)</f>
        <v>0</v>
      </c>
      <c r="AW78" s="1187">
        <f>IF(보수일람표!Z76="","",보수일람표!Z76)</f>
        <v>0</v>
      </c>
      <c r="AX78" s="1134">
        <f>IF(보수일람표!AA76="","",보수일람표!AA76)</f>
        <v>0</v>
      </c>
    </row>
    <row r="79" spans="1:50">
      <c r="K79" s="41"/>
      <c r="L79" s="10"/>
      <c r="M79" s="10"/>
      <c r="N79" s="10"/>
      <c r="O79" s="10" t="str">
        <f>IFERROR(IF(예산업로드양식!E74="","",IF(예산업로드양식!F74="06",예산업로드양식!E74,"")),"")</f>
        <v/>
      </c>
      <c r="P79" s="11" t="str">
        <f>IFERROR(IF(예산업로드양식!H74="","",IF(예산업로드양식!F74="06",예산업로드양식!H74,"")),"")</f>
        <v/>
      </c>
      <c r="Q79" s="11" t="str">
        <f t="shared" si="1"/>
        <v/>
      </c>
      <c r="R79" s="11"/>
      <c r="S79" s="218"/>
      <c r="T79" s="41"/>
      <c r="U79" s="10"/>
      <c r="V79" s="10"/>
      <c r="W79" s="10"/>
      <c r="X79" s="10" t="str">
        <f>IFERROR(IF(예산업로드양식!E74="","",IF(예산업로드양식!F74="07",예산업로드양식!E74,"")),"")</f>
        <v/>
      </c>
      <c r="Y79" s="11" t="str">
        <f>IFERROR(IF(예산업로드양식!H74="","",IF(예산업로드양식!F74="07",예산업로드양식!H74,"")),"")</f>
        <v/>
      </c>
      <c r="Z79" s="11"/>
      <c r="AA79" s="11"/>
      <c r="AB79" s="218"/>
      <c r="AC79" s="41"/>
      <c r="AD79" s="10"/>
      <c r="AE79" s="10"/>
      <c r="AF79" s="10"/>
      <c r="AG79" s="10" t="str">
        <f>IFERROR(IF(예산업로드양식!E74="","",IF(예산업로드양식!F74="05",예산업로드양식!E74,"")),"")</f>
        <v/>
      </c>
      <c r="AH79" s="11" t="str">
        <f>IFERROR(IF(예산업로드양식!H74="","",IF(예산업로드양식!F74="05",예산업로드양식!H74,"")),"")</f>
        <v/>
      </c>
      <c r="AI79" s="11"/>
      <c r="AJ79" s="11"/>
      <c r="AL79" s="1182" t="str">
        <f>IF(보수일람표!O77="","",보수일람표!O77)</f>
        <v/>
      </c>
      <c r="AM79" s="1183" t="str">
        <f>IF(보수일람표!P77="","",보수일람표!P77)</f>
        <v/>
      </c>
      <c r="AN79" s="1184">
        <f>IF(보수일람표!S77="","",보수일람표!S77)</f>
        <v>0</v>
      </c>
      <c r="AO79" s="1185">
        <f>IF(보수일람표!R77="","",보수일람표!R77)</f>
        <v>0</v>
      </c>
      <c r="AP79" s="1118">
        <f>IF(보수일람표!S77="","",보수일람표!S77)</f>
        <v>0</v>
      </c>
      <c r="AQ79" s="1186">
        <f>IF(보수일람표!T77="","",보수일람표!T77)</f>
        <v>0</v>
      </c>
      <c r="AR79" s="1120">
        <f>IF(보수일람표!U77="","",보수일람표!U77)</f>
        <v>0</v>
      </c>
      <c r="AS79" s="1121">
        <f>IF(보수일람표!V77="","",보수일람표!V77)</f>
        <v>0</v>
      </c>
      <c r="AT79" s="1122">
        <f>IF(보수일람표!W77="","",보수일람표!W77)</f>
        <v>0</v>
      </c>
      <c r="AU79" s="1123">
        <f>IF(보수일람표!X77="","",보수일람표!X77)</f>
        <v>0</v>
      </c>
      <c r="AV79" s="1124">
        <f>IF(보수일람표!Y77="","",보수일람표!Y77)</f>
        <v>0</v>
      </c>
      <c r="AW79" s="1187">
        <f>IF(보수일람표!Z77="","",보수일람표!Z77)</f>
        <v>0</v>
      </c>
      <c r="AX79" s="1134">
        <f>IF(보수일람표!AA77="","",보수일람표!AA77)</f>
        <v>0</v>
      </c>
    </row>
    <row r="80" spans="1:50">
      <c r="K80" s="42"/>
      <c r="L80" s="12"/>
      <c r="M80" s="12"/>
      <c r="N80" s="12"/>
      <c r="O80" s="12" t="str">
        <f>IFERROR(IF(예산업로드양식!E75="","",IF(예산업로드양식!F75="06",예산업로드양식!E75,"")),"")</f>
        <v/>
      </c>
      <c r="P80" s="13" t="str">
        <f>IFERROR(IF(예산업로드양식!H75="","",IF(예산업로드양식!F75="06",예산업로드양식!H75,"")),"")</f>
        <v/>
      </c>
      <c r="Q80" s="7" t="str">
        <f t="shared" si="1"/>
        <v/>
      </c>
      <c r="R80" s="13"/>
      <c r="S80" s="218"/>
      <c r="T80" s="42"/>
      <c r="U80" s="12"/>
      <c r="V80" s="12"/>
      <c r="W80" s="12"/>
      <c r="X80" s="12" t="str">
        <f>IFERROR(IF(예산업로드양식!E75="","",IF(예산업로드양식!F75="07",예산업로드양식!E75,"")),"")</f>
        <v/>
      </c>
      <c r="Y80" s="13" t="str">
        <f>IFERROR(IF(예산업로드양식!H75="","",IF(예산업로드양식!F75="07",예산업로드양식!H75,"")),"")</f>
        <v/>
      </c>
      <c r="Z80" s="13"/>
      <c r="AA80" s="13"/>
      <c r="AB80" s="218"/>
      <c r="AC80" s="42"/>
      <c r="AD80" s="12"/>
      <c r="AE80" s="12"/>
      <c r="AF80" s="12"/>
      <c r="AG80" s="12" t="str">
        <f>IFERROR(IF(예산업로드양식!E75="","",IF(예산업로드양식!F75="05",예산업로드양식!E75,"")),"")</f>
        <v/>
      </c>
      <c r="AH80" s="13" t="str">
        <f>IFERROR(IF(예산업로드양식!H75="","",IF(예산업로드양식!F75="05",예산업로드양식!H75,"")),"")</f>
        <v/>
      </c>
      <c r="AI80" s="13"/>
      <c r="AJ80" s="13"/>
      <c r="AL80" s="1182" t="str">
        <f>IF(보수일람표!O78="","",보수일람표!O78)</f>
        <v/>
      </c>
      <c r="AM80" s="1183" t="str">
        <f>IF(보수일람표!P78="","",보수일람표!P78)</f>
        <v/>
      </c>
      <c r="AN80" s="1184">
        <f>IF(보수일람표!S78="","",보수일람표!S78)</f>
        <v>0</v>
      </c>
      <c r="AO80" s="1185">
        <f>IF(보수일람표!R78="","",보수일람표!R78)</f>
        <v>0</v>
      </c>
      <c r="AP80" s="1118">
        <f>IF(보수일람표!S78="","",보수일람표!S78)</f>
        <v>0</v>
      </c>
      <c r="AQ80" s="1186">
        <f>IF(보수일람표!T78="","",보수일람표!T78)</f>
        <v>0</v>
      </c>
      <c r="AR80" s="1120">
        <f>IF(보수일람표!U78="","",보수일람표!U78)</f>
        <v>0</v>
      </c>
      <c r="AS80" s="1121">
        <f>IF(보수일람표!V78="","",보수일람표!V78)</f>
        <v>0</v>
      </c>
      <c r="AT80" s="1122">
        <f>IF(보수일람표!W78="","",보수일람표!W78)</f>
        <v>0</v>
      </c>
      <c r="AU80" s="1123">
        <f>IF(보수일람표!X78="","",보수일람표!X78)</f>
        <v>0</v>
      </c>
      <c r="AV80" s="1124">
        <f>IF(보수일람표!Y78="","",보수일람표!Y78)</f>
        <v>0</v>
      </c>
      <c r="AW80" s="1187">
        <f>IF(보수일람표!Z78="","",보수일람표!Z78)</f>
        <v>0</v>
      </c>
      <c r="AX80" s="1134">
        <f>IF(보수일람표!AA78="","",보수일람표!AA78)</f>
        <v>0</v>
      </c>
    </row>
    <row r="81" spans="11:50">
      <c r="K81" s="41"/>
      <c r="L81" s="10"/>
      <c r="M81" s="10"/>
      <c r="N81" s="10"/>
      <c r="O81" s="10" t="str">
        <f>IFERROR(IF(예산업로드양식!E76="","",IF(예산업로드양식!F76="06",예산업로드양식!E76,"")),"")</f>
        <v/>
      </c>
      <c r="P81" s="11" t="str">
        <f>IFERROR(IF(예산업로드양식!H76="","",IF(예산업로드양식!F76="06",예산업로드양식!H76,"")),"")</f>
        <v/>
      </c>
      <c r="Q81" s="11" t="str">
        <f t="shared" si="1"/>
        <v/>
      </c>
      <c r="R81" s="11"/>
      <c r="S81" s="218"/>
      <c r="T81" s="41"/>
      <c r="U81" s="10"/>
      <c r="V81" s="10"/>
      <c r="W81" s="10"/>
      <c r="X81" s="10" t="str">
        <f>IFERROR(IF(예산업로드양식!E76="","",IF(예산업로드양식!F76="07",예산업로드양식!E76,"")),"")</f>
        <v/>
      </c>
      <c r="Y81" s="11" t="str">
        <f>IFERROR(IF(예산업로드양식!H76="","",IF(예산업로드양식!F76="07",예산업로드양식!H76,"")),"")</f>
        <v/>
      </c>
      <c r="Z81" s="11"/>
      <c r="AA81" s="11"/>
      <c r="AB81" s="218"/>
      <c r="AC81" s="41"/>
      <c r="AD81" s="10"/>
      <c r="AE81" s="10"/>
      <c r="AF81" s="10"/>
      <c r="AG81" s="10" t="str">
        <f>IFERROR(IF(예산업로드양식!E76="","",IF(예산업로드양식!F76="05",예산업로드양식!E76,"")),"")</f>
        <v/>
      </c>
      <c r="AH81" s="11" t="str">
        <f>IFERROR(IF(예산업로드양식!H76="","",IF(예산업로드양식!F76="05",예산업로드양식!H76,"")),"")</f>
        <v/>
      </c>
      <c r="AI81" s="11"/>
      <c r="AJ81" s="11"/>
      <c r="AL81" s="1182" t="str">
        <f>IF(보수일람표!O79="","",보수일람표!O79)</f>
        <v/>
      </c>
      <c r="AM81" s="1183" t="str">
        <f>IF(보수일람표!P79="","",보수일람표!P79)</f>
        <v/>
      </c>
      <c r="AN81" s="1184">
        <f>IF(보수일람표!S79="","",보수일람표!S79)</f>
        <v>0</v>
      </c>
      <c r="AO81" s="1185">
        <f>IF(보수일람표!R79="","",보수일람표!R79)</f>
        <v>0</v>
      </c>
      <c r="AP81" s="1118">
        <f>IF(보수일람표!S79="","",보수일람표!S79)</f>
        <v>0</v>
      </c>
      <c r="AQ81" s="1186">
        <f>IF(보수일람표!T79="","",보수일람표!T79)</f>
        <v>0</v>
      </c>
      <c r="AR81" s="1120">
        <f>IF(보수일람표!U79="","",보수일람표!U79)</f>
        <v>0</v>
      </c>
      <c r="AS81" s="1121">
        <f>IF(보수일람표!V79="","",보수일람표!V79)</f>
        <v>0</v>
      </c>
      <c r="AT81" s="1122">
        <f>IF(보수일람표!W79="","",보수일람표!W79)</f>
        <v>0</v>
      </c>
      <c r="AU81" s="1123">
        <f>IF(보수일람표!X79="","",보수일람표!X79)</f>
        <v>0</v>
      </c>
      <c r="AV81" s="1124">
        <f>IF(보수일람표!Y79="","",보수일람표!Y79)</f>
        <v>0</v>
      </c>
      <c r="AW81" s="1187">
        <f>IF(보수일람표!Z79="","",보수일람표!Z79)</f>
        <v>0</v>
      </c>
      <c r="AX81" s="1134">
        <f>IF(보수일람표!AA79="","",보수일람표!AA79)</f>
        <v>0</v>
      </c>
    </row>
    <row r="82" spans="11:50">
      <c r="K82" s="42"/>
      <c r="L82" s="12"/>
      <c r="M82" s="12"/>
      <c r="N82" s="12"/>
      <c r="O82" s="12" t="str">
        <f>IFERROR(IF(예산업로드양식!E77="","",IF(예산업로드양식!F77="06",예산업로드양식!E77,"")),"")</f>
        <v/>
      </c>
      <c r="P82" s="13" t="str">
        <f>IFERROR(IF(예산업로드양식!H77="","",IF(예산업로드양식!F77="06",예산업로드양식!H77,"")),"")</f>
        <v/>
      </c>
      <c r="Q82" s="7" t="str">
        <f t="shared" si="1"/>
        <v/>
      </c>
      <c r="R82" s="13"/>
      <c r="S82" s="218"/>
      <c r="T82" s="42"/>
      <c r="U82" s="12"/>
      <c r="V82" s="12"/>
      <c r="W82" s="12"/>
      <c r="X82" s="12" t="str">
        <f>IFERROR(IF(예산업로드양식!E77="","",IF(예산업로드양식!F77="07",예산업로드양식!E77,"")),"")</f>
        <v/>
      </c>
      <c r="Y82" s="13" t="str">
        <f>IFERROR(IF(예산업로드양식!H77="","",IF(예산업로드양식!F77="07",예산업로드양식!H77,"")),"")</f>
        <v/>
      </c>
      <c r="Z82" s="13"/>
      <c r="AA82" s="13"/>
      <c r="AB82" s="218"/>
      <c r="AC82" s="42"/>
      <c r="AD82" s="12"/>
      <c r="AE82" s="12"/>
      <c r="AF82" s="12"/>
      <c r="AG82" s="12" t="str">
        <f>IFERROR(IF(예산업로드양식!E77="","",IF(예산업로드양식!F77="05",예산업로드양식!E77,"")),"")</f>
        <v/>
      </c>
      <c r="AH82" s="13" t="str">
        <f>IFERROR(IF(예산업로드양식!H77="","",IF(예산업로드양식!F77="05",예산업로드양식!H77,"")),"")</f>
        <v/>
      </c>
      <c r="AI82" s="13"/>
      <c r="AJ82" s="13"/>
      <c r="AL82" s="1182" t="str">
        <f>IF(보수일람표!O80="","",보수일람표!O80)</f>
        <v/>
      </c>
      <c r="AM82" s="1183" t="str">
        <f>IF(보수일람표!P80="","",보수일람표!P80)</f>
        <v/>
      </c>
      <c r="AN82" s="1184">
        <f>IF(보수일람표!S80="","",보수일람표!S80)</f>
        <v>0</v>
      </c>
      <c r="AO82" s="1185">
        <f>IF(보수일람표!R80="","",보수일람표!R80)</f>
        <v>0</v>
      </c>
      <c r="AP82" s="1118">
        <f>IF(보수일람표!S80="","",보수일람표!S80)</f>
        <v>0</v>
      </c>
      <c r="AQ82" s="1186">
        <f>IF(보수일람표!T80="","",보수일람표!T80)</f>
        <v>0</v>
      </c>
      <c r="AR82" s="1120">
        <f>IF(보수일람표!U80="","",보수일람표!U80)</f>
        <v>0</v>
      </c>
      <c r="AS82" s="1121">
        <f>IF(보수일람표!V80="","",보수일람표!V80)</f>
        <v>0</v>
      </c>
      <c r="AT82" s="1122">
        <f>IF(보수일람표!W80="","",보수일람표!W80)</f>
        <v>0</v>
      </c>
      <c r="AU82" s="1123">
        <f>IF(보수일람표!X80="","",보수일람표!X80)</f>
        <v>0</v>
      </c>
      <c r="AV82" s="1124">
        <f>IF(보수일람표!Y80="","",보수일람표!Y80)</f>
        <v>0</v>
      </c>
      <c r="AW82" s="1187">
        <f>IF(보수일람표!Z80="","",보수일람표!Z80)</f>
        <v>0</v>
      </c>
      <c r="AX82" s="1134">
        <f>IF(보수일람표!AA80="","",보수일람표!AA80)</f>
        <v>0</v>
      </c>
    </row>
    <row r="83" spans="11:50">
      <c r="K83" s="41"/>
      <c r="L83" s="10"/>
      <c r="M83" s="10"/>
      <c r="N83" s="10"/>
      <c r="O83" s="10" t="str">
        <f>IFERROR(IF(예산업로드양식!E78="","",IF(예산업로드양식!F78="06",예산업로드양식!E78,"")),"")</f>
        <v/>
      </c>
      <c r="P83" s="11" t="str">
        <f>IFERROR(IF(예산업로드양식!H78="","",IF(예산업로드양식!F78="06",예산업로드양식!H78,"")),"")</f>
        <v/>
      </c>
      <c r="Q83" s="11" t="str">
        <f t="shared" si="1"/>
        <v/>
      </c>
      <c r="R83" s="11"/>
      <c r="S83" s="218"/>
      <c r="T83" s="41"/>
      <c r="U83" s="10"/>
      <c r="V83" s="10"/>
      <c r="W83" s="10"/>
      <c r="X83" s="10" t="str">
        <f>IFERROR(IF(예산업로드양식!E78="","",IF(예산업로드양식!F78="07",예산업로드양식!E78,"")),"")</f>
        <v/>
      </c>
      <c r="Y83" s="11" t="str">
        <f>IFERROR(IF(예산업로드양식!H78="","",IF(예산업로드양식!F78="07",예산업로드양식!H78,"")),"")</f>
        <v/>
      </c>
      <c r="Z83" s="11"/>
      <c r="AA83" s="11"/>
      <c r="AB83" s="218"/>
      <c r="AC83" s="41"/>
      <c r="AD83" s="10"/>
      <c r="AE83" s="10"/>
      <c r="AF83" s="10"/>
      <c r="AG83" s="10" t="str">
        <f>IFERROR(IF(예산업로드양식!E78="","",IF(예산업로드양식!F78="05",예산업로드양식!E78,"")),"")</f>
        <v/>
      </c>
      <c r="AH83" s="11" t="str">
        <f>IFERROR(IF(예산업로드양식!H78="","",IF(예산업로드양식!F78="05",예산업로드양식!H78,"")),"")</f>
        <v/>
      </c>
      <c r="AI83" s="11"/>
      <c r="AJ83" s="11"/>
      <c r="AL83" s="1182" t="str">
        <f>IF(보수일람표!O81="","",보수일람표!O81)</f>
        <v/>
      </c>
      <c r="AM83" s="1183" t="str">
        <f>IF(보수일람표!P81="","",보수일람표!P81)</f>
        <v/>
      </c>
      <c r="AN83" s="1184">
        <f>IF(보수일람표!S81="","",보수일람표!S81)</f>
        <v>0</v>
      </c>
      <c r="AO83" s="1185">
        <f>IF(보수일람표!R81="","",보수일람표!R81)</f>
        <v>0</v>
      </c>
      <c r="AP83" s="1118">
        <f>IF(보수일람표!S81="","",보수일람표!S81)</f>
        <v>0</v>
      </c>
      <c r="AQ83" s="1186">
        <f>IF(보수일람표!T81="","",보수일람표!T81)</f>
        <v>0</v>
      </c>
      <c r="AR83" s="1120">
        <f>IF(보수일람표!U81="","",보수일람표!U81)</f>
        <v>0</v>
      </c>
      <c r="AS83" s="1121">
        <f>IF(보수일람표!V81="","",보수일람표!V81)</f>
        <v>0</v>
      </c>
      <c r="AT83" s="1122">
        <f>IF(보수일람표!W81="","",보수일람표!W81)</f>
        <v>0</v>
      </c>
      <c r="AU83" s="1123">
        <f>IF(보수일람표!X81="","",보수일람표!X81)</f>
        <v>0</v>
      </c>
      <c r="AV83" s="1124">
        <f>IF(보수일람표!Y81="","",보수일람표!Y81)</f>
        <v>0</v>
      </c>
      <c r="AW83" s="1187">
        <f>IF(보수일람표!Z81="","",보수일람표!Z81)</f>
        <v>0</v>
      </c>
      <c r="AX83" s="1134">
        <f>IF(보수일람표!AA81="","",보수일람표!AA81)</f>
        <v>0</v>
      </c>
    </row>
    <row r="84" spans="11:50">
      <c r="K84" s="42"/>
      <c r="L84" s="12"/>
      <c r="M84" s="12"/>
      <c r="N84" s="12"/>
      <c r="O84" s="12" t="str">
        <f>IFERROR(IF(예산업로드양식!E79="","",IF(예산업로드양식!F79="06",예산업로드양식!E79,"")),"")</f>
        <v/>
      </c>
      <c r="P84" s="13" t="str">
        <f>IFERROR(IF(예산업로드양식!H79="","",IF(예산업로드양식!F79="06",예산업로드양식!H79,"")),"")</f>
        <v/>
      </c>
      <c r="Q84" s="7" t="str">
        <f t="shared" si="1"/>
        <v/>
      </c>
      <c r="R84" s="13"/>
      <c r="S84" s="218"/>
      <c r="T84" s="42"/>
      <c r="U84" s="12"/>
      <c r="V84" s="12"/>
      <c r="W84" s="12"/>
      <c r="X84" s="12" t="str">
        <f>IFERROR(IF(예산업로드양식!E79="","",IF(예산업로드양식!F79="07",예산업로드양식!E79,"")),"")</f>
        <v/>
      </c>
      <c r="Y84" s="13" t="str">
        <f>IFERROR(IF(예산업로드양식!H79="","",IF(예산업로드양식!F79="07",예산업로드양식!H79,"")),"")</f>
        <v/>
      </c>
      <c r="Z84" s="13"/>
      <c r="AA84" s="13"/>
      <c r="AB84" s="218"/>
      <c r="AC84" s="42"/>
      <c r="AD84" s="12"/>
      <c r="AE84" s="12"/>
      <c r="AF84" s="12"/>
      <c r="AG84" s="12" t="str">
        <f>IFERROR(IF(예산업로드양식!E79="","",IF(예산업로드양식!F79="05",예산업로드양식!E79,"")),"")</f>
        <v/>
      </c>
      <c r="AH84" s="13" t="str">
        <f>IFERROR(IF(예산업로드양식!H79="","",IF(예산업로드양식!F79="05",예산업로드양식!H79,"")),"")</f>
        <v/>
      </c>
      <c r="AI84" s="13"/>
      <c r="AJ84" s="13"/>
      <c r="AL84" s="1182" t="str">
        <f>IF(보수일람표!O82="","",보수일람표!O82)</f>
        <v/>
      </c>
      <c r="AM84" s="1183" t="str">
        <f>IF(보수일람표!P82="","",보수일람표!P82)</f>
        <v/>
      </c>
      <c r="AN84" s="1184">
        <f>IF(보수일람표!S82="","",보수일람표!S82)</f>
        <v>0</v>
      </c>
      <c r="AO84" s="1185">
        <f>IF(보수일람표!R82="","",보수일람표!R82)</f>
        <v>0</v>
      </c>
      <c r="AP84" s="1118">
        <f>IF(보수일람표!S82="","",보수일람표!S82)</f>
        <v>0</v>
      </c>
      <c r="AQ84" s="1186">
        <f>IF(보수일람표!T82="","",보수일람표!T82)</f>
        <v>0</v>
      </c>
      <c r="AR84" s="1120">
        <f>IF(보수일람표!U82="","",보수일람표!U82)</f>
        <v>0</v>
      </c>
      <c r="AS84" s="1121">
        <f>IF(보수일람표!V82="","",보수일람표!V82)</f>
        <v>0</v>
      </c>
      <c r="AT84" s="1122">
        <f>IF(보수일람표!W82="","",보수일람표!W82)</f>
        <v>0</v>
      </c>
      <c r="AU84" s="1123">
        <f>IF(보수일람표!X82="","",보수일람표!X82)</f>
        <v>0</v>
      </c>
      <c r="AV84" s="1124">
        <f>IF(보수일람표!Y82="","",보수일람표!Y82)</f>
        <v>0</v>
      </c>
      <c r="AW84" s="1187">
        <f>IF(보수일람표!Z82="","",보수일람표!Z82)</f>
        <v>0</v>
      </c>
      <c r="AX84" s="1134">
        <f>IF(보수일람표!AA82="","",보수일람표!AA82)</f>
        <v>0</v>
      </c>
    </row>
    <row r="85" spans="11:50">
      <c r="K85" s="41"/>
      <c r="L85" s="10"/>
      <c r="M85" s="10"/>
      <c r="N85" s="10"/>
      <c r="O85" s="10" t="str">
        <f>IFERROR(IF(예산업로드양식!E80="","",IF(예산업로드양식!F80="06",예산업로드양식!E80,"")),"")</f>
        <v/>
      </c>
      <c r="P85" s="11" t="str">
        <f>IFERROR(IF(예산업로드양식!H80="","",IF(예산업로드양식!F80="06",예산업로드양식!H80,"")),"")</f>
        <v/>
      </c>
      <c r="Q85" s="11" t="str">
        <f t="shared" si="1"/>
        <v/>
      </c>
      <c r="R85" s="11"/>
      <c r="S85" s="218"/>
      <c r="T85" s="41"/>
      <c r="U85" s="10"/>
      <c r="V85" s="10"/>
      <c r="W85" s="10"/>
      <c r="X85" s="10" t="str">
        <f>IFERROR(IF(예산업로드양식!E80="","",IF(예산업로드양식!F80="07",예산업로드양식!E80,"")),"")</f>
        <v/>
      </c>
      <c r="Y85" s="11" t="str">
        <f>IFERROR(IF(예산업로드양식!H80="","",IF(예산업로드양식!F80="07",예산업로드양식!H80,"")),"")</f>
        <v/>
      </c>
      <c r="Z85" s="11"/>
      <c r="AA85" s="11"/>
      <c r="AB85" s="218"/>
      <c r="AC85" s="41"/>
      <c r="AD85" s="10"/>
      <c r="AE85" s="10"/>
      <c r="AF85" s="10"/>
      <c r="AG85" s="10" t="str">
        <f>IFERROR(IF(예산업로드양식!E80="","",IF(예산업로드양식!F80="05",예산업로드양식!E80,"")),"")</f>
        <v/>
      </c>
      <c r="AH85" s="11" t="str">
        <f>IFERROR(IF(예산업로드양식!H80="","",IF(예산업로드양식!F80="05",예산업로드양식!H80,"")),"")</f>
        <v/>
      </c>
      <c r="AI85" s="11"/>
      <c r="AJ85" s="11"/>
      <c r="AL85" s="1182" t="str">
        <f>IF(보수일람표!O83="","",보수일람표!O83)</f>
        <v/>
      </c>
      <c r="AM85" s="1183" t="str">
        <f>IF(보수일람표!P83="","",보수일람표!P83)</f>
        <v/>
      </c>
      <c r="AN85" s="1184">
        <f>IF(보수일람표!S83="","",보수일람표!S83)</f>
        <v>0</v>
      </c>
      <c r="AO85" s="1185">
        <f>IF(보수일람표!R83="","",보수일람표!R83)</f>
        <v>0</v>
      </c>
      <c r="AP85" s="1118">
        <f>IF(보수일람표!S83="","",보수일람표!S83)</f>
        <v>0</v>
      </c>
      <c r="AQ85" s="1186">
        <f>IF(보수일람표!T83="","",보수일람표!T83)</f>
        <v>0</v>
      </c>
      <c r="AR85" s="1120">
        <f>IF(보수일람표!U83="","",보수일람표!U83)</f>
        <v>0</v>
      </c>
      <c r="AS85" s="1121">
        <f>IF(보수일람표!V83="","",보수일람표!V83)</f>
        <v>0</v>
      </c>
      <c r="AT85" s="1122">
        <f>IF(보수일람표!W83="","",보수일람표!W83)</f>
        <v>0</v>
      </c>
      <c r="AU85" s="1123">
        <f>IF(보수일람표!X83="","",보수일람표!X83)</f>
        <v>0</v>
      </c>
      <c r="AV85" s="1124">
        <f>IF(보수일람표!Y83="","",보수일람표!Y83)</f>
        <v>0</v>
      </c>
      <c r="AW85" s="1187">
        <f>IF(보수일람표!Z83="","",보수일람표!Z83)</f>
        <v>0</v>
      </c>
      <c r="AX85" s="1134">
        <f>IF(보수일람표!AA83="","",보수일람표!AA83)</f>
        <v>0</v>
      </c>
    </row>
    <row r="86" spans="11:50">
      <c r="K86" s="42"/>
      <c r="L86" s="12"/>
      <c r="M86" s="12"/>
      <c r="N86" s="12"/>
      <c r="O86" s="12" t="str">
        <f>IFERROR(IF(예산업로드양식!E81="","",IF(예산업로드양식!F81="06",예산업로드양식!E81,"")),"")</f>
        <v/>
      </c>
      <c r="P86" s="13" t="str">
        <f>IFERROR(IF(예산업로드양식!H81="","",IF(예산업로드양식!F81="06",예산업로드양식!H81,"")),"")</f>
        <v/>
      </c>
      <c r="Q86" s="7" t="str">
        <f t="shared" si="1"/>
        <v/>
      </c>
      <c r="R86" s="13"/>
      <c r="S86" s="218"/>
      <c r="T86" s="42"/>
      <c r="U86" s="12"/>
      <c r="V86" s="12"/>
      <c r="W86" s="12"/>
      <c r="X86" s="12" t="str">
        <f>IFERROR(IF(예산업로드양식!E81="","",IF(예산업로드양식!F81="07",예산업로드양식!E81,"")),"")</f>
        <v/>
      </c>
      <c r="Y86" s="13" t="str">
        <f>IFERROR(IF(예산업로드양식!H81="","",IF(예산업로드양식!F81="07",예산업로드양식!H81,"")),"")</f>
        <v/>
      </c>
      <c r="Z86" s="13"/>
      <c r="AA86" s="13"/>
      <c r="AB86" s="218"/>
      <c r="AC86" s="42"/>
      <c r="AD86" s="12"/>
      <c r="AE86" s="12"/>
      <c r="AF86" s="12"/>
      <c r="AG86" s="12" t="str">
        <f>IFERROR(IF(예산업로드양식!E81="","",IF(예산업로드양식!F81="05",예산업로드양식!E81,"")),"")</f>
        <v/>
      </c>
      <c r="AH86" s="13" t="str">
        <f>IFERROR(IF(예산업로드양식!H81="","",IF(예산업로드양식!F81="05",예산업로드양식!H81,"")),"")</f>
        <v/>
      </c>
      <c r="AI86" s="13"/>
      <c r="AJ86" s="13"/>
      <c r="AL86" s="1182" t="str">
        <f>IF(보수일람표!O84="","",보수일람표!O84)</f>
        <v/>
      </c>
      <c r="AM86" s="1183" t="str">
        <f>IF(보수일람표!P84="","",보수일람표!P84)</f>
        <v/>
      </c>
      <c r="AN86" s="1184">
        <f>IF(보수일람표!S84="","",보수일람표!S84)</f>
        <v>0</v>
      </c>
      <c r="AO86" s="1185">
        <f>IF(보수일람표!R84="","",보수일람표!R84)</f>
        <v>0</v>
      </c>
      <c r="AP86" s="1118">
        <f>IF(보수일람표!S84="","",보수일람표!S84)</f>
        <v>0</v>
      </c>
      <c r="AQ86" s="1186">
        <f>IF(보수일람표!T84="","",보수일람표!T84)</f>
        <v>0</v>
      </c>
      <c r="AR86" s="1120">
        <f>IF(보수일람표!U84="","",보수일람표!U84)</f>
        <v>0</v>
      </c>
      <c r="AS86" s="1121">
        <f>IF(보수일람표!V84="","",보수일람표!V84)</f>
        <v>0</v>
      </c>
      <c r="AT86" s="1122">
        <f>IF(보수일람표!W84="","",보수일람표!W84)</f>
        <v>0</v>
      </c>
      <c r="AU86" s="1123">
        <f>IF(보수일람표!X84="","",보수일람표!X84)</f>
        <v>0</v>
      </c>
      <c r="AV86" s="1124">
        <f>IF(보수일람표!Y84="","",보수일람표!Y84)</f>
        <v>0</v>
      </c>
      <c r="AW86" s="1187">
        <f>IF(보수일람표!Z84="","",보수일람표!Z84)</f>
        <v>0</v>
      </c>
      <c r="AX86" s="1134">
        <f>IF(보수일람표!AA84="","",보수일람표!AA84)</f>
        <v>0</v>
      </c>
    </row>
    <row r="87" spans="11:50">
      <c r="K87" s="41"/>
      <c r="L87" s="10"/>
      <c r="M87" s="10"/>
      <c r="N87" s="10"/>
      <c r="O87" s="10" t="str">
        <f>IFERROR(IF(예산업로드양식!E82="","",IF(예산업로드양식!F82="06",예산업로드양식!E82,"")),"")</f>
        <v/>
      </c>
      <c r="P87" s="11" t="str">
        <f>IFERROR(IF(예산업로드양식!H82="","",IF(예산업로드양식!F82="06",예산업로드양식!H82,"")),"")</f>
        <v/>
      </c>
      <c r="Q87" s="11" t="str">
        <f t="shared" si="1"/>
        <v/>
      </c>
      <c r="R87" s="11"/>
      <c r="S87" s="218"/>
      <c r="T87" s="41"/>
      <c r="U87" s="10"/>
      <c r="V87" s="10"/>
      <c r="W87" s="10"/>
      <c r="X87" s="10" t="str">
        <f>IFERROR(IF(예산업로드양식!E82="","",IF(예산업로드양식!F82="07",예산업로드양식!E82,"")),"")</f>
        <v/>
      </c>
      <c r="Y87" s="11" t="str">
        <f>IFERROR(IF(예산업로드양식!H82="","",IF(예산업로드양식!F82="07",예산업로드양식!H82,"")),"")</f>
        <v/>
      </c>
      <c r="Z87" s="11"/>
      <c r="AA87" s="11"/>
      <c r="AB87" s="218"/>
      <c r="AC87" s="41"/>
      <c r="AD87" s="10"/>
      <c r="AE87" s="10"/>
      <c r="AF87" s="10"/>
      <c r="AG87" s="10" t="str">
        <f>IFERROR(IF(예산업로드양식!E82="","",IF(예산업로드양식!F82="05",예산업로드양식!E82,"")),"")</f>
        <v/>
      </c>
      <c r="AH87" s="11" t="str">
        <f>IFERROR(IF(예산업로드양식!H82="","",IF(예산업로드양식!F82="05",예산업로드양식!H82,"")),"")</f>
        <v/>
      </c>
      <c r="AI87" s="11"/>
      <c r="AJ87" s="11"/>
      <c r="AL87" s="1182" t="str">
        <f>IF(보수일람표!O85="","",보수일람표!O85)</f>
        <v/>
      </c>
      <c r="AM87" s="1183" t="str">
        <f>IF(보수일람표!P85="","",보수일람표!P85)</f>
        <v/>
      </c>
      <c r="AN87" s="1184">
        <f>IF(보수일람표!S85="","",보수일람표!S85)</f>
        <v>0</v>
      </c>
      <c r="AO87" s="1185">
        <f>IF(보수일람표!R85="","",보수일람표!R85)</f>
        <v>0</v>
      </c>
      <c r="AP87" s="1118">
        <f>IF(보수일람표!S85="","",보수일람표!S85)</f>
        <v>0</v>
      </c>
      <c r="AQ87" s="1186">
        <f>IF(보수일람표!T85="","",보수일람표!T85)</f>
        <v>0</v>
      </c>
      <c r="AR87" s="1120">
        <f>IF(보수일람표!U85="","",보수일람표!U85)</f>
        <v>0</v>
      </c>
      <c r="AS87" s="1121">
        <f>IF(보수일람표!V85="","",보수일람표!V85)</f>
        <v>0</v>
      </c>
      <c r="AT87" s="1122">
        <f>IF(보수일람표!W85="","",보수일람표!W85)</f>
        <v>0</v>
      </c>
      <c r="AU87" s="1123">
        <f>IF(보수일람표!X85="","",보수일람표!X85)</f>
        <v>0</v>
      </c>
      <c r="AV87" s="1124">
        <f>IF(보수일람표!Y85="","",보수일람표!Y85)</f>
        <v>0</v>
      </c>
      <c r="AW87" s="1187">
        <f>IF(보수일람표!Z85="","",보수일람표!Z85)</f>
        <v>0</v>
      </c>
      <c r="AX87" s="1134">
        <f>IF(보수일람표!AA85="","",보수일람표!AA85)</f>
        <v>0</v>
      </c>
    </row>
    <row r="88" spans="11:50">
      <c r="K88" s="42"/>
      <c r="L88" s="12"/>
      <c r="M88" s="12"/>
      <c r="N88" s="12"/>
      <c r="O88" s="12" t="str">
        <f>IFERROR(IF(예산업로드양식!E83="","",IF(예산업로드양식!F83="06",예산업로드양식!E83,"")),"")</f>
        <v/>
      </c>
      <c r="P88" s="13" t="str">
        <f>IFERROR(IF(예산업로드양식!H83="","",IF(예산업로드양식!F83="06",예산업로드양식!H83,"")),"")</f>
        <v/>
      </c>
      <c r="Q88" s="7" t="str">
        <f t="shared" si="1"/>
        <v/>
      </c>
      <c r="R88" s="13"/>
      <c r="S88" s="218"/>
      <c r="T88" s="42"/>
      <c r="U88" s="12"/>
      <c r="V88" s="12"/>
      <c r="W88" s="12"/>
      <c r="X88" s="12" t="str">
        <f>IFERROR(IF(예산업로드양식!E83="","",IF(예산업로드양식!F83="07",예산업로드양식!E83,"")),"")</f>
        <v/>
      </c>
      <c r="Y88" s="13" t="str">
        <f>IFERROR(IF(예산업로드양식!H83="","",IF(예산업로드양식!F83="07",예산업로드양식!H83,"")),"")</f>
        <v/>
      </c>
      <c r="Z88" s="13"/>
      <c r="AA88" s="13"/>
      <c r="AB88" s="218"/>
      <c r="AC88" s="42"/>
      <c r="AD88" s="12"/>
      <c r="AE88" s="12"/>
      <c r="AF88" s="12"/>
      <c r="AG88" s="12" t="str">
        <f>IFERROR(IF(예산업로드양식!E83="","",IF(예산업로드양식!F83="05",예산업로드양식!E83,"")),"")</f>
        <v/>
      </c>
      <c r="AH88" s="13" t="str">
        <f>IFERROR(IF(예산업로드양식!H83="","",IF(예산업로드양식!F83="05",예산업로드양식!H83,"")),"")</f>
        <v/>
      </c>
      <c r="AI88" s="13"/>
      <c r="AJ88" s="13"/>
      <c r="AL88" s="1182" t="str">
        <f>IF(보수일람표!O86="","",보수일람표!O86)</f>
        <v/>
      </c>
      <c r="AM88" s="1183" t="str">
        <f>IF(보수일람표!P86="","",보수일람표!P86)</f>
        <v/>
      </c>
      <c r="AN88" s="1184">
        <f>IF(보수일람표!S86="","",보수일람표!S86)</f>
        <v>0</v>
      </c>
      <c r="AO88" s="1185">
        <f>IF(보수일람표!R86="","",보수일람표!R86)</f>
        <v>0</v>
      </c>
      <c r="AP88" s="1118">
        <f>IF(보수일람표!S86="","",보수일람표!S86)</f>
        <v>0</v>
      </c>
      <c r="AQ88" s="1186">
        <f>IF(보수일람표!T86="","",보수일람표!T86)</f>
        <v>0</v>
      </c>
      <c r="AR88" s="1120">
        <f>IF(보수일람표!U86="","",보수일람표!U86)</f>
        <v>0</v>
      </c>
      <c r="AS88" s="1121">
        <f>IF(보수일람표!V86="","",보수일람표!V86)</f>
        <v>0</v>
      </c>
      <c r="AT88" s="1122">
        <f>IF(보수일람표!W86="","",보수일람표!W86)</f>
        <v>0</v>
      </c>
      <c r="AU88" s="1123">
        <f>IF(보수일람표!X86="","",보수일람표!X86)</f>
        <v>0</v>
      </c>
      <c r="AV88" s="1124">
        <f>IF(보수일람표!Y86="","",보수일람표!Y86)</f>
        <v>0</v>
      </c>
      <c r="AW88" s="1187">
        <f>IF(보수일람표!Z86="","",보수일람표!Z86)</f>
        <v>0</v>
      </c>
      <c r="AX88" s="1134">
        <f>IF(보수일람표!AA86="","",보수일람표!AA86)</f>
        <v>0</v>
      </c>
    </row>
    <row r="89" spans="11:50">
      <c r="K89" s="41"/>
      <c r="L89" s="10"/>
      <c r="M89" s="10"/>
      <c r="N89" s="10"/>
      <c r="O89" s="10" t="str">
        <f>IFERROR(IF(예산업로드양식!E84="","",IF(예산업로드양식!F84="06",예산업로드양식!E84,"")),"")</f>
        <v/>
      </c>
      <c r="P89" s="11" t="str">
        <f>IFERROR(IF(예산업로드양식!H84="","",IF(예산업로드양식!F84="06",예산업로드양식!H84,"")),"")</f>
        <v/>
      </c>
      <c r="Q89" s="11" t="str">
        <f t="shared" si="1"/>
        <v/>
      </c>
      <c r="R89" s="11"/>
      <c r="S89" s="218"/>
      <c r="T89" s="41"/>
      <c r="U89" s="10"/>
      <c r="V89" s="10"/>
      <c r="W89" s="10"/>
      <c r="X89" s="10" t="str">
        <f>IFERROR(IF(예산업로드양식!E84="","",IF(예산업로드양식!F84="07",예산업로드양식!E84,"")),"")</f>
        <v/>
      </c>
      <c r="Y89" s="11" t="str">
        <f>IFERROR(IF(예산업로드양식!H84="","",IF(예산업로드양식!F84="07",예산업로드양식!H84,"")),"")</f>
        <v/>
      </c>
      <c r="Z89" s="11"/>
      <c r="AA89" s="11"/>
      <c r="AB89" s="218"/>
      <c r="AC89" s="41"/>
      <c r="AD89" s="10"/>
      <c r="AE89" s="10"/>
      <c r="AF89" s="10"/>
      <c r="AG89" s="10" t="str">
        <f>IFERROR(IF(예산업로드양식!E84="","",IF(예산업로드양식!F84="05",예산업로드양식!E84,"")),"")</f>
        <v/>
      </c>
      <c r="AH89" s="11" t="str">
        <f>IFERROR(IF(예산업로드양식!H84="","",IF(예산업로드양식!F84="05",예산업로드양식!H84,"")),"")</f>
        <v/>
      </c>
      <c r="AI89" s="11"/>
      <c r="AJ89" s="11"/>
      <c r="AL89" s="1182" t="str">
        <f>IF(보수일람표!O87="","",보수일람표!O87)</f>
        <v/>
      </c>
      <c r="AM89" s="1183" t="str">
        <f>IF(보수일람표!P87="","",보수일람표!P87)</f>
        <v/>
      </c>
      <c r="AN89" s="1184">
        <f>IF(보수일람표!S87="","",보수일람표!S87)</f>
        <v>0</v>
      </c>
      <c r="AO89" s="1185">
        <f>IF(보수일람표!R87="","",보수일람표!R87)</f>
        <v>0</v>
      </c>
      <c r="AP89" s="1118">
        <f>IF(보수일람표!S87="","",보수일람표!S87)</f>
        <v>0</v>
      </c>
      <c r="AQ89" s="1186">
        <f>IF(보수일람표!T87="","",보수일람표!T87)</f>
        <v>0</v>
      </c>
      <c r="AR89" s="1120">
        <f>IF(보수일람표!U87="","",보수일람표!U87)</f>
        <v>0</v>
      </c>
      <c r="AS89" s="1121">
        <f>IF(보수일람표!V87="","",보수일람표!V87)</f>
        <v>0</v>
      </c>
      <c r="AT89" s="1122">
        <f>IF(보수일람표!W87="","",보수일람표!W87)</f>
        <v>0</v>
      </c>
      <c r="AU89" s="1123">
        <f>IF(보수일람표!X87="","",보수일람표!X87)</f>
        <v>0</v>
      </c>
      <c r="AV89" s="1124">
        <f>IF(보수일람표!Y87="","",보수일람표!Y87)</f>
        <v>0</v>
      </c>
      <c r="AW89" s="1187">
        <f>IF(보수일람표!Z87="","",보수일람표!Z87)</f>
        <v>0</v>
      </c>
      <c r="AX89" s="1134">
        <f>IF(보수일람표!AA87="","",보수일람표!AA87)</f>
        <v>0</v>
      </c>
    </row>
    <row r="90" spans="11:50">
      <c r="K90" s="42"/>
      <c r="L90" s="12"/>
      <c r="M90" s="12"/>
      <c r="N90" s="12"/>
      <c r="O90" s="12" t="str">
        <f>IFERROR(IF(예산업로드양식!E85="","",IF(예산업로드양식!F85="06",예산업로드양식!E85,"")),"")</f>
        <v/>
      </c>
      <c r="P90" s="13" t="str">
        <f>IFERROR(IF(예산업로드양식!H85="","",IF(예산업로드양식!F85="06",예산업로드양식!H85,"")),"")</f>
        <v/>
      </c>
      <c r="Q90" s="7" t="str">
        <f t="shared" si="1"/>
        <v/>
      </c>
      <c r="R90" s="13"/>
      <c r="S90" s="218"/>
      <c r="T90" s="42"/>
      <c r="U90" s="12"/>
      <c r="V90" s="12"/>
      <c r="W90" s="12"/>
      <c r="X90" s="12" t="str">
        <f>IFERROR(IF(예산업로드양식!E85="","",IF(예산업로드양식!F85="07",예산업로드양식!E85,"")),"")</f>
        <v/>
      </c>
      <c r="Y90" s="13" t="str">
        <f>IFERROR(IF(예산업로드양식!H85="","",IF(예산업로드양식!F85="07",예산업로드양식!H85,"")),"")</f>
        <v/>
      </c>
      <c r="Z90" s="13"/>
      <c r="AA90" s="13"/>
      <c r="AB90" s="218"/>
      <c r="AC90" s="42"/>
      <c r="AD90" s="12"/>
      <c r="AE90" s="12"/>
      <c r="AF90" s="12"/>
      <c r="AG90" s="12" t="str">
        <f>IFERROR(IF(예산업로드양식!E85="","",IF(예산업로드양식!F85="05",예산업로드양식!E85,"")),"")</f>
        <v/>
      </c>
      <c r="AH90" s="13" t="str">
        <f>IFERROR(IF(예산업로드양식!H85="","",IF(예산업로드양식!F85="05",예산업로드양식!H85,"")),"")</f>
        <v/>
      </c>
      <c r="AI90" s="13"/>
      <c r="AJ90" s="13"/>
      <c r="AL90" s="1182" t="str">
        <f>IF(보수일람표!O88="","",보수일람표!O88)</f>
        <v/>
      </c>
      <c r="AM90" s="1183" t="str">
        <f>IF(보수일람표!P88="","",보수일람표!P88)</f>
        <v/>
      </c>
      <c r="AN90" s="1184">
        <f>IF(보수일람표!S88="","",보수일람표!S88)</f>
        <v>0</v>
      </c>
      <c r="AO90" s="1185">
        <f>IF(보수일람표!R88="","",보수일람표!R88)</f>
        <v>0</v>
      </c>
      <c r="AP90" s="1118">
        <f>IF(보수일람표!S88="","",보수일람표!S88)</f>
        <v>0</v>
      </c>
      <c r="AQ90" s="1186">
        <f>IF(보수일람표!T88="","",보수일람표!T88)</f>
        <v>0</v>
      </c>
      <c r="AR90" s="1120">
        <f>IF(보수일람표!U88="","",보수일람표!U88)</f>
        <v>0</v>
      </c>
      <c r="AS90" s="1121">
        <f>IF(보수일람표!V88="","",보수일람표!V88)</f>
        <v>0</v>
      </c>
      <c r="AT90" s="1122">
        <f>IF(보수일람표!W88="","",보수일람표!W88)</f>
        <v>0</v>
      </c>
      <c r="AU90" s="1123">
        <f>IF(보수일람표!X88="","",보수일람표!X88)</f>
        <v>0</v>
      </c>
      <c r="AV90" s="1124">
        <f>IF(보수일람표!Y88="","",보수일람표!Y88)</f>
        <v>0</v>
      </c>
      <c r="AW90" s="1187">
        <f>IF(보수일람표!Z88="","",보수일람표!Z88)</f>
        <v>0</v>
      </c>
      <c r="AX90" s="1134">
        <f>IF(보수일람표!AA88="","",보수일람표!AA88)</f>
        <v>0</v>
      </c>
    </row>
    <row r="91" spans="11:50">
      <c r="K91" s="41"/>
      <c r="L91" s="10"/>
      <c r="M91" s="10"/>
      <c r="N91" s="10"/>
      <c r="O91" s="10" t="str">
        <f>IFERROR(IF(예산업로드양식!E86="","",IF(예산업로드양식!F86="06",예산업로드양식!E86,"")),"")</f>
        <v/>
      </c>
      <c r="P91" s="11" t="str">
        <f>IFERROR(IF(예산업로드양식!H86="","",IF(예산업로드양식!F86="06",예산업로드양식!H86,"")),"")</f>
        <v/>
      </c>
      <c r="Q91" s="11" t="str">
        <f t="shared" si="1"/>
        <v/>
      </c>
      <c r="R91" s="11"/>
      <c r="S91" s="218"/>
      <c r="T91" s="41"/>
      <c r="U91" s="10"/>
      <c r="V91" s="10"/>
      <c r="W91" s="10"/>
      <c r="X91" s="10" t="str">
        <f>IFERROR(IF(예산업로드양식!E86="","",IF(예산업로드양식!F86="07",예산업로드양식!E86,"")),"")</f>
        <v/>
      </c>
      <c r="Y91" s="11" t="str">
        <f>IFERROR(IF(예산업로드양식!H86="","",IF(예산업로드양식!F86="07",예산업로드양식!H86,"")),"")</f>
        <v/>
      </c>
      <c r="Z91" s="11"/>
      <c r="AA91" s="11"/>
      <c r="AB91" s="218"/>
      <c r="AC91" s="41"/>
      <c r="AD91" s="10"/>
      <c r="AE91" s="10"/>
      <c r="AF91" s="10"/>
      <c r="AG91" s="10" t="str">
        <f>IFERROR(IF(예산업로드양식!E86="","",IF(예산업로드양식!F86="05",예산업로드양식!E86,"")),"")</f>
        <v/>
      </c>
      <c r="AH91" s="11" t="str">
        <f>IFERROR(IF(예산업로드양식!H86="","",IF(예산업로드양식!F86="05",예산업로드양식!H86,"")),"")</f>
        <v/>
      </c>
      <c r="AI91" s="11"/>
      <c r="AJ91" s="11"/>
      <c r="AL91" s="1182" t="str">
        <f>IF(보수일람표!O89="","",보수일람표!O89)</f>
        <v/>
      </c>
      <c r="AM91" s="1183" t="str">
        <f>IF(보수일람표!P89="","",보수일람표!P89)</f>
        <v/>
      </c>
      <c r="AN91" s="1184">
        <f>IF(보수일람표!S89="","",보수일람표!S89)</f>
        <v>0</v>
      </c>
      <c r="AO91" s="1185">
        <f>IF(보수일람표!R89="","",보수일람표!R89)</f>
        <v>0</v>
      </c>
      <c r="AP91" s="1118">
        <f>IF(보수일람표!S89="","",보수일람표!S89)</f>
        <v>0</v>
      </c>
      <c r="AQ91" s="1186">
        <f>IF(보수일람표!T89="","",보수일람표!T89)</f>
        <v>0</v>
      </c>
      <c r="AR91" s="1120">
        <f>IF(보수일람표!U89="","",보수일람표!U89)</f>
        <v>0</v>
      </c>
      <c r="AS91" s="1121">
        <f>IF(보수일람표!V89="","",보수일람표!V89)</f>
        <v>0</v>
      </c>
      <c r="AT91" s="1122">
        <f>IF(보수일람표!W89="","",보수일람표!W89)</f>
        <v>0</v>
      </c>
      <c r="AU91" s="1123">
        <f>IF(보수일람표!X89="","",보수일람표!X89)</f>
        <v>0</v>
      </c>
      <c r="AV91" s="1124">
        <f>IF(보수일람표!Y89="","",보수일람표!Y89)</f>
        <v>0</v>
      </c>
      <c r="AW91" s="1187">
        <f>IF(보수일람표!Z89="","",보수일람표!Z89)</f>
        <v>0</v>
      </c>
      <c r="AX91" s="1134">
        <f>IF(보수일람표!AA89="","",보수일람표!AA89)</f>
        <v>0</v>
      </c>
    </row>
    <row r="92" spans="11:50">
      <c r="K92" s="42"/>
      <c r="L92" s="12"/>
      <c r="M92" s="12"/>
      <c r="N92" s="12"/>
      <c r="O92" s="12" t="str">
        <f>IFERROR(IF(예산업로드양식!E87="","",IF(예산업로드양식!F87="06",예산업로드양식!E87,"")),"")</f>
        <v/>
      </c>
      <c r="P92" s="13" t="str">
        <f>IFERROR(IF(예산업로드양식!H87="","",IF(예산업로드양식!F87="06",예산업로드양식!H87,"")),"")</f>
        <v/>
      </c>
      <c r="Q92" s="7" t="str">
        <f t="shared" si="1"/>
        <v/>
      </c>
      <c r="R92" s="13"/>
      <c r="S92" s="218"/>
      <c r="T92" s="42"/>
      <c r="U92" s="12"/>
      <c r="V92" s="12"/>
      <c r="W92" s="12"/>
      <c r="X92" s="12" t="str">
        <f>IFERROR(IF(예산업로드양식!E87="","",IF(예산업로드양식!F87="07",예산업로드양식!E87,"")),"")</f>
        <v/>
      </c>
      <c r="Y92" s="13" t="str">
        <f>IFERROR(IF(예산업로드양식!H87="","",IF(예산업로드양식!F87="07",예산업로드양식!H87,"")),"")</f>
        <v/>
      </c>
      <c r="Z92" s="13"/>
      <c r="AA92" s="13"/>
      <c r="AB92" s="218"/>
      <c r="AC92" s="42"/>
      <c r="AD92" s="12"/>
      <c r="AE92" s="12"/>
      <c r="AF92" s="12"/>
      <c r="AG92" s="12" t="str">
        <f>IFERROR(IF(예산업로드양식!E87="","",IF(예산업로드양식!F87="05",예산업로드양식!E87,"")),"")</f>
        <v/>
      </c>
      <c r="AH92" s="13" t="str">
        <f>IFERROR(IF(예산업로드양식!H87="","",IF(예산업로드양식!F87="05",예산업로드양식!H87,"")),"")</f>
        <v/>
      </c>
      <c r="AI92" s="13"/>
      <c r="AJ92" s="13"/>
      <c r="AL92" s="1182" t="str">
        <f>IF(보수일람표!O90="","",보수일람표!O90)</f>
        <v/>
      </c>
      <c r="AM92" s="1183" t="str">
        <f>IF(보수일람표!P90="","",보수일람표!P90)</f>
        <v/>
      </c>
      <c r="AN92" s="1184">
        <f>IF(보수일람표!S90="","",보수일람표!S90)</f>
        <v>0</v>
      </c>
      <c r="AO92" s="1185">
        <f>IF(보수일람표!R90="","",보수일람표!R90)</f>
        <v>0</v>
      </c>
      <c r="AP92" s="1118">
        <f>IF(보수일람표!S90="","",보수일람표!S90)</f>
        <v>0</v>
      </c>
      <c r="AQ92" s="1186">
        <f>IF(보수일람표!T90="","",보수일람표!T90)</f>
        <v>0</v>
      </c>
      <c r="AR92" s="1120">
        <f>IF(보수일람표!U90="","",보수일람표!U90)</f>
        <v>0</v>
      </c>
      <c r="AS92" s="1121">
        <f>IF(보수일람표!V90="","",보수일람표!V90)</f>
        <v>0</v>
      </c>
      <c r="AT92" s="1122">
        <f>IF(보수일람표!W90="","",보수일람표!W90)</f>
        <v>0</v>
      </c>
      <c r="AU92" s="1123">
        <f>IF(보수일람표!X90="","",보수일람표!X90)</f>
        <v>0</v>
      </c>
      <c r="AV92" s="1124">
        <f>IF(보수일람표!Y90="","",보수일람표!Y90)</f>
        <v>0</v>
      </c>
      <c r="AW92" s="1187">
        <f>IF(보수일람표!Z90="","",보수일람표!Z90)</f>
        <v>0</v>
      </c>
      <c r="AX92" s="1134">
        <f>IF(보수일람표!AA90="","",보수일람표!AA90)</f>
        <v>0</v>
      </c>
    </row>
    <row r="93" spans="11:50">
      <c r="K93" s="41"/>
      <c r="L93" s="10"/>
      <c r="M93" s="10"/>
      <c r="N93" s="10"/>
      <c r="O93" s="10" t="str">
        <f>IFERROR(IF(예산업로드양식!E88="","",IF(예산업로드양식!F88="06",예산업로드양식!E88,"")),"")</f>
        <v/>
      </c>
      <c r="P93" s="11" t="str">
        <f>IFERROR(IF(예산업로드양식!H88="","",IF(예산업로드양식!F88="06",예산업로드양식!H88,"")),"")</f>
        <v/>
      </c>
      <c r="Q93" s="11" t="str">
        <f t="shared" si="1"/>
        <v/>
      </c>
      <c r="R93" s="11"/>
      <c r="S93" s="218"/>
      <c r="T93" s="41"/>
      <c r="U93" s="10"/>
      <c r="V93" s="10"/>
      <c r="W93" s="10"/>
      <c r="X93" s="10" t="str">
        <f>IFERROR(IF(예산업로드양식!E88="","",IF(예산업로드양식!F88="07",예산업로드양식!E88,"")),"")</f>
        <v/>
      </c>
      <c r="Y93" s="11" t="str">
        <f>IFERROR(IF(예산업로드양식!H88="","",IF(예산업로드양식!F88="07",예산업로드양식!H88,"")),"")</f>
        <v/>
      </c>
      <c r="Z93" s="11"/>
      <c r="AA93" s="11"/>
      <c r="AB93" s="218"/>
      <c r="AC93" s="41"/>
      <c r="AD93" s="10"/>
      <c r="AE93" s="10"/>
      <c r="AF93" s="10"/>
      <c r="AG93" s="10" t="str">
        <f>IFERROR(IF(예산업로드양식!E88="","",IF(예산업로드양식!F88="05",예산업로드양식!E88,"")),"")</f>
        <v/>
      </c>
      <c r="AH93" s="11" t="str">
        <f>IFERROR(IF(예산업로드양식!H88="","",IF(예산업로드양식!F88="05",예산업로드양식!H88,"")),"")</f>
        <v/>
      </c>
      <c r="AI93" s="11"/>
      <c r="AJ93" s="11"/>
      <c r="AL93" s="1182" t="str">
        <f>IF(보수일람표!O91="","",보수일람표!O91)</f>
        <v/>
      </c>
      <c r="AM93" s="1183" t="str">
        <f>IF(보수일람표!P91="","",보수일람표!P91)</f>
        <v/>
      </c>
      <c r="AN93" s="1184">
        <f>IF(보수일람표!S91="","",보수일람표!S91)</f>
        <v>0</v>
      </c>
      <c r="AO93" s="1185">
        <f>IF(보수일람표!R91="","",보수일람표!R91)</f>
        <v>0</v>
      </c>
      <c r="AP93" s="1118">
        <f>IF(보수일람표!S91="","",보수일람표!S91)</f>
        <v>0</v>
      </c>
      <c r="AQ93" s="1186">
        <f>IF(보수일람표!T91="","",보수일람표!T91)</f>
        <v>0</v>
      </c>
      <c r="AR93" s="1120">
        <f>IF(보수일람표!U91="","",보수일람표!U91)</f>
        <v>0</v>
      </c>
      <c r="AS93" s="1121">
        <f>IF(보수일람표!V91="","",보수일람표!V91)</f>
        <v>0</v>
      </c>
      <c r="AT93" s="1122">
        <f>IF(보수일람표!W91="","",보수일람표!W91)</f>
        <v>0</v>
      </c>
      <c r="AU93" s="1123">
        <f>IF(보수일람표!X91="","",보수일람표!X91)</f>
        <v>0</v>
      </c>
      <c r="AV93" s="1124">
        <f>IF(보수일람표!Y91="","",보수일람표!Y91)</f>
        <v>0</v>
      </c>
      <c r="AW93" s="1187">
        <f>IF(보수일람표!Z91="","",보수일람표!Z91)</f>
        <v>0</v>
      </c>
      <c r="AX93" s="1134">
        <f>IF(보수일람표!AA91="","",보수일람표!AA91)</f>
        <v>0</v>
      </c>
    </row>
    <row r="94" spans="11:50">
      <c r="K94" s="42"/>
      <c r="L94" s="12"/>
      <c r="M94" s="12"/>
      <c r="N94" s="12"/>
      <c r="O94" s="12" t="str">
        <f>IFERROR(IF(예산업로드양식!E89="","",IF(예산업로드양식!F89="06",예산업로드양식!E89,"")),"")</f>
        <v/>
      </c>
      <c r="P94" s="13" t="str">
        <f>IFERROR(IF(예산업로드양식!H89="","",IF(예산업로드양식!F89="06",예산업로드양식!H89,"")),"")</f>
        <v/>
      </c>
      <c r="Q94" s="7" t="str">
        <f t="shared" si="1"/>
        <v/>
      </c>
      <c r="R94" s="13"/>
      <c r="S94" s="218"/>
      <c r="T94" s="42"/>
      <c r="U94" s="12"/>
      <c r="V94" s="12"/>
      <c r="W94" s="12"/>
      <c r="X94" s="12" t="str">
        <f>IFERROR(IF(예산업로드양식!E89="","",IF(예산업로드양식!F89="07",예산업로드양식!E89,"")),"")</f>
        <v/>
      </c>
      <c r="Y94" s="13" t="str">
        <f>IFERROR(IF(예산업로드양식!H89="","",IF(예산업로드양식!F89="07",예산업로드양식!H89,"")),"")</f>
        <v/>
      </c>
      <c r="Z94" s="13"/>
      <c r="AA94" s="13"/>
      <c r="AB94" s="218"/>
      <c r="AC94" s="42"/>
      <c r="AD94" s="12"/>
      <c r="AE94" s="12"/>
      <c r="AF94" s="12"/>
      <c r="AG94" s="12" t="str">
        <f>IFERROR(IF(예산업로드양식!E89="","",IF(예산업로드양식!F89="05",예산업로드양식!E89,"")),"")</f>
        <v/>
      </c>
      <c r="AH94" s="13" t="str">
        <f>IFERROR(IF(예산업로드양식!H89="","",IF(예산업로드양식!F89="05",예산업로드양식!H89,"")),"")</f>
        <v/>
      </c>
      <c r="AI94" s="13"/>
      <c r="AJ94" s="13"/>
      <c r="AL94" s="1182" t="str">
        <f>IF(보수일람표!O92="","",보수일람표!O92)</f>
        <v/>
      </c>
      <c r="AM94" s="1183" t="str">
        <f>IF(보수일람표!P92="","",보수일람표!P92)</f>
        <v/>
      </c>
      <c r="AN94" s="1184">
        <f>IF(보수일람표!S92="","",보수일람표!S92)</f>
        <v>0</v>
      </c>
      <c r="AO94" s="1185">
        <f>IF(보수일람표!R92="","",보수일람표!R92)</f>
        <v>0</v>
      </c>
      <c r="AP94" s="1118">
        <f>IF(보수일람표!S92="","",보수일람표!S92)</f>
        <v>0</v>
      </c>
      <c r="AQ94" s="1186">
        <f>IF(보수일람표!T92="","",보수일람표!T92)</f>
        <v>0</v>
      </c>
      <c r="AR94" s="1120">
        <f>IF(보수일람표!U92="","",보수일람표!U92)</f>
        <v>0</v>
      </c>
      <c r="AS94" s="1121">
        <f>IF(보수일람표!V92="","",보수일람표!V92)</f>
        <v>0</v>
      </c>
      <c r="AT94" s="1122">
        <f>IF(보수일람표!W92="","",보수일람표!W92)</f>
        <v>0</v>
      </c>
      <c r="AU94" s="1123">
        <f>IF(보수일람표!X92="","",보수일람표!X92)</f>
        <v>0</v>
      </c>
      <c r="AV94" s="1124">
        <f>IF(보수일람표!Y92="","",보수일람표!Y92)</f>
        <v>0</v>
      </c>
      <c r="AW94" s="1187">
        <f>IF(보수일람표!Z92="","",보수일람표!Z92)</f>
        <v>0</v>
      </c>
      <c r="AX94" s="1134">
        <f>IF(보수일람표!AA92="","",보수일람표!AA92)</f>
        <v>0</v>
      </c>
    </row>
    <row r="95" spans="11:50">
      <c r="K95" s="41"/>
      <c r="L95" s="10"/>
      <c r="M95" s="10"/>
      <c r="N95" s="10"/>
      <c r="O95" s="10" t="str">
        <f>IFERROR(IF(예산업로드양식!E90="","",IF(예산업로드양식!F90="06",예산업로드양식!E90,"")),"")</f>
        <v/>
      </c>
      <c r="P95" s="11" t="str">
        <f>IFERROR(IF(예산업로드양식!H90="","",IF(예산업로드양식!F90="06",예산업로드양식!H90,"")),"")</f>
        <v/>
      </c>
      <c r="Q95" s="11" t="str">
        <f t="shared" si="1"/>
        <v/>
      </c>
      <c r="R95" s="11"/>
      <c r="S95" s="218"/>
      <c r="T95" s="41"/>
      <c r="U95" s="10"/>
      <c r="V95" s="10"/>
      <c r="W95" s="10"/>
      <c r="X95" s="10" t="str">
        <f>IFERROR(IF(예산업로드양식!E90="","",IF(예산업로드양식!F90="07",예산업로드양식!E90,"")),"")</f>
        <v/>
      </c>
      <c r="Y95" s="11" t="str">
        <f>IFERROR(IF(예산업로드양식!H90="","",IF(예산업로드양식!F90="07",예산업로드양식!H90,"")),"")</f>
        <v/>
      </c>
      <c r="Z95" s="11"/>
      <c r="AA95" s="11"/>
      <c r="AB95" s="218"/>
      <c r="AC95" s="41"/>
      <c r="AD95" s="10"/>
      <c r="AE95" s="10"/>
      <c r="AF95" s="10"/>
      <c r="AG95" s="10" t="str">
        <f>IFERROR(IF(예산업로드양식!E90="","",IF(예산업로드양식!F90="05",예산업로드양식!E90,"")),"")</f>
        <v/>
      </c>
      <c r="AH95" s="11" t="str">
        <f>IFERROR(IF(예산업로드양식!H90="","",IF(예산업로드양식!F90="05",예산업로드양식!H90,"")),"")</f>
        <v/>
      </c>
      <c r="AI95" s="11"/>
      <c r="AJ95" s="11"/>
      <c r="AL95" s="1182" t="str">
        <f>IF(보수일람표!O93="","",보수일람표!O93)</f>
        <v/>
      </c>
      <c r="AM95" s="1183" t="str">
        <f>IF(보수일람표!P93="","",보수일람표!P93)</f>
        <v/>
      </c>
      <c r="AN95" s="1184">
        <f>IF(보수일람표!S93="","",보수일람표!S93)</f>
        <v>0</v>
      </c>
      <c r="AO95" s="1185">
        <f>IF(보수일람표!R93="","",보수일람표!R93)</f>
        <v>0</v>
      </c>
      <c r="AP95" s="1118">
        <f>IF(보수일람표!S93="","",보수일람표!S93)</f>
        <v>0</v>
      </c>
      <c r="AQ95" s="1186">
        <f>IF(보수일람표!T93="","",보수일람표!T93)</f>
        <v>0</v>
      </c>
      <c r="AR95" s="1120">
        <f>IF(보수일람표!U93="","",보수일람표!U93)</f>
        <v>0</v>
      </c>
      <c r="AS95" s="1121">
        <f>IF(보수일람표!V93="","",보수일람표!V93)</f>
        <v>0</v>
      </c>
      <c r="AT95" s="1122">
        <f>IF(보수일람표!W93="","",보수일람표!W93)</f>
        <v>0</v>
      </c>
      <c r="AU95" s="1123">
        <f>IF(보수일람표!X93="","",보수일람표!X93)</f>
        <v>0</v>
      </c>
      <c r="AV95" s="1124">
        <f>IF(보수일람표!Y93="","",보수일람표!Y93)</f>
        <v>0</v>
      </c>
      <c r="AW95" s="1187">
        <f>IF(보수일람표!Z93="","",보수일람표!Z93)</f>
        <v>0</v>
      </c>
      <c r="AX95" s="1134">
        <f>IF(보수일람표!AA93="","",보수일람표!AA93)</f>
        <v>0</v>
      </c>
    </row>
    <row r="96" spans="11:50">
      <c r="K96" s="42"/>
      <c r="L96" s="12"/>
      <c r="M96" s="12"/>
      <c r="N96" s="12"/>
      <c r="O96" s="12" t="str">
        <f>IFERROR(IF(예산업로드양식!E91="","",IF(예산업로드양식!F91="06",예산업로드양식!E91,"")),"")</f>
        <v/>
      </c>
      <c r="P96" s="13" t="str">
        <f>IFERROR(IF(예산업로드양식!H91="","",IF(예산업로드양식!F91="06",예산업로드양식!H91,"")),"")</f>
        <v/>
      </c>
      <c r="Q96" s="7" t="str">
        <f t="shared" si="1"/>
        <v/>
      </c>
      <c r="R96" s="13"/>
      <c r="S96" s="218"/>
      <c r="T96" s="42"/>
      <c r="U96" s="12"/>
      <c r="V96" s="12"/>
      <c r="W96" s="12"/>
      <c r="X96" s="12" t="str">
        <f>IFERROR(IF(예산업로드양식!E91="","",IF(예산업로드양식!F91="07",예산업로드양식!E91,"")),"")</f>
        <v/>
      </c>
      <c r="Y96" s="13" t="str">
        <f>IFERROR(IF(예산업로드양식!H91="","",IF(예산업로드양식!F91="07",예산업로드양식!H91,"")),"")</f>
        <v/>
      </c>
      <c r="Z96" s="13"/>
      <c r="AA96" s="13"/>
      <c r="AB96" s="218"/>
      <c r="AC96" s="42"/>
      <c r="AD96" s="12"/>
      <c r="AE96" s="12"/>
      <c r="AF96" s="12"/>
      <c r="AG96" s="12" t="str">
        <f>IFERROR(IF(예산업로드양식!E91="","",IF(예산업로드양식!F91="05",예산업로드양식!E91,"")),"")</f>
        <v/>
      </c>
      <c r="AH96" s="13" t="str">
        <f>IFERROR(IF(예산업로드양식!H91="","",IF(예산업로드양식!F91="05",예산업로드양식!H91,"")),"")</f>
        <v/>
      </c>
      <c r="AI96" s="13"/>
      <c r="AJ96" s="13"/>
      <c r="AL96" s="1182" t="str">
        <f>IF(보수일람표!O94="","",보수일람표!O94)</f>
        <v/>
      </c>
      <c r="AM96" s="1183" t="str">
        <f>IF(보수일람표!P94="","",보수일람표!P94)</f>
        <v/>
      </c>
      <c r="AN96" s="1184">
        <f>IF(보수일람표!S94="","",보수일람표!S94)</f>
        <v>0</v>
      </c>
      <c r="AO96" s="1185">
        <f>IF(보수일람표!R94="","",보수일람표!R94)</f>
        <v>0</v>
      </c>
      <c r="AP96" s="1118">
        <f>IF(보수일람표!S94="","",보수일람표!S94)</f>
        <v>0</v>
      </c>
      <c r="AQ96" s="1186">
        <f>IF(보수일람표!T94="","",보수일람표!T94)</f>
        <v>0</v>
      </c>
      <c r="AR96" s="1120">
        <f>IF(보수일람표!U94="","",보수일람표!U94)</f>
        <v>0</v>
      </c>
      <c r="AS96" s="1121">
        <f>IF(보수일람표!V94="","",보수일람표!V94)</f>
        <v>0</v>
      </c>
      <c r="AT96" s="1122">
        <f>IF(보수일람표!W94="","",보수일람표!W94)</f>
        <v>0</v>
      </c>
      <c r="AU96" s="1123">
        <f>IF(보수일람표!X94="","",보수일람표!X94)</f>
        <v>0</v>
      </c>
      <c r="AV96" s="1124">
        <f>IF(보수일람표!Y94="","",보수일람표!Y94)</f>
        <v>0</v>
      </c>
      <c r="AW96" s="1187">
        <f>IF(보수일람표!Z94="","",보수일람표!Z94)</f>
        <v>0</v>
      </c>
      <c r="AX96" s="1134">
        <f>IF(보수일람표!AA94="","",보수일람표!AA94)</f>
        <v>0</v>
      </c>
    </row>
    <row r="97" spans="11:50">
      <c r="K97" s="41"/>
      <c r="L97" s="10"/>
      <c r="M97" s="10"/>
      <c r="N97" s="10"/>
      <c r="O97" s="10" t="str">
        <f>IFERROR(IF(예산업로드양식!E92="","",IF(예산업로드양식!F92="06",예산업로드양식!E92,"")),"")</f>
        <v/>
      </c>
      <c r="P97" s="11" t="str">
        <f>IFERROR(IF(예산업로드양식!H92="","",IF(예산업로드양식!F92="06",예산업로드양식!H92,"")),"")</f>
        <v/>
      </c>
      <c r="Q97" s="11" t="str">
        <f t="shared" si="1"/>
        <v/>
      </c>
      <c r="R97" s="11"/>
      <c r="S97" s="218"/>
      <c r="T97" s="41"/>
      <c r="U97" s="10"/>
      <c r="V97" s="10"/>
      <c r="W97" s="10"/>
      <c r="X97" s="10" t="str">
        <f>IFERROR(IF(예산업로드양식!E92="","",IF(예산업로드양식!F92="07",예산업로드양식!E92,"")),"")</f>
        <v/>
      </c>
      <c r="Y97" s="11" t="str">
        <f>IFERROR(IF(예산업로드양식!H92="","",IF(예산업로드양식!F92="07",예산업로드양식!H92,"")),"")</f>
        <v/>
      </c>
      <c r="Z97" s="11"/>
      <c r="AA97" s="11"/>
      <c r="AB97" s="218"/>
      <c r="AC97" s="41"/>
      <c r="AD97" s="10"/>
      <c r="AE97" s="10"/>
      <c r="AF97" s="10"/>
      <c r="AG97" s="10" t="str">
        <f>IFERROR(IF(예산업로드양식!E92="","",IF(예산업로드양식!F92="05",예산업로드양식!E92,"")),"")</f>
        <v/>
      </c>
      <c r="AH97" s="11" t="str">
        <f>IFERROR(IF(예산업로드양식!H92="","",IF(예산업로드양식!F92="05",예산업로드양식!H92,"")),"")</f>
        <v/>
      </c>
      <c r="AI97" s="11"/>
      <c r="AJ97" s="11"/>
      <c r="AL97" s="1182" t="str">
        <f>IF(보수일람표!O95="","",보수일람표!O95)</f>
        <v/>
      </c>
      <c r="AM97" s="1183" t="str">
        <f>IF(보수일람표!P95="","",보수일람표!P95)</f>
        <v/>
      </c>
      <c r="AN97" s="1184">
        <f>IF(보수일람표!S95="","",보수일람표!S95)</f>
        <v>0</v>
      </c>
      <c r="AO97" s="1185">
        <f>IF(보수일람표!R95="","",보수일람표!R95)</f>
        <v>0</v>
      </c>
      <c r="AP97" s="1118">
        <f>IF(보수일람표!S95="","",보수일람표!S95)</f>
        <v>0</v>
      </c>
      <c r="AQ97" s="1186">
        <f>IF(보수일람표!T95="","",보수일람표!T95)</f>
        <v>0</v>
      </c>
      <c r="AR97" s="1120">
        <f>IF(보수일람표!U95="","",보수일람표!U95)</f>
        <v>0</v>
      </c>
      <c r="AS97" s="1121">
        <f>IF(보수일람표!V95="","",보수일람표!V95)</f>
        <v>0</v>
      </c>
      <c r="AT97" s="1122">
        <f>IF(보수일람표!W95="","",보수일람표!W95)</f>
        <v>0</v>
      </c>
      <c r="AU97" s="1123">
        <f>IF(보수일람표!X95="","",보수일람표!X95)</f>
        <v>0</v>
      </c>
      <c r="AV97" s="1124">
        <f>IF(보수일람표!Y95="","",보수일람표!Y95)</f>
        <v>0</v>
      </c>
      <c r="AW97" s="1187">
        <f>IF(보수일람표!Z95="","",보수일람표!Z95)</f>
        <v>0</v>
      </c>
      <c r="AX97" s="1134">
        <f>IF(보수일람표!AA95="","",보수일람표!AA95)</f>
        <v>0</v>
      </c>
    </row>
    <row r="98" spans="11:50">
      <c r="K98" s="42"/>
      <c r="L98" s="12"/>
      <c r="M98" s="12"/>
      <c r="N98" s="12"/>
      <c r="O98" s="12" t="str">
        <f>IFERROR(IF(예산업로드양식!E93="","",IF(예산업로드양식!F93="06",예산업로드양식!E93,"")),"")</f>
        <v/>
      </c>
      <c r="P98" s="13" t="str">
        <f>IFERROR(IF(예산업로드양식!H93="","",IF(예산업로드양식!F93="06",예산업로드양식!H93,"")),"")</f>
        <v/>
      </c>
      <c r="Q98" s="7" t="str">
        <f t="shared" si="1"/>
        <v/>
      </c>
      <c r="R98" s="13"/>
      <c r="S98" s="218"/>
      <c r="T98" s="42"/>
      <c r="U98" s="12"/>
      <c r="V98" s="12"/>
      <c r="W98" s="12"/>
      <c r="X98" s="12" t="str">
        <f>IFERROR(IF(예산업로드양식!E93="","",IF(예산업로드양식!F93="07",예산업로드양식!E93,"")),"")</f>
        <v/>
      </c>
      <c r="Y98" s="13" t="str">
        <f>IFERROR(IF(예산업로드양식!H93="","",IF(예산업로드양식!F93="07",예산업로드양식!H93,"")),"")</f>
        <v/>
      </c>
      <c r="Z98" s="13"/>
      <c r="AA98" s="13"/>
      <c r="AB98" s="218"/>
      <c r="AC98" s="42"/>
      <c r="AD98" s="12"/>
      <c r="AE98" s="12"/>
      <c r="AF98" s="12"/>
      <c r="AG98" s="12" t="str">
        <f>IFERROR(IF(예산업로드양식!E93="","",IF(예산업로드양식!F93="05",예산업로드양식!E93,"")),"")</f>
        <v/>
      </c>
      <c r="AH98" s="13" t="str">
        <f>IFERROR(IF(예산업로드양식!H93="","",IF(예산업로드양식!F93="05",예산업로드양식!H93,"")),"")</f>
        <v/>
      </c>
      <c r="AI98" s="13"/>
      <c r="AJ98" s="13"/>
      <c r="AL98" s="1182" t="str">
        <f>IF(보수일람표!O96="","",보수일람표!O96)</f>
        <v/>
      </c>
      <c r="AM98" s="1183" t="str">
        <f>IF(보수일람표!P96="","",보수일람표!P96)</f>
        <v/>
      </c>
      <c r="AN98" s="1184">
        <f>IF(보수일람표!S96="","",보수일람표!S96)</f>
        <v>0</v>
      </c>
      <c r="AO98" s="1185">
        <f>IF(보수일람표!R96="","",보수일람표!R96)</f>
        <v>0</v>
      </c>
      <c r="AP98" s="1118">
        <f>IF(보수일람표!S96="","",보수일람표!S96)</f>
        <v>0</v>
      </c>
      <c r="AQ98" s="1186">
        <f>IF(보수일람표!T96="","",보수일람표!T96)</f>
        <v>0</v>
      </c>
      <c r="AR98" s="1120">
        <f>IF(보수일람표!U96="","",보수일람표!U96)</f>
        <v>0</v>
      </c>
      <c r="AS98" s="1121">
        <f>IF(보수일람표!V96="","",보수일람표!V96)</f>
        <v>0</v>
      </c>
      <c r="AT98" s="1122">
        <f>IF(보수일람표!W96="","",보수일람표!W96)</f>
        <v>0</v>
      </c>
      <c r="AU98" s="1123">
        <f>IF(보수일람표!X96="","",보수일람표!X96)</f>
        <v>0</v>
      </c>
      <c r="AV98" s="1124">
        <f>IF(보수일람표!Y96="","",보수일람표!Y96)</f>
        <v>0</v>
      </c>
      <c r="AW98" s="1187">
        <f>IF(보수일람표!Z96="","",보수일람표!Z96)</f>
        <v>0</v>
      </c>
      <c r="AX98" s="1134">
        <f>IF(보수일람표!AA96="","",보수일람표!AA96)</f>
        <v>0</v>
      </c>
    </row>
    <row r="99" spans="11:50">
      <c r="K99" s="41"/>
      <c r="L99" s="10"/>
      <c r="M99" s="10"/>
      <c r="N99" s="10"/>
      <c r="O99" s="10" t="str">
        <f>IFERROR(IF(예산업로드양식!E94="","",IF(예산업로드양식!F94="06",예산업로드양식!E94,"")),"")</f>
        <v/>
      </c>
      <c r="P99" s="11" t="str">
        <f>IFERROR(IF(예산업로드양식!H94="","",IF(예산업로드양식!F94="06",예산업로드양식!H94,"")),"")</f>
        <v/>
      </c>
      <c r="Q99" s="11" t="str">
        <f t="shared" si="1"/>
        <v/>
      </c>
      <c r="R99" s="11"/>
      <c r="S99" s="218"/>
      <c r="T99" s="41"/>
      <c r="U99" s="10"/>
      <c r="V99" s="10"/>
      <c r="W99" s="10"/>
      <c r="X99" s="10" t="str">
        <f>IFERROR(IF(예산업로드양식!E94="","",IF(예산업로드양식!F94="07",예산업로드양식!E94,"")),"")</f>
        <v/>
      </c>
      <c r="Y99" s="11" t="str">
        <f>IFERROR(IF(예산업로드양식!H94="","",IF(예산업로드양식!F94="07",예산업로드양식!H94,"")),"")</f>
        <v/>
      </c>
      <c r="Z99" s="11"/>
      <c r="AA99" s="11"/>
      <c r="AB99" s="218"/>
      <c r="AC99" s="41"/>
      <c r="AD99" s="10"/>
      <c r="AE99" s="10"/>
      <c r="AF99" s="10"/>
      <c r="AG99" s="10" t="str">
        <f>IFERROR(IF(예산업로드양식!E94="","",IF(예산업로드양식!F94="05",예산업로드양식!E94,"")),"")</f>
        <v/>
      </c>
      <c r="AH99" s="11" t="str">
        <f>IFERROR(IF(예산업로드양식!H94="","",IF(예산업로드양식!F94="05",예산업로드양식!H94,"")),"")</f>
        <v/>
      </c>
      <c r="AI99" s="11"/>
      <c r="AJ99" s="11"/>
      <c r="AL99" s="1182" t="str">
        <f>IF(보수일람표!O97="","",보수일람표!O97)</f>
        <v/>
      </c>
      <c r="AM99" s="1183" t="str">
        <f>IF(보수일람표!P97="","",보수일람표!P97)</f>
        <v/>
      </c>
      <c r="AN99" s="1184">
        <f>IF(보수일람표!S97="","",보수일람표!S97)</f>
        <v>0</v>
      </c>
      <c r="AO99" s="1185">
        <f>IF(보수일람표!R97="","",보수일람표!R97)</f>
        <v>0</v>
      </c>
      <c r="AP99" s="1118">
        <f>IF(보수일람표!S97="","",보수일람표!S97)</f>
        <v>0</v>
      </c>
      <c r="AQ99" s="1186">
        <f>IF(보수일람표!T97="","",보수일람표!T97)</f>
        <v>0</v>
      </c>
      <c r="AR99" s="1120">
        <f>IF(보수일람표!U97="","",보수일람표!U97)</f>
        <v>0</v>
      </c>
      <c r="AS99" s="1121">
        <f>IF(보수일람표!V97="","",보수일람표!V97)</f>
        <v>0</v>
      </c>
      <c r="AT99" s="1122">
        <f>IF(보수일람표!W97="","",보수일람표!W97)</f>
        <v>0</v>
      </c>
      <c r="AU99" s="1123">
        <f>IF(보수일람표!X97="","",보수일람표!X97)</f>
        <v>0</v>
      </c>
      <c r="AV99" s="1124">
        <f>IF(보수일람표!Y97="","",보수일람표!Y97)</f>
        <v>0</v>
      </c>
      <c r="AW99" s="1187">
        <f>IF(보수일람표!Z97="","",보수일람표!Z97)</f>
        <v>0</v>
      </c>
      <c r="AX99" s="1134">
        <f>IF(보수일람표!AA97="","",보수일람표!AA97)</f>
        <v>0</v>
      </c>
    </row>
    <row r="100" spans="11:50">
      <c r="K100" s="42"/>
      <c r="L100" s="12"/>
      <c r="M100" s="12"/>
      <c r="N100" s="12"/>
      <c r="O100" s="12" t="str">
        <f>IFERROR(IF(예산업로드양식!E95="","",IF(예산업로드양식!F95="06",예산업로드양식!E95,"")),"")</f>
        <v/>
      </c>
      <c r="P100" s="13" t="str">
        <f>IFERROR(IF(예산업로드양식!H95="","",IF(예산업로드양식!F95="06",예산업로드양식!H95,"")),"")</f>
        <v/>
      </c>
      <c r="Q100" s="7" t="str">
        <f t="shared" si="1"/>
        <v/>
      </c>
      <c r="R100" s="13"/>
      <c r="S100" s="218"/>
      <c r="T100" s="42"/>
      <c r="U100" s="12"/>
      <c r="V100" s="12"/>
      <c r="W100" s="12"/>
      <c r="X100" s="12" t="str">
        <f>IFERROR(IF(예산업로드양식!E95="","",IF(예산업로드양식!F95="07",예산업로드양식!E95,"")),"")</f>
        <v/>
      </c>
      <c r="Y100" s="13" t="str">
        <f>IFERROR(IF(예산업로드양식!H95="","",IF(예산업로드양식!F95="07",예산업로드양식!H95,"")),"")</f>
        <v/>
      </c>
      <c r="Z100" s="13"/>
      <c r="AA100" s="13"/>
      <c r="AB100" s="218"/>
      <c r="AC100" s="42"/>
      <c r="AD100" s="12"/>
      <c r="AE100" s="12"/>
      <c r="AF100" s="12"/>
      <c r="AG100" s="12" t="str">
        <f>IFERROR(IF(예산업로드양식!E95="","",IF(예산업로드양식!F95="05",예산업로드양식!E95,"")),"")</f>
        <v/>
      </c>
      <c r="AH100" s="13" t="str">
        <f>IFERROR(IF(예산업로드양식!H95="","",IF(예산업로드양식!F95="05",예산업로드양식!H95,"")),"")</f>
        <v/>
      </c>
      <c r="AI100" s="13"/>
      <c r="AJ100" s="13"/>
      <c r="AL100" s="1182" t="str">
        <f>IF(보수일람표!O98="","",보수일람표!O98)</f>
        <v/>
      </c>
      <c r="AM100" s="1183" t="str">
        <f>IF(보수일람표!P98="","",보수일람표!P98)</f>
        <v/>
      </c>
      <c r="AN100" s="1184">
        <f>IF(보수일람표!S98="","",보수일람표!S98)</f>
        <v>0</v>
      </c>
      <c r="AO100" s="1185">
        <f>IF(보수일람표!R98="","",보수일람표!R98)</f>
        <v>0</v>
      </c>
      <c r="AP100" s="1118">
        <f>IF(보수일람표!S98="","",보수일람표!S98)</f>
        <v>0</v>
      </c>
      <c r="AQ100" s="1186">
        <f>IF(보수일람표!T98="","",보수일람표!T98)</f>
        <v>0</v>
      </c>
      <c r="AR100" s="1120">
        <f>IF(보수일람표!U98="","",보수일람표!U98)</f>
        <v>0</v>
      </c>
      <c r="AS100" s="1121">
        <f>IF(보수일람표!V98="","",보수일람표!V98)</f>
        <v>0</v>
      </c>
      <c r="AT100" s="1122">
        <f>IF(보수일람표!W98="","",보수일람표!W98)</f>
        <v>0</v>
      </c>
      <c r="AU100" s="1123">
        <f>IF(보수일람표!X98="","",보수일람표!X98)</f>
        <v>0</v>
      </c>
      <c r="AV100" s="1124">
        <f>IF(보수일람표!Y98="","",보수일람표!Y98)</f>
        <v>0</v>
      </c>
      <c r="AW100" s="1187">
        <f>IF(보수일람표!Z98="","",보수일람표!Z98)</f>
        <v>0</v>
      </c>
      <c r="AX100" s="1134">
        <f>IF(보수일람표!AA98="","",보수일람표!AA98)</f>
        <v>0</v>
      </c>
    </row>
    <row r="101" spans="11:50">
      <c r="K101" s="41"/>
      <c r="L101" s="10"/>
      <c r="M101" s="10"/>
      <c r="N101" s="10"/>
      <c r="O101" s="10" t="str">
        <f>IFERROR(IF(예산업로드양식!E96="","",IF(예산업로드양식!F96="06",예산업로드양식!E96,"")),"")</f>
        <v/>
      </c>
      <c r="P101" s="11" t="str">
        <f>IFERROR(IF(예산업로드양식!H96="","",IF(예산업로드양식!F96="06",예산업로드양식!H96,"")),"")</f>
        <v/>
      </c>
      <c r="Q101" s="11" t="str">
        <f t="shared" si="1"/>
        <v/>
      </c>
      <c r="R101" s="11"/>
      <c r="S101" s="218"/>
      <c r="T101" s="41"/>
      <c r="U101" s="10"/>
      <c r="V101" s="10"/>
      <c r="W101" s="10"/>
      <c r="X101" s="10" t="str">
        <f>IFERROR(IF(예산업로드양식!E96="","",IF(예산업로드양식!F96="07",예산업로드양식!E96,"")),"")</f>
        <v/>
      </c>
      <c r="Y101" s="11" t="str">
        <f>IFERROR(IF(예산업로드양식!H96="","",IF(예산업로드양식!F96="07",예산업로드양식!H96,"")),"")</f>
        <v/>
      </c>
      <c r="Z101" s="11"/>
      <c r="AA101" s="11"/>
      <c r="AB101" s="218"/>
      <c r="AC101" s="41"/>
      <c r="AD101" s="10"/>
      <c r="AE101" s="10"/>
      <c r="AF101" s="10"/>
      <c r="AG101" s="10" t="str">
        <f>IFERROR(IF(예산업로드양식!E96="","",IF(예산업로드양식!F96="05",예산업로드양식!E96,"")),"")</f>
        <v/>
      </c>
      <c r="AH101" s="11" t="str">
        <f>IFERROR(IF(예산업로드양식!H96="","",IF(예산업로드양식!F96="05",예산업로드양식!H96,"")),"")</f>
        <v/>
      </c>
      <c r="AI101" s="11"/>
      <c r="AJ101" s="11"/>
      <c r="AL101" s="1182" t="str">
        <f>IF(보수일람표!O99="","",보수일람표!O99)</f>
        <v/>
      </c>
      <c r="AM101" s="1183" t="str">
        <f>IF(보수일람표!P99="","",보수일람표!P99)</f>
        <v/>
      </c>
      <c r="AN101" s="1184">
        <f>IF(보수일람표!S99="","",보수일람표!S99)</f>
        <v>0</v>
      </c>
      <c r="AO101" s="1185">
        <f>IF(보수일람표!R99="","",보수일람표!R99)</f>
        <v>0</v>
      </c>
      <c r="AP101" s="1118">
        <f>IF(보수일람표!S99="","",보수일람표!S99)</f>
        <v>0</v>
      </c>
      <c r="AQ101" s="1186">
        <f>IF(보수일람표!T99="","",보수일람표!T99)</f>
        <v>0</v>
      </c>
      <c r="AR101" s="1120">
        <f>IF(보수일람표!U99="","",보수일람표!U99)</f>
        <v>0</v>
      </c>
      <c r="AS101" s="1121">
        <f>IF(보수일람표!V99="","",보수일람표!V99)</f>
        <v>0</v>
      </c>
      <c r="AT101" s="1122">
        <f>IF(보수일람표!W99="","",보수일람표!W99)</f>
        <v>0</v>
      </c>
      <c r="AU101" s="1123">
        <f>IF(보수일람표!X99="","",보수일람표!X99)</f>
        <v>0</v>
      </c>
      <c r="AV101" s="1124">
        <f>IF(보수일람표!Y99="","",보수일람표!Y99)</f>
        <v>0</v>
      </c>
      <c r="AW101" s="1187">
        <f>IF(보수일람표!Z99="","",보수일람표!Z99)</f>
        <v>0</v>
      </c>
      <c r="AX101" s="1134">
        <f>IF(보수일람표!AA99="","",보수일람표!AA99)</f>
        <v>0</v>
      </c>
    </row>
    <row r="102" spans="11:50">
      <c r="K102" s="42"/>
      <c r="L102" s="12"/>
      <c r="M102" s="12"/>
      <c r="N102" s="12"/>
      <c r="O102" s="12" t="str">
        <f>IFERROR(IF(예산업로드양식!E97="","",IF(예산업로드양식!F97="06",예산업로드양식!E97,"")),"")</f>
        <v/>
      </c>
      <c r="P102" s="13" t="str">
        <f>IFERROR(IF(예산업로드양식!H97="","",IF(예산업로드양식!F97="06",예산업로드양식!H97,"")),"")</f>
        <v/>
      </c>
      <c r="Q102" s="7" t="str">
        <f t="shared" si="1"/>
        <v/>
      </c>
      <c r="R102" s="13"/>
      <c r="S102" s="218"/>
      <c r="T102" s="42"/>
      <c r="U102" s="12"/>
      <c r="V102" s="12"/>
      <c r="W102" s="12"/>
      <c r="X102" s="12" t="str">
        <f>IFERROR(IF(예산업로드양식!E97="","",IF(예산업로드양식!F97="07",예산업로드양식!E97,"")),"")</f>
        <v/>
      </c>
      <c r="Y102" s="13" t="str">
        <f>IFERROR(IF(예산업로드양식!H97="","",IF(예산업로드양식!F97="07",예산업로드양식!H97,"")),"")</f>
        <v/>
      </c>
      <c r="Z102" s="13"/>
      <c r="AA102" s="13"/>
      <c r="AB102" s="218"/>
      <c r="AC102" s="42"/>
      <c r="AD102" s="12"/>
      <c r="AE102" s="12"/>
      <c r="AF102" s="12"/>
      <c r="AG102" s="12" t="str">
        <f>IFERROR(IF(예산업로드양식!E97="","",IF(예산업로드양식!F97="05",예산업로드양식!E97,"")),"")</f>
        <v/>
      </c>
      <c r="AH102" s="13" t="str">
        <f>IFERROR(IF(예산업로드양식!H97="","",IF(예산업로드양식!F97="05",예산업로드양식!H97,"")),"")</f>
        <v/>
      </c>
      <c r="AI102" s="13"/>
      <c r="AJ102" s="13"/>
      <c r="AL102" s="1182" t="str">
        <f>IF(보수일람표!O100="","",보수일람표!O100)</f>
        <v/>
      </c>
      <c r="AM102" s="1183" t="str">
        <f>IF(보수일람표!P100="","",보수일람표!P100)</f>
        <v/>
      </c>
      <c r="AN102" s="1184">
        <f>IF(보수일람표!S100="","",보수일람표!S100)</f>
        <v>0</v>
      </c>
      <c r="AO102" s="1185">
        <f>IF(보수일람표!R100="","",보수일람표!R100)</f>
        <v>0</v>
      </c>
      <c r="AP102" s="1118">
        <f>IF(보수일람표!S100="","",보수일람표!S100)</f>
        <v>0</v>
      </c>
      <c r="AQ102" s="1186">
        <f>IF(보수일람표!T100="","",보수일람표!T100)</f>
        <v>0</v>
      </c>
      <c r="AR102" s="1120">
        <f>IF(보수일람표!U100="","",보수일람표!U100)</f>
        <v>0</v>
      </c>
      <c r="AS102" s="1121">
        <f>IF(보수일람표!V100="","",보수일람표!V100)</f>
        <v>0</v>
      </c>
      <c r="AT102" s="1122">
        <f>IF(보수일람표!W100="","",보수일람표!W100)</f>
        <v>0</v>
      </c>
      <c r="AU102" s="1123">
        <f>IF(보수일람표!X100="","",보수일람표!X100)</f>
        <v>0</v>
      </c>
      <c r="AV102" s="1124">
        <f>IF(보수일람표!Y100="","",보수일람표!Y100)</f>
        <v>0</v>
      </c>
      <c r="AW102" s="1187">
        <f>IF(보수일람표!Z100="","",보수일람표!Z100)</f>
        <v>0</v>
      </c>
      <c r="AX102" s="1134">
        <f>IF(보수일람표!AA100="","",보수일람표!AA100)</f>
        <v>0</v>
      </c>
    </row>
    <row r="103" spans="11:50">
      <c r="K103" s="41"/>
      <c r="L103" s="10"/>
      <c r="M103" s="10"/>
      <c r="N103" s="10"/>
      <c r="O103" s="10" t="str">
        <f>IFERROR(IF(예산업로드양식!E98="","",IF(예산업로드양식!F98="06",예산업로드양식!E98,"")),"")</f>
        <v/>
      </c>
      <c r="P103" s="11" t="str">
        <f>IFERROR(IF(예산업로드양식!H98="","",IF(예산업로드양식!F98="06",예산업로드양식!H98,"")),"")</f>
        <v/>
      </c>
      <c r="Q103" s="11" t="str">
        <f t="shared" si="1"/>
        <v/>
      </c>
      <c r="R103" s="11"/>
      <c r="S103" s="218"/>
      <c r="T103" s="41"/>
      <c r="U103" s="10"/>
      <c r="V103" s="10"/>
      <c r="W103" s="10"/>
      <c r="X103" s="10" t="str">
        <f>IFERROR(IF(예산업로드양식!E98="","",IF(예산업로드양식!F98="07",예산업로드양식!E98,"")),"")</f>
        <v/>
      </c>
      <c r="Y103" s="11" t="str">
        <f>IFERROR(IF(예산업로드양식!H98="","",IF(예산업로드양식!F98="07",예산업로드양식!H98,"")),"")</f>
        <v/>
      </c>
      <c r="Z103" s="11"/>
      <c r="AA103" s="11"/>
      <c r="AB103" s="218"/>
      <c r="AC103" s="41"/>
      <c r="AD103" s="10"/>
      <c r="AE103" s="10"/>
      <c r="AF103" s="10"/>
      <c r="AG103" s="10" t="str">
        <f>IFERROR(IF(예산업로드양식!E98="","",IF(예산업로드양식!F98="05",예산업로드양식!E98,"")),"")</f>
        <v/>
      </c>
      <c r="AH103" s="11" t="str">
        <f>IFERROR(IF(예산업로드양식!H98="","",IF(예산업로드양식!F98="05",예산업로드양식!H98,"")),"")</f>
        <v/>
      </c>
      <c r="AI103" s="11"/>
      <c r="AJ103" s="11"/>
      <c r="AL103" s="1182" t="str">
        <f>IF(보수일람표!O101="","",보수일람표!O101)</f>
        <v/>
      </c>
      <c r="AM103" s="1183" t="str">
        <f>IF(보수일람표!P101="","",보수일람표!P101)</f>
        <v/>
      </c>
      <c r="AN103" s="1184">
        <f>IF(보수일람표!S101="","",보수일람표!S101)</f>
        <v>0</v>
      </c>
      <c r="AO103" s="1185">
        <f>IF(보수일람표!R101="","",보수일람표!R101)</f>
        <v>0</v>
      </c>
      <c r="AP103" s="1118">
        <f>IF(보수일람표!S101="","",보수일람표!S101)</f>
        <v>0</v>
      </c>
      <c r="AQ103" s="1186">
        <f>IF(보수일람표!T101="","",보수일람표!T101)</f>
        <v>0</v>
      </c>
      <c r="AR103" s="1120">
        <f>IF(보수일람표!U101="","",보수일람표!U101)</f>
        <v>0</v>
      </c>
      <c r="AS103" s="1121">
        <f>IF(보수일람표!V101="","",보수일람표!V101)</f>
        <v>0</v>
      </c>
      <c r="AT103" s="1122">
        <f>IF(보수일람표!W101="","",보수일람표!W101)</f>
        <v>0</v>
      </c>
      <c r="AU103" s="1123">
        <f>IF(보수일람표!X101="","",보수일람표!X101)</f>
        <v>0</v>
      </c>
      <c r="AV103" s="1124">
        <f>IF(보수일람표!Y101="","",보수일람표!Y101)</f>
        <v>0</v>
      </c>
      <c r="AW103" s="1187">
        <f>IF(보수일람표!Z101="","",보수일람표!Z101)</f>
        <v>0</v>
      </c>
      <c r="AX103" s="1134">
        <f>IF(보수일람표!AA101="","",보수일람표!AA101)</f>
        <v>0</v>
      </c>
    </row>
    <row r="104" spans="11:50">
      <c r="K104" s="42"/>
      <c r="L104" s="12"/>
      <c r="M104" s="12"/>
      <c r="N104" s="12"/>
      <c r="O104" s="12" t="str">
        <f>IFERROR(IF(예산업로드양식!E99="","",IF(예산업로드양식!F99="06",예산업로드양식!E99,"")),"")</f>
        <v/>
      </c>
      <c r="P104" s="13" t="str">
        <f>IFERROR(IF(예산업로드양식!H99="","",IF(예산업로드양식!F99="06",예산업로드양식!H99,"")),"")</f>
        <v/>
      </c>
      <c r="Q104" s="7" t="str">
        <f t="shared" si="1"/>
        <v/>
      </c>
      <c r="R104" s="13"/>
      <c r="S104" s="218"/>
      <c r="T104" s="42"/>
      <c r="U104" s="12"/>
      <c r="V104" s="12"/>
      <c r="W104" s="12"/>
      <c r="X104" s="12" t="str">
        <f>IFERROR(IF(예산업로드양식!E99="","",IF(예산업로드양식!F99="07",예산업로드양식!E99,"")),"")</f>
        <v/>
      </c>
      <c r="Y104" s="13" t="str">
        <f>IFERROR(IF(예산업로드양식!H99="","",IF(예산업로드양식!F99="07",예산업로드양식!H99,"")),"")</f>
        <v/>
      </c>
      <c r="Z104" s="13"/>
      <c r="AA104" s="13"/>
      <c r="AB104" s="218"/>
      <c r="AC104" s="42"/>
      <c r="AD104" s="12"/>
      <c r="AE104" s="12"/>
      <c r="AF104" s="12"/>
      <c r="AG104" s="12" t="str">
        <f>IFERROR(IF(예산업로드양식!E99="","",IF(예산업로드양식!F99="05",예산업로드양식!E99,"")),"")</f>
        <v/>
      </c>
      <c r="AH104" s="13" t="str">
        <f>IFERROR(IF(예산업로드양식!H99="","",IF(예산업로드양식!F99="05",예산업로드양식!H99,"")),"")</f>
        <v/>
      </c>
      <c r="AI104" s="13"/>
      <c r="AJ104" s="13"/>
      <c r="AL104" s="1182" t="str">
        <f>IF(보수일람표!O102="","",보수일람표!O102)</f>
        <v/>
      </c>
      <c r="AM104" s="1183" t="str">
        <f>IF(보수일람표!P102="","",보수일람표!P102)</f>
        <v/>
      </c>
      <c r="AN104" s="1184">
        <f>IF(보수일람표!S102="","",보수일람표!S102)</f>
        <v>0</v>
      </c>
      <c r="AO104" s="1185">
        <f>IF(보수일람표!R102="","",보수일람표!R102)</f>
        <v>0</v>
      </c>
      <c r="AP104" s="1118">
        <f>IF(보수일람표!S102="","",보수일람표!S102)</f>
        <v>0</v>
      </c>
      <c r="AQ104" s="1186">
        <f>IF(보수일람표!T102="","",보수일람표!T102)</f>
        <v>0</v>
      </c>
      <c r="AR104" s="1120">
        <f>IF(보수일람표!U102="","",보수일람표!U102)</f>
        <v>0</v>
      </c>
      <c r="AS104" s="1121">
        <f>IF(보수일람표!V102="","",보수일람표!V102)</f>
        <v>0</v>
      </c>
      <c r="AT104" s="1122">
        <f>IF(보수일람표!W102="","",보수일람표!W102)</f>
        <v>0</v>
      </c>
      <c r="AU104" s="1123">
        <f>IF(보수일람표!X102="","",보수일람표!X102)</f>
        <v>0</v>
      </c>
      <c r="AV104" s="1124">
        <f>IF(보수일람표!Y102="","",보수일람표!Y102)</f>
        <v>0</v>
      </c>
      <c r="AW104" s="1187">
        <f>IF(보수일람표!Z102="","",보수일람표!Z102)</f>
        <v>0</v>
      </c>
      <c r="AX104" s="1134">
        <f>IF(보수일람표!AA102="","",보수일람표!AA102)</f>
        <v>0</v>
      </c>
    </row>
    <row r="105" spans="11:50">
      <c r="K105" s="41"/>
      <c r="L105" s="10"/>
      <c r="M105" s="10"/>
      <c r="N105" s="10"/>
      <c r="O105" s="10" t="str">
        <f>IFERROR(IF(예산업로드양식!E100="","",IF(예산업로드양식!F100="06",예산업로드양식!E100,"")),"")</f>
        <v/>
      </c>
      <c r="P105" s="11" t="str">
        <f>IFERROR(IF(예산업로드양식!H100="","",IF(예산업로드양식!F100="06",예산업로드양식!H100,"")),"")</f>
        <v/>
      </c>
      <c r="Q105" s="11" t="str">
        <f t="shared" si="1"/>
        <v/>
      </c>
      <c r="R105" s="11"/>
      <c r="S105" s="218"/>
      <c r="T105" s="41"/>
      <c r="U105" s="10"/>
      <c r="V105" s="10"/>
      <c r="W105" s="10"/>
      <c r="X105" s="10" t="str">
        <f>IFERROR(IF(예산업로드양식!E100="","",IF(예산업로드양식!F100="07",예산업로드양식!E100,"")),"")</f>
        <v/>
      </c>
      <c r="Y105" s="11" t="str">
        <f>IFERROR(IF(예산업로드양식!H100="","",IF(예산업로드양식!F100="07",예산업로드양식!H100,"")),"")</f>
        <v/>
      </c>
      <c r="Z105" s="11"/>
      <c r="AA105" s="11"/>
      <c r="AB105" s="218"/>
      <c r="AC105" s="41"/>
      <c r="AD105" s="10"/>
      <c r="AE105" s="10"/>
      <c r="AF105" s="10"/>
      <c r="AG105" s="10" t="str">
        <f>IFERROR(IF(예산업로드양식!E100="","",IF(예산업로드양식!F100="05",예산업로드양식!E100,"")),"")</f>
        <v/>
      </c>
      <c r="AH105" s="11" t="str">
        <f>IFERROR(IF(예산업로드양식!H100="","",IF(예산업로드양식!F100="05",예산업로드양식!H100,"")),"")</f>
        <v/>
      </c>
      <c r="AI105" s="11"/>
      <c r="AJ105" s="11"/>
      <c r="AL105" s="1182" t="str">
        <f>IF(보수일람표!O103="","",보수일람표!O103)</f>
        <v/>
      </c>
      <c r="AM105" s="1183" t="str">
        <f>IF(보수일람표!P103="","",보수일람표!P103)</f>
        <v/>
      </c>
      <c r="AN105" s="1184">
        <f>IF(보수일람표!S103="","",보수일람표!S103)</f>
        <v>0</v>
      </c>
      <c r="AO105" s="1185">
        <f>IF(보수일람표!R103="","",보수일람표!R103)</f>
        <v>0</v>
      </c>
      <c r="AP105" s="1118">
        <f>IF(보수일람표!S103="","",보수일람표!S103)</f>
        <v>0</v>
      </c>
      <c r="AQ105" s="1186">
        <f>IF(보수일람표!T103="","",보수일람표!T103)</f>
        <v>0</v>
      </c>
      <c r="AR105" s="1120">
        <f>IF(보수일람표!U103="","",보수일람표!U103)</f>
        <v>0</v>
      </c>
      <c r="AS105" s="1121">
        <f>IF(보수일람표!V103="","",보수일람표!V103)</f>
        <v>0</v>
      </c>
      <c r="AT105" s="1122">
        <f>IF(보수일람표!W103="","",보수일람표!W103)</f>
        <v>0</v>
      </c>
      <c r="AU105" s="1123">
        <f>IF(보수일람표!X103="","",보수일람표!X103)</f>
        <v>0</v>
      </c>
      <c r="AV105" s="1124">
        <f>IF(보수일람표!Y103="","",보수일람표!Y103)</f>
        <v>0</v>
      </c>
      <c r="AW105" s="1187">
        <f>IF(보수일람표!Z103="","",보수일람표!Z103)</f>
        <v>0</v>
      </c>
      <c r="AX105" s="1134">
        <f>IF(보수일람표!AA103="","",보수일람표!AA103)</f>
        <v>0</v>
      </c>
    </row>
    <row r="106" spans="11:50">
      <c r="K106" s="42"/>
      <c r="L106" s="12"/>
      <c r="M106" s="12"/>
      <c r="N106" s="12"/>
      <c r="O106" s="12" t="str">
        <f>IFERROR(IF(예산업로드양식!E101="","",IF(예산업로드양식!F101="06",예산업로드양식!E101,"")),"")</f>
        <v/>
      </c>
      <c r="P106" s="13" t="str">
        <f>IFERROR(IF(예산업로드양식!H101="","",IF(예산업로드양식!F101="06",예산업로드양식!H101,"")),"")</f>
        <v/>
      </c>
      <c r="Q106" s="7" t="str">
        <f t="shared" si="1"/>
        <v/>
      </c>
      <c r="R106" s="13"/>
      <c r="S106" s="218"/>
      <c r="T106" s="42"/>
      <c r="U106" s="12"/>
      <c r="V106" s="12"/>
      <c r="W106" s="12"/>
      <c r="X106" s="12" t="str">
        <f>IFERROR(IF(예산업로드양식!E101="","",IF(예산업로드양식!F101="07",예산업로드양식!E101,"")),"")</f>
        <v/>
      </c>
      <c r="Y106" s="13" t="str">
        <f>IFERROR(IF(예산업로드양식!H101="","",IF(예산업로드양식!F101="07",예산업로드양식!H101,"")),"")</f>
        <v/>
      </c>
      <c r="Z106" s="13"/>
      <c r="AA106" s="13"/>
      <c r="AB106" s="218"/>
      <c r="AC106" s="42"/>
      <c r="AD106" s="12"/>
      <c r="AE106" s="12"/>
      <c r="AF106" s="12"/>
      <c r="AG106" s="12" t="str">
        <f>IFERROR(IF(예산업로드양식!E101="","",IF(예산업로드양식!F101="05",예산업로드양식!E101,"")),"")</f>
        <v/>
      </c>
      <c r="AH106" s="13" t="str">
        <f>IFERROR(IF(예산업로드양식!H101="","",IF(예산업로드양식!F101="05",예산업로드양식!H101,"")),"")</f>
        <v/>
      </c>
      <c r="AI106" s="13"/>
      <c r="AJ106" s="13"/>
      <c r="AL106" s="1182" t="str">
        <f>IF(보수일람표!O104="","",보수일람표!O104)</f>
        <v/>
      </c>
      <c r="AM106" s="1183" t="str">
        <f>IF(보수일람표!P104="","",보수일람표!P104)</f>
        <v/>
      </c>
      <c r="AN106" s="1184">
        <f>IF(보수일람표!S104="","",보수일람표!S104)</f>
        <v>0</v>
      </c>
      <c r="AO106" s="1185">
        <f>IF(보수일람표!R104="","",보수일람표!R104)</f>
        <v>0</v>
      </c>
      <c r="AP106" s="1118">
        <f>IF(보수일람표!S104="","",보수일람표!S104)</f>
        <v>0</v>
      </c>
      <c r="AQ106" s="1186">
        <f>IF(보수일람표!T104="","",보수일람표!T104)</f>
        <v>0</v>
      </c>
      <c r="AR106" s="1120">
        <f>IF(보수일람표!U104="","",보수일람표!U104)</f>
        <v>0</v>
      </c>
      <c r="AS106" s="1121">
        <f>IF(보수일람표!V104="","",보수일람표!V104)</f>
        <v>0</v>
      </c>
      <c r="AT106" s="1122">
        <f>IF(보수일람표!W104="","",보수일람표!W104)</f>
        <v>0</v>
      </c>
      <c r="AU106" s="1123">
        <f>IF(보수일람표!X104="","",보수일람표!X104)</f>
        <v>0</v>
      </c>
      <c r="AV106" s="1124">
        <f>IF(보수일람표!Y104="","",보수일람표!Y104)</f>
        <v>0</v>
      </c>
      <c r="AW106" s="1187">
        <f>IF(보수일람표!Z104="","",보수일람표!Z104)</f>
        <v>0</v>
      </c>
      <c r="AX106" s="1134">
        <f>IF(보수일람표!AA104="","",보수일람표!AA104)</f>
        <v>0</v>
      </c>
    </row>
    <row r="107" spans="11:50">
      <c r="K107" s="41"/>
      <c r="L107" s="10"/>
      <c r="M107" s="10"/>
      <c r="N107" s="10"/>
      <c r="O107" s="10" t="str">
        <f>IFERROR(IF(예산업로드양식!E102="","",IF(예산업로드양식!F102="06",예산업로드양식!E102,"")),"")</f>
        <v/>
      </c>
      <c r="P107" s="11" t="str">
        <f>IFERROR(IF(예산업로드양식!H102="","",IF(예산업로드양식!F102="06",예산업로드양식!H102,"")),"")</f>
        <v/>
      </c>
      <c r="Q107" s="11" t="str">
        <f t="shared" si="1"/>
        <v/>
      </c>
      <c r="R107" s="11"/>
      <c r="S107" s="218"/>
      <c r="T107" s="41"/>
      <c r="U107" s="10"/>
      <c r="V107" s="10"/>
      <c r="W107" s="10"/>
      <c r="X107" s="10" t="str">
        <f>IFERROR(IF(예산업로드양식!E102="","",IF(예산업로드양식!F102="07",예산업로드양식!E102,"")),"")</f>
        <v/>
      </c>
      <c r="Y107" s="11" t="str">
        <f>IFERROR(IF(예산업로드양식!H102="","",IF(예산업로드양식!F102="07",예산업로드양식!H102,"")),"")</f>
        <v/>
      </c>
      <c r="Z107" s="11"/>
      <c r="AA107" s="11"/>
      <c r="AB107" s="218"/>
      <c r="AC107" s="41"/>
      <c r="AD107" s="10"/>
      <c r="AE107" s="10"/>
      <c r="AF107" s="10"/>
      <c r="AG107" s="10" t="str">
        <f>IFERROR(IF(예산업로드양식!E102="","",IF(예산업로드양식!F102="05",예산업로드양식!E102,"")),"")</f>
        <v/>
      </c>
      <c r="AH107" s="11" t="str">
        <f>IFERROR(IF(예산업로드양식!H102="","",IF(예산업로드양식!F102="05",예산업로드양식!H102,"")),"")</f>
        <v/>
      </c>
      <c r="AI107" s="11"/>
      <c r="AJ107" s="11"/>
      <c r="AL107" s="1182" t="str">
        <f>IF(보수일람표!O105="","",보수일람표!O105)</f>
        <v/>
      </c>
      <c r="AM107" s="1183" t="str">
        <f>IF(보수일람표!P105="","",보수일람표!P105)</f>
        <v/>
      </c>
      <c r="AN107" s="1184">
        <f>IF(보수일람표!S105="","",보수일람표!S105)</f>
        <v>0</v>
      </c>
      <c r="AO107" s="1185">
        <f>IF(보수일람표!R105="","",보수일람표!R105)</f>
        <v>0</v>
      </c>
      <c r="AP107" s="1118">
        <f>IF(보수일람표!S105="","",보수일람표!S105)</f>
        <v>0</v>
      </c>
      <c r="AQ107" s="1186">
        <f>IF(보수일람표!T105="","",보수일람표!T105)</f>
        <v>0</v>
      </c>
      <c r="AR107" s="1120">
        <f>IF(보수일람표!U105="","",보수일람표!U105)</f>
        <v>0</v>
      </c>
      <c r="AS107" s="1121">
        <f>IF(보수일람표!V105="","",보수일람표!V105)</f>
        <v>0</v>
      </c>
      <c r="AT107" s="1122">
        <f>IF(보수일람표!W105="","",보수일람표!W105)</f>
        <v>0</v>
      </c>
      <c r="AU107" s="1123">
        <f>IF(보수일람표!X105="","",보수일람표!X105)</f>
        <v>0</v>
      </c>
      <c r="AV107" s="1124">
        <f>IF(보수일람표!Y105="","",보수일람표!Y105)</f>
        <v>0</v>
      </c>
      <c r="AW107" s="1187">
        <f>IF(보수일람표!Z105="","",보수일람표!Z105)</f>
        <v>0</v>
      </c>
      <c r="AX107" s="1134">
        <f>IF(보수일람표!AA105="","",보수일람표!AA105)</f>
        <v>0</v>
      </c>
    </row>
    <row r="108" spans="11:50">
      <c r="K108" s="42"/>
      <c r="L108" s="12"/>
      <c r="M108" s="12"/>
      <c r="N108" s="12"/>
      <c r="O108" s="12" t="str">
        <f>IFERROR(IF(예산업로드양식!E103="","",IF(예산업로드양식!F103="06",예산업로드양식!E103,"")),"")</f>
        <v/>
      </c>
      <c r="P108" s="13" t="str">
        <f>IFERROR(IF(예산업로드양식!H103="","",IF(예산업로드양식!F103="06",예산업로드양식!H103,"")),"")</f>
        <v/>
      </c>
      <c r="Q108" s="7" t="str">
        <f t="shared" si="1"/>
        <v/>
      </c>
      <c r="R108" s="13"/>
      <c r="S108" s="218"/>
      <c r="T108" s="42"/>
      <c r="U108" s="12"/>
      <c r="V108" s="12"/>
      <c r="W108" s="12"/>
      <c r="X108" s="12" t="str">
        <f>IFERROR(IF(예산업로드양식!E103="","",IF(예산업로드양식!F103="07",예산업로드양식!E103,"")),"")</f>
        <v/>
      </c>
      <c r="Y108" s="13" t="str">
        <f>IFERROR(IF(예산업로드양식!H103="","",IF(예산업로드양식!F103="07",예산업로드양식!H103,"")),"")</f>
        <v/>
      </c>
      <c r="Z108" s="13"/>
      <c r="AA108" s="13"/>
      <c r="AB108" s="218"/>
      <c r="AC108" s="42"/>
      <c r="AD108" s="12"/>
      <c r="AE108" s="12"/>
      <c r="AF108" s="12"/>
      <c r="AG108" s="12" t="str">
        <f>IFERROR(IF(예산업로드양식!E103="","",IF(예산업로드양식!F103="05",예산업로드양식!E103,"")),"")</f>
        <v/>
      </c>
      <c r="AH108" s="13" t="str">
        <f>IFERROR(IF(예산업로드양식!H103="","",IF(예산업로드양식!F103="05",예산업로드양식!H103,"")),"")</f>
        <v/>
      </c>
      <c r="AI108" s="13"/>
      <c r="AJ108" s="13"/>
      <c r="AL108" s="1182" t="str">
        <f>IF(보수일람표!O106="","",보수일람표!O106)</f>
        <v/>
      </c>
      <c r="AM108" s="1183" t="str">
        <f>IF(보수일람표!P106="","",보수일람표!P106)</f>
        <v/>
      </c>
      <c r="AN108" s="1184">
        <f>IF(보수일람표!S106="","",보수일람표!S106)</f>
        <v>0</v>
      </c>
      <c r="AO108" s="1185">
        <f>IF(보수일람표!R106="","",보수일람표!R106)</f>
        <v>0</v>
      </c>
      <c r="AP108" s="1118">
        <f>IF(보수일람표!S106="","",보수일람표!S106)</f>
        <v>0</v>
      </c>
      <c r="AQ108" s="1186">
        <f>IF(보수일람표!T106="","",보수일람표!T106)</f>
        <v>0</v>
      </c>
      <c r="AR108" s="1120">
        <f>IF(보수일람표!U106="","",보수일람표!U106)</f>
        <v>0</v>
      </c>
      <c r="AS108" s="1121">
        <f>IF(보수일람표!V106="","",보수일람표!V106)</f>
        <v>0</v>
      </c>
      <c r="AT108" s="1122">
        <f>IF(보수일람표!W106="","",보수일람표!W106)</f>
        <v>0</v>
      </c>
      <c r="AU108" s="1123">
        <f>IF(보수일람표!X106="","",보수일람표!X106)</f>
        <v>0</v>
      </c>
      <c r="AV108" s="1124">
        <f>IF(보수일람표!Y106="","",보수일람표!Y106)</f>
        <v>0</v>
      </c>
      <c r="AW108" s="1187">
        <f>IF(보수일람표!Z106="","",보수일람표!Z106)</f>
        <v>0</v>
      </c>
      <c r="AX108" s="1134">
        <f>IF(보수일람표!AA106="","",보수일람표!AA106)</f>
        <v>0</v>
      </c>
    </row>
    <row r="109" spans="11:50">
      <c r="K109" s="41"/>
      <c r="L109" s="10"/>
      <c r="M109" s="10"/>
      <c r="N109" s="10"/>
      <c r="O109" s="10" t="str">
        <f>IFERROR(IF(예산업로드양식!E104="","",IF(예산업로드양식!F104="06",예산업로드양식!E104,"")),"")</f>
        <v/>
      </c>
      <c r="P109" s="11" t="str">
        <f>IFERROR(IF(예산업로드양식!H104="","",IF(예산업로드양식!F104="06",예산업로드양식!H104,"")),"")</f>
        <v/>
      </c>
      <c r="Q109" s="11" t="str">
        <f t="shared" si="1"/>
        <v/>
      </c>
      <c r="R109" s="11"/>
      <c r="S109" s="218"/>
      <c r="T109" s="41"/>
      <c r="U109" s="10"/>
      <c r="V109" s="10"/>
      <c r="W109" s="10"/>
      <c r="X109" s="10" t="str">
        <f>IFERROR(IF(예산업로드양식!E104="","",IF(예산업로드양식!F104="07",예산업로드양식!E104,"")),"")</f>
        <v/>
      </c>
      <c r="Y109" s="11" t="str">
        <f>IFERROR(IF(예산업로드양식!H104="","",IF(예산업로드양식!F104="07",예산업로드양식!H104,"")),"")</f>
        <v/>
      </c>
      <c r="Z109" s="11"/>
      <c r="AA109" s="11"/>
      <c r="AB109" s="218"/>
      <c r="AC109" s="41"/>
      <c r="AD109" s="10"/>
      <c r="AE109" s="10"/>
      <c r="AF109" s="10"/>
      <c r="AG109" s="10" t="str">
        <f>IFERROR(IF(예산업로드양식!E104="","",IF(예산업로드양식!F104="05",예산업로드양식!E104,"")),"")</f>
        <v/>
      </c>
      <c r="AH109" s="11" t="str">
        <f>IFERROR(IF(예산업로드양식!H104="","",IF(예산업로드양식!F104="05",예산업로드양식!H104,"")),"")</f>
        <v/>
      </c>
      <c r="AI109" s="11"/>
      <c r="AJ109" s="11"/>
      <c r="AL109" s="1182" t="str">
        <f>IF(보수일람표!O107="","",보수일람표!O107)</f>
        <v/>
      </c>
      <c r="AM109" s="1183" t="str">
        <f>IF(보수일람표!P107="","",보수일람표!P107)</f>
        <v/>
      </c>
      <c r="AN109" s="1184">
        <f>IF(보수일람표!S107="","",보수일람표!S107)</f>
        <v>0</v>
      </c>
      <c r="AO109" s="1185">
        <f>IF(보수일람표!R107="","",보수일람표!R107)</f>
        <v>0</v>
      </c>
      <c r="AP109" s="1118">
        <f>IF(보수일람표!S107="","",보수일람표!S107)</f>
        <v>0</v>
      </c>
      <c r="AQ109" s="1186">
        <f>IF(보수일람표!T107="","",보수일람표!T107)</f>
        <v>0</v>
      </c>
      <c r="AR109" s="1120">
        <f>IF(보수일람표!U107="","",보수일람표!U107)</f>
        <v>0</v>
      </c>
      <c r="AS109" s="1121">
        <f>IF(보수일람표!V107="","",보수일람표!V107)</f>
        <v>0</v>
      </c>
      <c r="AT109" s="1122">
        <f>IF(보수일람표!W107="","",보수일람표!W107)</f>
        <v>0</v>
      </c>
      <c r="AU109" s="1123">
        <f>IF(보수일람표!X107="","",보수일람표!X107)</f>
        <v>0</v>
      </c>
      <c r="AV109" s="1124">
        <f>IF(보수일람표!Y107="","",보수일람표!Y107)</f>
        <v>0</v>
      </c>
      <c r="AW109" s="1187">
        <f>IF(보수일람표!Z107="","",보수일람표!Z107)</f>
        <v>0</v>
      </c>
      <c r="AX109" s="1134">
        <f>IF(보수일람표!AA107="","",보수일람표!AA107)</f>
        <v>0</v>
      </c>
    </row>
    <row r="110" spans="11:50">
      <c r="K110" s="42"/>
      <c r="L110" s="12"/>
      <c r="M110" s="12"/>
      <c r="N110" s="12"/>
      <c r="O110" s="12" t="str">
        <f>IFERROR(IF(예산업로드양식!E105="","",IF(예산업로드양식!F105="06",예산업로드양식!E105,"")),"")</f>
        <v/>
      </c>
      <c r="P110" s="13" t="str">
        <f>IFERROR(IF(예산업로드양식!H105="","",IF(예산업로드양식!F105="06",예산업로드양식!H105,"")),"")</f>
        <v/>
      </c>
      <c r="Q110" s="7" t="str">
        <f t="shared" si="1"/>
        <v/>
      </c>
      <c r="R110" s="13"/>
      <c r="S110" s="218"/>
      <c r="T110" s="42"/>
      <c r="U110" s="12"/>
      <c r="V110" s="12"/>
      <c r="W110" s="12"/>
      <c r="X110" s="12" t="str">
        <f>IFERROR(IF(예산업로드양식!E105="","",IF(예산업로드양식!F105="07",예산업로드양식!E105,"")),"")</f>
        <v/>
      </c>
      <c r="Y110" s="13" t="str">
        <f>IFERROR(IF(예산업로드양식!H105="","",IF(예산업로드양식!F105="07",예산업로드양식!H105,"")),"")</f>
        <v/>
      </c>
      <c r="Z110" s="13"/>
      <c r="AA110" s="13"/>
      <c r="AB110" s="218"/>
      <c r="AC110" s="42"/>
      <c r="AD110" s="12"/>
      <c r="AE110" s="12"/>
      <c r="AF110" s="12"/>
      <c r="AG110" s="12" t="str">
        <f>IFERROR(IF(예산업로드양식!E105="","",IF(예산업로드양식!F105="05",예산업로드양식!E105,"")),"")</f>
        <v/>
      </c>
      <c r="AH110" s="13" t="str">
        <f>IFERROR(IF(예산업로드양식!H105="","",IF(예산업로드양식!F105="05",예산업로드양식!H105,"")),"")</f>
        <v/>
      </c>
      <c r="AI110" s="13"/>
      <c r="AJ110" s="13"/>
      <c r="AL110" s="1182" t="str">
        <f>IF(보수일람표!O108="","",보수일람표!O108)</f>
        <v/>
      </c>
      <c r="AM110" s="1183" t="str">
        <f>IF(보수일람표!P108="","",보수일람표!P108)</f>
        <v/>
      </c>
      <c r="AN110" s="1184">
        <f>IF(보수일람표!S108="","",보수일람표!S108)</f>
        <v>0</v>
      </c>
      <c r="AO110" s="1185">
        <f>IF(보수일람표!R108="","",보수일람표!R108)</f>
        <v>0</v>
      </c>
      <c r="AP110" s="1118">
        <f>IF(보수일람표!S108="","",보수일람표!S108)</f>
        <v>0</v>
      </c>
      <c r="AQ110" s="1186">
        <f>IF(보수일람표!T108="","",보수일람표!T108)</f>
        <v>0</v>
      </c>
      <c r="AR110" s="1120">
        <f>IF(보수일람표!U108="","",보수일람표!U108)</f>
        <v>0</v>
      </c>
      <c r="AS110" s="1121">
        <f>IF(보수일람표!V108="","",보수일람표!V108)</f>
        <v>0</v>
      </c>
      <c r="AT110" s="1122">
        <f>IF(보수일람표!W108="","",보수일람표!W108)</f>
        <v>0</v>
      </c>
      <c r="AU110" s="1123">
        <f>IF(보수일람표!X108="","",보수일람표!X108)</f>
        <v>0</v>
      </c>
      <c r="AV110" s="1124">
        <f>IF(보수일람표!Y108="","",보수일람표!Y108)</f>
        <v>0</v>
      </c>
      <c r="AW110" s="1187">
        <f>IF(보수일람표!Z108="","",보수일람표!Z108)</f>
        <v>0</v>
      </c>
      <c r="AX110" s="1134">
        <f>IF(보수일람표!AA108="","",보수일람표!AA108)</f>
        <v>0</v>
      </c>
    </row>
    <row r="111" spans="11:50">
      <c r="K111" s="41"/>
      <c r="L111" s="10"/>
      <c r="M111" s="10"/>
      <c r="N111" s="10"/>
      <c r="O111" s="10" t="str">
        <f>IFERROR(IF(예산업로드양식!E106="","",IF(예산업로드양식!F106="06",예산업로드양식!E106,"")),"")</f>
        <v/>
      </c>
      <c r="P111" s="11" t="str">
        <f>IFERROR(IF(예산업로드양식!H106="","",IF(예산업로드양식!F106="06",예산업로드양식!H106,"")),"")</f>
        <v/>
      </c>
      <c r="Q111" s="11" t="str">
        <f t="shared" si="1"/>
        <v/>
      </c>
      <c r="R111" s="11"/>
      <c r="S111" s="218"/>
      <c r="T111" s="41"/>
      <c r="U111" s="10"/>
      <c r="V111" s="10"/>
      <c r="W111" s="10"/>
      <c r="X111" s="10" t="str">
        <f>IFERROR(IF(예산업로드양식!E106="","",IF(예산업로드양식!F106="07",예산업로드양식!E106,"")),"")</f>
        <v/>
      </c>
      <c r="Y111" s="11" t="str">
        <f>IFERROR(IF(예산업로드양식!H106="","",IF(예산업로드양식!F106="07",예산업로드양식!H106,"")),"")</f>
        <v/>
      </c>
      <c r="Z111" s="11"/>
      <c r="AA111" s="11"/>
      <c r="AB111" s="218"/>
      <c r="AC111" s="41"/>
      <c r="AD111" s="10"/>
      <c r="AE111" s="10"/>
      <c r="AF111" s="10"/>
      <c r="AG111" s="10" t="str">
        <f>IFERROR(IF(예산업로드양식!E106="","",IF(예산업로드양식!F106="05",예산업로드양식!E106,"")),"")</f>
        <v/>
      </c>
      <c r="AH111" s="11" t="str">
        <f>IFERROR(IF(예산업로드양식!H106="","",IF(예산업로드양식!F106="05",예산업로드양식!H106,"")),"")</f>
        <v/>
      </c>
      <c r="AI111" s="11"/>
      <c r="AJ111" s="11"/>
      <c r="AL111" s="1182" t="str">
        <f>IF(보수일람표!O109="","",보수일람표!O109)</f>
        <v/>
      </c>
      <c r="AM111" s="1183" t="str">
        <f>IF(보수일람표!P109="","",보수일람표!P109)</f>
        <v/>
      </c>
      <c r="AN111" s="1184">
        <f>IF(보수일람표!S109="","",보수일람표!S109)</f>
        <v>0</v>
      </c>
      <c r="AO111" s="1185">
        <f>IF(보수일람표!R109="","",보수일람표!R109)</f>
        <v>0</v>
      </c>
      <c r="AP111" s="1118">
        <f>IF(보수일람표!S109="","",보수일람표!S109)</f>
        <v>0</v>
      </c>
      <c r="AQ111" s="1186">
        <f>IF(보수일람표!T109="","",보수일람표!T109)</f>
        <v>0</v>
      </c>
      <c r="AR111" s="1120">
        <f>IF(보수일람표!U109="","",보수일람표!U109)</f>
        <v>0</v>
      </c>
      <c r="AS111" s="1121">
        <f>IF(보수일람표!V109="","",보수일람표!V109)</f>
        <v>0</v>
      </c>
      <c r="AT111" s="1122">
        <f>IF(보수일람표!W109="","",보수일람표!W109)</f>
        <v>0</v>
      </c>
      <c r="AU111" s="1123">
        <f>IF(보수일람표!X109="","",보수일람표!X109)</f>
        <v>0</v>
      </c>
      <c r="AV111" s="1124">
        <f>IF(보수일람표!Y109="","",보수일람표!Y109)</f>
        <v>0</v>
      </c>
      <c r="AW111" s="1187">
        <f>IF(보수일람표!Z109="","",보수일람표!Z109)</f>
        <v>0</v>
      </c>
      <c r="AX111" s="1134">
        <f>IF(보수일람표!AA109="","",보수일람표!AA109)</f>
        <v>0</v>
      </c>
    </row>
    <row r="112" spans="11:50">
      <c r="K112" s="42"/>
      <c r="L112" s="12"/>
      <c r="M112" s="12"/>
      <c r="N112" s="12"/>
      <c r="O112" s="12" t="str">
        <f>IFERROR(IF(예산업로드양식!E107="","",IF(예산업로드양식!F107="06",예산업로드양식!E107,"")),"")</f>
        <v/>
      </c>
      <c r="P112" s="13" t="str">
        <f>IFERROR(IF(예산업로드양식!H107="","",IF(예산업로드양식!F107="06",예산업로드양식!H107,"")),"")</f>
        <v/>
      </c>
      <c r="Q112" s="7" t="str">
        <f t="shared" si="1"/>
        <v/>
      </c>
      <c r="R112" s="13"/>
      <c r="S112" s="218"/>
      <c r="T112" s="42"/>
      <c r="U112" s="12"/>
      <c r="V112" s="12"/>
      <c r="W112" s="12"/>
      <c r="X112" s="12" t="str">
        <f>IFERROR(IF(예산업로드양식!E107="","",IF(예산업로드양식!F107="07",예산업로드양식!E107,"")),"")</f>
        <v/>
      </c>
      <c r="Y112" s="13" t="str">
        <f>IFERROR(IF(예산업로드양식!H107="","",IF(예산업로드양식!F107="07",예산업로드양식!H107,"")),"")</f>
        <v/>
      </c>
      <c r="Z112" s="13"/>
      <c r="AA112" s="13"/>
      <c r="AB112" s="218"/>
      <c r="AC112" s="42"/>
      <c r="AD112" s="12"/>
      <c r="AE112" s="12"/>
      <c r="AF112" s="12"/>
      <c r="AG112" s="12" t="str">
        <f>IFERROR(IF(예산업로드양식!E107="","",IF(예산업로드양식!F107="05",예산업로드양식!E107,"")),"")</f>
        <v/>
      </c>
      <c r="AH112" s="13" t="str">
        <f>IFERROR(IF(예산업로드양식!H107="","",IF(예산업로드양식!F107="05",예산업로드양식!H107,"")),"")</f>
        <v/>
      </c>
      <c r="AI112" s="13"/>
      <c r="AJ112" s="13"/>
      <c r="AL112" s="1182" t="str">
        <f>IF(보수일람표!O110="","",보수일람표!O110)</f>
        <v/>
      </c>
      <c r="AM112" s="1183" t="str">
        <f>IF(보수일람표!P110="","",보수일람표!P110)</f>
        <v/>
      </c>
      <c r="AN112" s="1184">
        <f>IF(보수일람표!S110="","",보수일람표!S110)</f>
        <v>0</v>
      </c>
      <c r="AO112" s="1185">
        <f>IF(보수일람표!R110="","",보수일람표!R110)</f>
        <v>0</v>
      </c>
      <c r="AP112" s="1118">
        <f>IF(보수일람표!S110="","",보수일람표!S110)</f>
        <v>0</v>
      </c>
      <c r="AQ112" s="1186">
        <f>IF(보수일람표!T110="","",보수일람표!T110)</f>
        <v>0</v>
      </c>
      <c r="AR112" s="1120">
        <f>IF(보수일람표!U110="","",보수일람표!U110)</f>
        <v>0</v>
      </c>
      <c r="AS112" s="1121">
        <f>IF(보수일람표!V110="","",보수일람표!V110)</f>
        <v>0</v>
      </c>
      <c r="AT112" s="1122">
        <f>IF(보수일람표!W110="","",보수일람표!W110)</f>
        <v>0</v>
      </c>
      <c r="AU112" s="1123">
        <f>IF(보수일람표!X110="","",보수일람표!X110)</f>
        <v>0</v>
      </c>
      <c r="AV112" s="1124">
        <f>IF(보수일람표!Y110="","",보수일람표!Y110)</f>
        <v>0</v>
      </c>
      <c r="AW112" s="1187">
        <f>IF(보수일람표!Z110="","",보수일람표!Z110)</f>
        <v>0</v>
      </c>
      <c r="AX112" s="1134">
        <f>IF(보수일람표!AA110="","",보수일람표!AA110)</f>
        <v>0</v>
      </c>
    </row>
    <row r="113" spans="11:50">
      <c r="K113" s="221"/>
      <c r="L113" s="222"/>
      <c r="M113" s="222"/>
      <c r="N113" s="222"/>
      <c r="O113" s="222" t="str">
        <f>IFERROR(IF(예산업로드양식!E108="","",IF(예산업로드양식!F108="06",예산업로드양식!E108,"")),"")</f>
        <v/>
      </c>
      <c r="P113" s="223" t="str">
        <f>IFERROR(IF(예산업로드양식!H108="","",IF(예산업로드양식!F108="06",예산업로드양식!H108,"")),"")</f>
        <v/>
      </c>
      <c r="Q113" s="11" t="str">
        <f t="shared" si="1"/>
        <v/>
      </c>
      <c r="R113" s="223"/>
      <c r="S113" s="218"/>
      <c r="T113" s="221"/>
      <c r="U113" s="222"/>
      <c r="V113" s="222"/>
      <c r="W113" s="222"/>
      <c r="X113" s="222" t="str">
        <f>IFERROR(IF(예산업로드양식!E108="","",IF(예산업로드양식!F108="07",예산업로드양식!E108,"")),"")</f>
        <v/>
      </c>
      <c r="Y113" s="223" t="str">
        <f>IFERROR(IF(예산업로드양식!H108="","",IF(예산업로드양식!F108="07",예산업로드양식!H108,"")),"")</f>
        <v/>
      </c>
      <c r="Z113" s="223"/>
      <c r="AA113" s="223"/>
      <c r="AB113" s="218"/>
      <c r="AC113" s="221"/>
      <c r="AD113" s="222"/>
      <c r="AE113" s="222"/>
      <c r="AF113" s="222"/>
      <c r="AG113" s="222" t="str">
        <f>IFERROR(IF(예산업로드양식!E108="","",IF(예산업로드양식!F108="05",예산업로드양식!E108,"")),"")</f>
        <v/>
      </c>
      <c r="AH113" s="223" t="str">
        <f>IFERROR(IF(예산업로드양식!H108="","",IF(예산업로드양식!F108="05",예산업로드양식!H108,"")),"")</f>
        <v/>
      </c>
      <c r="AI113" s="223"/>
      <c r="AJ113" s="223"/>
      <c r="AL113" s="1182" t="str">
        <f>IF(보수일람표!O111="","",보수일람표!O111)</f>
        <v/>
      </c>
      <c r="AM113" s="1183" t="str">
        <f>IF(보수일람표!P111="","",보수일람표!P111)</f>
        <v/>
      </c>
      <c r="AN113" s="1184">
        <f>IF(보수일람표!S111="","",보수일람표!S111)</f>
        <v>0</v>
      </c>
      <c r="AO113" s="1185">
        <f>IF(보수일람표!R111="","",보수일람표!R111)</f>
        <v>0</v>
      </c>
      <c r="AP113" s="1118">
        <f>IF(보수일람표!S111="","",보수일람표!S111)</f>
        <v>0</v>
      </c>
      <c r="AQ113" s="1186">
        <f>IF(보수일람표!T111="","",보수일람표!T111)</f>
        <v>0</v>
      </c>
      <c r="AR113" s="1120">
        <f>IF(보수일람표!U111="","",보수일람표!U111)</f>
        <v>0</v>
      </c>
      <c r="AS113" s="1121">
        <f>IF(보수일람표!V111="","",보수일람표!V111)</f>
        <v>0</v>
      </c>
      <c r="AT113" s="1122">
        <f>IF(보수일람표!W111="","",보수일람표!W111)</f>
        <v>0</v>
      </c>
      <c r="AU113" s="1123">
        <f>IF(보수일람표!X111="","",보수일람표!X111)</f>
        <v>0</v>
      </c>
      <c r="AV113" s="1124">
        <f>IF(보수일람표!Y111="","",보수일람표!Y111)</f>
        <v>0</v>
      </c>
      <c r="AW113" s="1187">
        <f>IF(보수일람표!Z111="","",보수일람표!Z111)</f>
        <v>0</v>
      </c>
      <c r="AX113" s="1134">
        <f>IF(보수일람표!AA111="","",보수일람표!AA111)</f>
        <v>0</v>
      </c>
    </row>
    <row r="114" spans="11:50">
      <c r="AL114" s="1182" t="str">
        <f>IF(보수일람표!O112="","",보수일람표!O112)</f>
        <v/>
      </c>
      <c r="AM114" s="1183" t="str">
        <f>IF(보수일람표!P112="","",보수일람표!P112)</f>
        <v/>
      </c>
      <c r="AN114" s="1184">
        <f>IF(보수일람표!S112="","",보수일람표!S112)</f>
        <v>0</v>
      </c>
      <c r="AO114" s="1185">
        <f>IF(보수일람표!R112="","",보수일람표!R112)</f>
        <v>0</v>
      </c>
      <c r="AP114" s="1118">
        <f>IF(보수일람표!S112="","",보수일람표!S112)</f>
        <v>0</v>
      </c>
      <c r="AQ114" s="1186">
        <f>IF(보수일람표!T112="","",보수일람표!T112)</f>
        <v>0</v>
      </c>
      <c r="AR114" s="1120">
        <f>IF(보수일람표!U112="","",보수일람표!U112)</f>
        <v>0</v>
      </c>
      <c r="AS114" s="1121">
        <f>IF(보수일람표!V112="","",보수일람표!V112)</f>
        <v>0</v>
      </c>
      <c r="AT114" s="1122">
        <f>IF(보수일람표!W112="","",보수일람표!W112)</f>
        <v>0</v>
      </c>
      <c r="AU114" s="1123">
        <f>IF(보수일람표!X112="","",보수일람표!X112)</f>
        <v>0</v>
      </c>
      <c r="AV114" s="1124">
        <f>IF(보수일람표!Y112="","",보수일람표!Y112)</f>
        <v>0</v>
      </c>
      <c r="AW114" s="1187">
        <f>IF(보수일람표!Z112="","",보수일람표!Z112)</f>
        <v>0</v>
      </c>
      <c r="AX114" s="1134">
        <f>IF(보수일람표!AA112="","",보수일람표!AA112)</f>
        <v>0</v>
      </c>
    </row>
    <row r="115" spans="11:50">
      <c r="AL115" s="1182" t="str">
        <f>IF(보수일람표!O113="","",보수일람표!O113)</f>
        <v/>
      </c>
      <c r="AM115" s="1183" t="str">
        <f>IF(보수일람표!P113="","",보수일람표!P113)</f>
        <v/>
      </c>
      <c r="AN115" s="1184">
        <f>IF(보수일람표!S113="","",보수일람표!S113)</f>
        <v>0</v>
      </c>
      <c r="AO115" s="1185">
        <f>IF(보수일람표!R113="","",보수일람표!R113)</f>
        <v>0</v>
      </c>
      <c r="AP115" s="1118">
        <f>IF(보수일람표!S113="","",보수일람표!S113)</f>
        <v>0</v>
      </c>
      <c r="AQ115" s="1186">
        <f>IF(보수일람표!T113="","",보수일람표!T113)</f>
        <v>0</v>
      </c>
      <c r="AR115" s="1120">
        <f>IF(보수일람표!U113="","",보수일람표!U113)</f>
        <v>0</v>
      </c>
      <c r="AS115" s="1121">
        <f>IF(보수일람표!V113="","",보수일람표!V113)</f>
        <v>0</v>
      </c>
      <c r="AT115" s="1122">
        <f>IF(보수일람표!W113="","",보수일람표!W113)</f>
        <v>0</v>
      </c>
      <c r="AU115" s="1123">
        <f>IF(보수일람표!X113="","",보수일람표!X113)</f>
        <v>0</v>
      </c>
      <c r="AV115" s="1124">
        <f>IF(보수일람표!Y113="","",보수일람표!Y113)</f>
        <v>0</v>
      </c>
      <c r="AW115" s="1187">
        <f>IF(보수일람표!Z113="","",보수일람표!Z113)</f>
        <v>0</v>
      </c>
      <c r="AX115" s="1134">
        <f>IF(보수일람표!AA113="","",보수일람표!AA113)</f>
        <v>0</v>
      </c>
    </row>
    <row r="116" spans="11:50">
      <c r="AL116" s="1182" t="str">
        <f>IF(보수일람표!O114="","",보수일람표!O114)</f>
        <v/>
      </c>
      <c r="AM116" s="1183" t="str">
        <f>IF(보수일람표!P114="","",보수일람표!P114)</f>
        <v/>
      </c>
      <c r="AN116" s="1184">
        <f>IF(보수일람표!S114="","",보수일람표!S114)</f>
        <v>0</v>
      </c>
      <c r="AO116" s="1185">
        <f>IF(보수일람표!R114="","",보수일람표!R114)</f>
        <v>0</v>
      </c>
      <c r="AP116" s="1118">
        <f>IF(보수일람표!S114="","",보수일람표!S114)</f>
        <v>0</v>
      </c>
      <c r="AQ116" s="1186">
        <f>IF(보수일람표!T114="","",보수일람표!T114)</f>
        <v>0</v>
      </c>
      <c r="AR116" s="1120">
        <f>IF(보수일람표!U114="","",보수일람표!U114)</f>
        <v>0</v>
      </c>
      <c r="AS116" s="1121">
        <f>IF(보수일람표!V114="","",보수일람표!V114)</f>
        <v>0</v>
      </c>
      <c r="AT116" s="1122">
        <f>IF(보수일람표!W114="","",보수일람표!W114)</f>
        <v>0</v>
      </c>
      <c r="AU116" s="1123">
        <f>IF(보수일람표!X114="","",보수일람표!X114)</f>
        <v>0</v>
      </c>
      <c r="AV116" s="1124">
        <f>IF(보수일람표!Y114="","",보수일람표!Y114)</f>
        <v>0</v>
      </c>
      <c r="AW116" s="1187">
        <f>IF(보수일람표!Z114="","",보수일람표!Z114)</f>
        <v>0</v>
      </c>
      <c r="AX116" s="1134">
        <f>IF(보수일람표!AA114="","",보수일람표!AA114)</f>
        <v>0</v>
      </c>
    </row>
    <row r="117" spans="11:50">
      <c r="AL117" s="1182" t="str">
        <f>IF(보수일람표!O115="","",보수일람표!O115)</f>
        <v/>
      </c>
      <c r="AM117" s="1183" t="str">
        <f>IF(보수일람표!P115="","",보수일람표!P115)</f>
        <v/>
      </c>
      <c r="AN117" s="1184">
        <f>IF(보수일람표!S115="","",보수일람표!S115)</f>
        <v>0</v>
      </c>
      <c r="AO117" s="1185">
        <f>IF(보수일람표!R115="","",보수일람표!R115)</f>
        <v>0</v>
      </c>
      <c r="AP117" s="1118">
        <f>IF(보수일람표!S115="","",보수일람표!S115)</f>
        <v>0</v>
      </c>
      <c r="AQ117" s="1186">
        <f>IF(보수일람표!T115="","",보수일람표!T115)</f>
        <v>0</v>
      </c>
      <c r="AR117" s="1120">
        <f>IF(보수일람표!U115="","",보수일람표!U115)</f>
        <v>0</v>
      </c>
      <c r="AS117" s="1121">
        <f>IF(보수일람표!V115="","",보수일람표!V115)</f>
        <v>0</v>
      </c>
      <c r="AT117" s="1122">
        <f>IF(보수일람표!W115="","",보수일람표!W115)</f>
        <v>0</v>
      </c>
      <c r="AU117" s="1123">
        <f>IF(보수일람표!X115="","",보수일람표!X115)</f>
        <v>0</v>
      </c>
      <c r="AV117" s="1124">
        <f>IF(보수일람표!Y115="","",보수일람표!Y115)</f>
        <v>0</v>
      </c>
      <c r="AW117" s="1187">
        <f>IF(보수일람표!Z115="","",보수일람표!Z115)</f>
        <v>0</v>
      </c>
      <c r="AX117" s="1134">
        <f>IF(보수일람표!AA115="","",보수일람표!AA115)</f>
        <v>0</v>
      </c>
    </row>
    <row r="118" spans="11:50">
      <c r="AL118" s="1182" t="str">
        <f>IF(보수일람표!O116="","",보수일람표!O116)</f>
        <v/>
      </c>
      <c r="AM118" s="1183" t="str">
        <f>IF(보수일람표!P116="","",보수일람표!P116)</f>
        <v/>
      </c>
      <c r="AN118" s="1184">
        <f>IF(보수일람표!S116="","",보수일람표!S116)</f>
        <v>0</v>
      </c>
      <c r="AO118" s="1185">
        <f>IF(보수일람표!R116="","",보수일람표!R116)</f>
        <v>0</v>
      </c>
      <c r="AP118" s="1118">
        <f>IF(보수일람표!S116="","",보수일람표!S116)</f>
        <v>0</v>
      </c>
      <c r="AQ118" s="1186">
        <f>IF(보수일람표!T116="","",보수일람표!T116)</f>
        <v>0</v>
      </c>
      <c r="AR118" s="1120">
        <f>IF(보수일람표!U116="","",보수일람표!U116)</f>
        <v>0</v>
      </c>
      <c r="AS118" s="1121">
        <f>IF(보수일람표!V116="","",보수일람표!V116)</f>
        <v>0</v>
      </c>
      <c r="AT118" s="1122">
        <f>IF(보수일람표!W116="","",보수일람표!W116)</f>
        <v>0</v>
      </c>
      <c r="AU118" s="1123">
        <f>IF(보수일람표!X116="","",보수일람표!X116)</f>
        <v>0</v>
      </c>
      <c r="AV118" s="1124">
        <f>IF(보수일람표!Y116="","",보수일람표!Y116)</f>
        <v>0</v>
      </c>
      <c r="AW118" s="1187">
        <f>IF(보수일람표!Z116="","",보수일람표!Z116)</f>
        <v>0</v>
      </c>
      <c r="AX118" s="1134">
        <f>IF(보수일람표!AA116="","",보수일람표!AA116)</f>
        <v>0</v>
      </c>
    </row>
    <row r="119" spans="11:50">
      <c r="AL119" s="1182" t="str">
        <f>IF(보수일람표!O117="","",보수일람표!O117)</f>
        <v/>
      </c>
      <c r="AM119" s="1183" t="str">
        <f>IF(보수일람표!P117="","",보수일람표!P117)</f>
        <v/>
      </c>
      <c r="AN119" s="1184">
        <f>IF(보수일람표!S117="","",보수일람표!S117)</f>
        <v>0</v>
      </c>
      <c r="AO119" s="1185">
        <f>IF(보수일람표!R117="","",보수일람표!R117)</f>
        <v>0</v>
      </c>
      <c r="AP119" s="1118">
        <f>IF(보수일람표!S117="","",보수일람표!S117)</f>
        <v>0</v>
      </c>
      <c r="AQ119" s="1186">
        <f>IF(보수일람표!T117="","",보수일람표!T117)</f>
        <v>0</v>
      </c>
      <c r="AR119" s="1120">
        <f>IF(보수일람표!U117="","",보수일람표!U117)</f>
        <v>0</v>
      </c>
      <c r="AS119" s="1121">
        <f>IF(보수일람표!V117="","",보수일람표!V117)</f>
        <v>0</v>
      </c>
      <c r="AT119" s="1122">
        <f>IF(보수일람표!W117="","",보수일람표!W117)</f>
        <v>0</v>
      </c>
      <c r="AU119" s="1123">
        <f>IF(보수일람표!X117="","",보수일람표!X117)</f>
        <v>0</v>
      </c>
      <c r="AV119" s="1124">
        <f>IF(보수일람표!Y117="","",보수일람표!Y117)</f>
        <v>0</v>
      </c>
      <c r="AW119" s="1187">
        <f>IF(보수일람표!Z117="","",보수일람표!Z117)</f>
        <v>0</v>
      </c>
      <c r="AX119" s="1134">
        <f>IF(보수일람표!AA117="","",보수일람표!AA117)</f>
        <v>0</v>
      </c>
    </row>
    <row r="120" spans="11:50">
      <c r="AL120" s="1182" t="str">
        <f>IF(보수일람표!O118="","",보수일람표!O118)</f>
        <v/>
      </c>
      <c r="AM120" s="1183" t="str">
        <f>IF(보수일람표!P118="","",보수일람표!P118)</f>
        <v/>
      </c>
      <c r="AN120" s="1184">
        <f>IF(보수일람표!S118="","",보수일람표!S118)</f>
        <v>0</v>
      </c>
      <c r="AO120" s="1185">
        <f>IF(보수일람표!R118="","",보수일람표!R118)</f>
        <v>0</v>
      </c>
      <c r="AP120" s="1118">
        <f>IF(보수일람표!S118="","",보수일람표!S118)</f>
        <v>0</v>
      </c>
      <c r="AQ120" s="1186">
        <f>IF(보수일람표!T118="","",보수일람표!T118)</f>
        <v>0</v>
      </c>
      <c r="AR120" s="1120">
        <f>IF(보수일람표!U118="","",보수일람표!U118)</f>
        <v>0</v>
      </c>
      <c r="AS120" s="1121">
        <f>IF(보수일람표!V118="","",보수일람표!V118)</f>
        <v>0</v>
      </c>
      <c r="AT120" s="1122">
        <f>IF(보수일람표!W118="","",보수일람표!W118)</f>
        <v>0</v>
      </c>
      <c r="AU120" s="1123">
        <f>IF(보수일람표!X118="","",보수일람표!X118)</f>
        <v>0</v>
      </c>
      <c r="AV120" s="1124">
        <f>IF(보수일람표!Y118="","",보수일람표!Y118)</f>
        <v>0</v>
      </c>
      <c r="AW120" s="1187">
        <f>IF(보수일람표!Z118="","",보수일람표!Z118)</f>
        <v>0</v>
      </c>
      <c r="AX120" s="1134">
        <f>IF(보수일람표!AA118="","",보수일람표!AA118)</f>
        <v>0</v>
      </c>
    </row>
    <row r="121" spans="11:50">
      <c r="AL121" s="1182" t="str">
        <f>IF(보수일람표!O119="","",보수일람표!O119)</f>
        <v/>
      </c>
      <c r="AM121" s="1183" t="str">
        <f>IF(보수일람표!P119="","",보수일람표!P119)</f>
        <v/>
      </c>
      <c r="AN121" s="1184">
        <f>IF(보수일람표!S119="","",보수일람표!S119)</f>
        <v>0</v>
      </c>
      <c r="AO121" s="1185">
        <f>IF(보수일람표!R119="","",보수일람표!R119)</f>
        <v>0</v>
      </c>
      <c r="AP121" s="1118">
        <f>IF(보수일람표!S119="","",보수일람표!S119)</f>
        <v>0</v>
      </c>
      <c r="AQ121" s="1186">
        <f>IF(보수일람표!T119="","",보수일람표!T119)</f>
        <v>0</v>
      </c>
      <c r="AR121" s="1120">
        <f>IF(보수일람표!U119="","",보수일람표!U119)</f>
        <v>0</v>
      </c>
      <c r="AS121" s="1121">
        <f>IF(보수일람표!V119="","",보수일람표!V119)</f>
        <v>0</v>
      </c>
      <c r="AT121" s="1122">
        <f>IF(보수일람표!W119="","",보수일람표!W119)</f>
        <v>0</v>
      </c>
      <c r="AU121" s="1123">
        <f>IF(보수일람표!X119="","",보수일람표!X119)</f>
        <v>0</v>
      </c>
      <c r="AV121" s="1124">
        <f>IF(보수일람표!Y119="","",보수일람표!Y119)</f>
        <v>0</v>
      </c>
      <c r="AW121" s="1187">
        <f>IF(보수일람표!Z119="","",보수일람표!Z119)</f>
        <v>0</v>
      </c>
      <c r="AX121" s="1134">
        <f>IF(보수일람표!AA119="","",보수일람표!AA119)</f>
        <v>0</v>
      </c>
    </row>
    <row r="122" spans="11:50">
      <c r="AL122" s="1182" t="str">
        <f>IF(보수일람표!O120="","",보수일람표!O120)</f>
        <v/>
      </c>
      <c r="AM122" s="1183" t="str">
        <f>IF(보수일람표!P120="","",보수일람표!P120)</f>
        <v/>
      </c>
      <c r="AN122" s="1184">
        <f>IF(보수일람표!S120="","",보수일람표!S120)</f>
        <v>0</v>
      </c>
      <c r="AO122" s="1185">
        <f>IF(보수일람표!R120="","",보수일람표!R120)</f>
        <v>0</v>
      </c>
      <c r="AP122" s="1118">
        <f>IF(보수일람표!S120="","",보수일람표!S120)</f>
        <v>0</v>
      </c>
      <c r="AQ122" s="1186">
        <f>IF(보수일람표!T120="","",보수일람표!T120)</f>
        <v>0</v>
      </c>
      <c r="AR122" s="1120">
        <f>IF(보수일람표!U120="","",보수일람표!U120)</f>
        <v>0</v>
      </c>
      <c r="AS122" s="1121">
        <f>IF(보수일람표!V120="","",보수일람표!V120)</f>
        <v>0</v>
      </c>
      <c r="AT122" s="1122">
        <f>IF(보수일람표!W120="","",보수일람표!W120)</f>
        <v>0</v>
      </c>
      <c r="AU122" s="1123">
        <f>IF(보수일람표!X120="","",보수일람표!X120)</f>
        <v>0</v>
      </c>
      <c r="AV122" s="1124">
        <f>IF(보수일람표!Y120="","",보수일람표!Y120)</f>
        <v>0</v>
      </c>
      <c r="AW122" s="1187">
        <f>IF(보수일람표!Z120="","",보수일람표!Z120)</f>
        <v>0</v>
      </c>
      <c r="AX122" s="1134">
        <f>IF(보수일람표!AA120="","",보수일람표!AA120)</f>
        <v>0</v>
      </c>
    </row>
    <row r="123" spans="11:50">
      <c r="AL123" s="1182" t="str">
        <f>IF(보수일람표!O121="","",보수일람표!O121)</f>
        <v/>
      </c>
      <c r="AM123" s="1183" t="str">
        <f>IF(보수일람표!P121="","",보수일람표!P121)</f>
        <v/>
      </c>
      <c r="AN123" s="1184">
        <f>IF(보수일람표!S121="","",보수일람표!S121)</f>
        <v>0</v>
      </c>
      <c r="AO123" s="1185">
        <f>IF(보수일람표!R121="","",보수일람표!R121)</f>
        <v>0</v>
      </c>
      <c r="AP123" s="1118">
        <f>IF(보수일람표!S121="","",보수일람표!S121)</f>
        <v>0</v>
      </c>
      <c r="AQ123" s="1186">
        <f>IF(보수일람표!T121="","",보수일람표!T121)</f>
        <v>0</v>
      </c>
      <c r="AR123" s="1120">
        <f>IF(보수일람표!U121="","",보수일람표!U121)</f>
        <v>0</v>
      </c>
      <c r="AS123" s="1121">
        <f>IF(보수일람표!V121="","",보수일람표!V121)</f>
        <v>0</v>
      </c>
      <c r="AT123" s="1122">
        <f>IF(보수일람표!W121="","",보수일람표!W121)</f>
        <v>0</v>
      </c>
      <c r="AU123" s="1123">
        <f>IF(보수일람표!X121="","",보수일람표!X121)</f>
        <v>0</v>
      </c>
      <c r="AV123" s="1124">
        <f>IF(보수일람표!Y121="","",보수일람표!Y121)</f>
        <v>0</v>
      </c>
      <c r="AW123" s="1187">
        <f>IF(보수일람표!Z121="","",보수일람표!Z121)</f>
        <v>0</v>
      </c>
      <c r="AX123" s="1134">
        <f>IF(보수일람표!AA121="","",보수일람표!AA121)</f>
        <v>0</v>
      </c>
    </row>
    <row r="124" spans="11:50">
      <c r="AL124" s="1182" t="str">
        <f>IF(보수일람표!O122="","",보수일람표!O122)</f>
        <v/>
      </c>
      <c r="AM124" s="1183" t="str">
        <f>IF(보수일람표!P122="","",보수일람표!P122)</f>
        <v/>
      </c>
      <c r="AN124" s="1184">
        <f>IF(보수일람표!S122="","",보수일람표!S122)</f>
        <v>0</v>
      </c>
      <c r="AO124" s="1185">
        <f>IF(보수일람표!R122="","",보수일람표!R122)</f>
        <v>0</v>
      </c>
      <c r="AP124" s="1118">
        <f>IF(보수일람표!S122="","",보수일람표!S122)</f>
        <v>0</v>
      </c>
      <c r="AQ124" s="1186">
        <f>IF(보수일람표!T122="","",보수일람표!T122)</f>
        <v>0</v>
      </c>
      <c r="AR124" s="1120">
        <f>IF(보수일람표!U122="","",보수일람표!U122)</f>
        <v>0</v>
      </c>
      <c r="AS124" s="1121">
        <f>IF(보수일람표!V122="","",보수일람표!V122)</f>
        <v>0</v>
      </c>
      <c r="AT124" s="1122">
        <f>IF(보수일람표!W122="","",보수일람표!W122)</f>
        <v>0</v>
      </c>
      <c r="AU124" s="1123">
        <f>IF(보수일람표!X122="","",보수일람표!X122)</f>
        <v>0</v>
      </c>
      <c r="AV124" s="1124">
        <f>IF(보수일람표!Y122="","",보수일람표!Y122)</f>
        <v>0</v>
      </c>
      <c r="AW124" s="1187">
        <f>IF(보수일람표!Z122="","",보수일람표!Z122)</f>
        <v>0</v>
      </c>
      <c r="AX124" s="1134">
        <f>IF(보수일람표!AA122="","",보수일람표!AA122)</f>
        <v>0</v>
      </c>
    </row>
    <row r="125" spans="11:50">
      <c r="AL125" s="1182" t="str">
        <f>IF(보수일람표!O123="","",보수일람표!O123)</f>
        <v/>
      </c>
      <c r="AM125" s="1183" t="str">
        <f>IF(보수일람표!P123="","",보수일람표!P123)</f>
        <v/>
      </c>
      <c r="AN125" s="1184">
        <f>IF(보수일람표!S123="","",보수일람표!S123)</f>
        <v>0</v>
      </c>
      <c r="AO125" s="1185">
        <f>IF(보수일람표!R123="","",보수일람표!R123)</f>
        <v>0</v>
      </c>
      <c r="AP125" s="1118">
        <f>IF(보수일람표!S123="","",보수일람표!S123)</f>
        <v>0</v>
      </c>
      <c r="AQ125" s="1186">
        <f>IF(보수일람표!T123="","",보수일람표!T123)</f>
        <v>0</v>
      </c>
      <c r="AR125" s="1120">
        <f>IF(보수일람표!U123="","",보수일람표!U123)</f>
        <v>0</v>
      </c>
      <c r="AS125" s="1121">
        <f>IF(보수일람표!V123="","",보수일람표!V123)</f>
        <v>0</v>
      </c>
      <c r="AT125" s="1122">
        <f>IF(보수일람표!W123="","",보수일람표!W123)</f>
        <v>0</v>
      </c>
      <c r="AU125" s="1123">
        <f>IF(보수일람표!X123="","",보수일람표!X123)</f>
        <v>0</v>
      </c>
      <c r="AV125" s="1124">
        <f>IF(보수일람표!Y123="","",보수일람표!Y123)</f>
        <v>0</v>
      </c>
      <c r="AW125" s="1187">
        <f>IF(보수일람표!Z123="","",보수일람표!Z123)</f>
        <v>0</v>
      </c>
      <c r="AX125" s="1134">
        <f>IF(보수일람표!AA123="","",보수일람표!AA123)</f>
        <v>0</v>
      </c>
    </row>
    <row r="126" spans="11:50">
      <c r="AL126" s="1182" t="str">
        <f>IF(보수일람표!O124="","",보수일람표!O124)</f>
        <v/>
      </c>
      <c r="AM126" s="1183" t="str">
        <f>IF(보수일람표!P124="","",보수일람표!P124)</f>
        <v/>
      </c>
      <c r="AN126" s="1184">
        <f>IF(보수일람표!S124="","",보수일람표!S124)</f>
        <v>0</v>
      </c>
      <c r="AO126" s="1185">
        <f>IF(보수일람표!R124="","",보수일람표!R124)</f>
        <v>0</v>
      </c>
      <c r="AP126" s="1118">
        <f>IF(보수일람표!S124="","",보수일람표!S124)</f>
        <v>0</v>
      </c>
      <c r="AQ126" s="1186">
        <f>IF(보수일람표!T124="","",보수일람표!T124)</f>
        <v>0</v>
      </c>
      <c r="AR126" s="1120">
        <f>IF(보수일람표!U124="","",보수일람표!U124)</f>
        <v>0</v>
      </c>
      <c r="AS126" s="1121">
        <f>IF(보수일람표!V124="","",보수일람표!V124)</f>
        <v>0</v>
      </c>
      <c r="AT126" s="1122">
        <f>IF(보수일람표!W124="","",보수일람표!W124)</f>
        <v>0</v>
      </c>
      <c r="AU126" s="1123">
        <f>IF(보수일람표!X124="","",보수일람표!X124)</f>
        <v>0</v>
      </c>
      <c r="AV126" s="1124">
        <f>IF(보수일람표!Y124="","",보수일람표!Y124)</f>
        <v>0</v>
      </c>
      <c r="AW126" s="1187">
        <f>IF(보수일람표!Z124="","",보수일람표!Z124)</f>
        <v>0</v>
      </c>
      <c r="AX126" s="1134">
        <f>IF(보수일람표!AA124="","",보수일람표!AA124)</f>
        <v>0</v>
      </c>
    </row>
    <row r="127" spans="11:50">
      <c r="AL127" s="1182" t="str">
        <f>IF(보수일람표!O125="","",보수일람표!O125)</f>
        <v/>
      </c>
      <c r="AM127" s="1183" t="str">
        <f>IF(보수일람표!P125="","",보수일람표!P125)</f>
        <v/>
      </c>
      <c r="AN127" s="1184">
        <f>IF(보수일람표!S125="","",보수일람표!S125)</f>
        <v>0</v>
      </c>
      <c r="AO127" s="1185">
        <f>IF(보수일람표!R125="","",보수일람표!R125)</f>
        <v>0</v>
      </c>
      <c r="AP127" s="1118">
        <f>IF(보수일람표!S125="","",보수일람표!S125)</f>
        <v>0</v>
      </c>
      <c r="AQ127" s="1186">
        <f>IF(보수일람표!T125="","",보수일람표!T125)</f>
        <v>0</v>
      </c>
      <c r="AR127" s="1120">
        <f>IF(보수일람표!U125="","",보수일람표!U125)</f>
        <v>0</v>
      </c>
      <c r="AS127" s="1121">
        <f>IF(보수일람표!V125="","",보수일람표!V125)</f>
        <v>0</v>
      </c>
      <c r="AT127" s="1122">
        <f>IF(보수일람표!W125="","",보수일람표!W125)</f>
        <v>0</v>
      </c>
      <c r="AU127" s="1123">
        <f>IF(보수일람표!X125="","",보수일람표!X125)</f>
        <v>0</v>
      </c>
      <c r="AV127" s="1124">
        <f>IF(보수일람표!Y125="","",보수일람표!Y125)</f>
        <v>0</v>
      </c>
      <c r="AW127" s="1187">
        <f>IF(보수일람표!Z125="","",보수일람표!Z125)</f>
        <v>0</v>
      </c>
      <c r="AX127" s="1134">
        <f>IF(보수일람표!AA125="","",보수일람표!AA125)</f>
        <v>0</v>
      </c>
    </row>
    <row r="128" spans="11:50">
      <c r="AL128" s="1182" t="str">
        <f>IF(보수일람표!O126="","",보수일람표!O126)</f>
        <v/>
      </c>
      <c r="AM128" s="1183" t="str">
        <f>IF(보수일람표!P126="","",보수일람표!P126)</f>
        <v/>
      </c>
      <c r="AN128" s="1184">
        <f>IF(보수일람표!S126="","",보수일람표!S126)</f>
        <v>0</v>
      </c>
      <c r="AO128" s="1185">
        <f>IF(보수일람표!R126="","",보수일람표!R126)</f>
        <v>0</v>
      </c>
      <c r="AP128" s="1118">
        <f>IF(보수일람표!S126="","",보수일람표!S126)</f>
        <v>0</v>
      </c>
      <c r="AQ128" s="1186">
        <f>IF(보수일람표!T126="","",보수일람표!T126)</f>
        <v>0</v>
      </c>
      <c r="AR128" s="1120">
        <f>IF(보수일람표!U126="","",보수일람표!U126)</f>
        <v>0</v>
      </c>
      <c r="AS128" s="1121">
        <f>IF(보수일람표!V126="","",보수일람표!V126)</f>
        <v>0</v>
      </c>
      <c r="AT128" s="1122">
        <f>IF(보수일람표!W126="","",보수일람표!W126)</f>
        <v>0</v>
      </c>
      <c r="AU128" s="1123">
        <f>IF(보수일람표!X126="","",보수일람표!X126)</f>
        <v>0</v>
      </c>
      <c r="AV128" s="1124">
        <f>IF(보수일람표!Y126="","",보수일람표!Y126)</f>
        <v>0</v>
      </c>
      <c r="AW128" s="1187">
        <f>IF(보수일람표!Z126="","",보수일람표!Z126)</f>
        <v>0</v>
      </c>
      <c r="AX128" s="1134">
        <f>IF(보수일람표!AA126="","",보수일람표!AA126)</f>
        <v>0</v>
      </c>
    </row>
    <row r="129" spans="38:50">
      <c r="AL129" s="1182" t="str">
        <f>IF(보수일람표!O127="","",보수일람표!O127)</f>
        <v/>
      </c>
      <c r="AM129" s="1183" t="str">
        <f>IF(보수일람표!P127="","",보수일람표!P127)</f>
        <v/>
      </c>
      <c r="AN129" s="1184">
        <f>IF(보수일람표!S127="","",보수일람표!S127)</f>
        <v>0</v>
      </c>
      <c r="AO129" s="1185">
        <f>IF(보수일람표!R127="","",보수일람표!R127)</f>
        <v>0</v>
      </c>
      <c r="AP129" s="1118">
        <f>IF(보수일람표!S127="","",보수일람표!S127)</f>
        <v>0</v>
      </c>
      <c r="AQ129" s="1186">
        <f>IF(보수일람표!T127="","",보수일람표!T127)</f>
        <v>0</v>
      </c>
      <c r="AR129" s="1120">
        <f>IF(보수일람표!U127="","",보수일람표!U127)</f>
        <v>0</v>
      </c>
      <c r="AS129" s="1121">
        <f>IF(보수일람표!V127="","",보수일람표!V127)</f>
        <v>0</v>
      </c>
      <c r="AT129" s="1122">
        <f>IF(보수일람표!W127="","",보수일람표!W127)</f>
        <v>0</v>
      </c>
      <c r="AU129" s="1123">
        <f>IF(보수일람표!X127="","",보수일람표!X127)</f>
        <v>0</v>
      </c>
      <c r="AV129" s="1124">
        <f>IF(보수일람표!Y127="","",보수일람표!Y127)</f>
        <v>0</v>
      </c>
      <c r="AW129" s="1187">
        <f>IF(보수일람표!Z127="","",보수일람표!Z127)</f>
        <v>0</v>
      </c>
      <c r="AX129" s="1134">
        <f>IF(보수일람표!AA127="","",보수일람표!AA127)</f>
        <v>0</v>
      </c>
    </row>
    <row r="130" spans="38:50">
      <c r="AL130" s="1182" t="str">
        <f>IF(보수일람표!O128="","",보수일람표!O128)</f>
        <v/>
      </c>
      <c r="AM130" s="1183" t="str">
        <f>IF(보수일람표!P128="","",보수일람표!P128)</f>
        <v/>
      </c>
      <c r="AN130" s="1184">
        <f>IF(보수일람표!S128="","",보수일람표!S128)</f>
        <v>0</v>
      </c>
      <c r="AO130" s="1185">
        <f>IF(보수일람표!R128="","",보수일람표!R128)</f>
        <v>0</v>
      </c>
      <c r="AP130" s="1118">
        <f>IF(보수일람표!S128="","",보수일람표!S128)</f>
        <v>0</v>
      </c>
      <c r="AQ130" s="1186">
        <f>IF(보수일람표!T128="","",보수일람표!T128)</f>
        <v>0</v>
      </c>
      <c r="AR130" s="1120">
        <f>IF(보수일람표!U128="","",보수일람표!U128)</f>
        <v>0</v>
      </c>
      <c r="AS130" s="1121">
        <f>IF(보수일람표!V128="","",보수일람표!V128)</f>
        <v>0</v>
      </c>
      <c r="AT130" s="1122">
        <f>IF(보수일람표!W128="","",보수일람표!W128)</f>
        <v>0</v>
      </c>
      <c r="AU130" s="1123">
        <f>IF(보수일람표!X128="","",보수일람표!X128)</f>
        <v>0</v>
      </c>
      <c r="AV130" s="1124">
        <f>IF(보수일람표!Y128="","",보수일람표!Y128)</f>
        <v>0</v>
      </c>
      <c r="AW130" s="1187">
        <f>IF(보수일람표!Z128="","",보수일람표!Z128)</f>
        <v>0</v>
      </c>
      <c r="AX130" s="1134">
        <f>IF(보수일람표!AA128="","",보수일람표!AA128)</f>
        <v>0</v>
      </c>
    </row>
    <row r="131" spans="38:50">
      <c r="AL131" s="1182" t="str">
        <f>IF(보수일람표!O129="","",보수일람표!O129)</f>
        <v/>
      </c>
      <c r="AM131" s="1183" t="str">
        <f>IF(보수일람표!P129="","",보수일람표!P129)</f>
        <v/>
      </c>
      <c r="AN131" s="1184">
        <f>IF(보수일람표!S129="","",보수일람표!S129)</f>
        <v>0</v>
      </c>
      <c r="AO131" s="1185">
        <f>IF(보수일람표!R129="","",보수일람표!R129)</f>
        <v>0</v>
      </c>
      <c r="AP131" s="1118">
        <f>IF(보수일람표!S129="","",보수일람표!S129)</f>
        <v>0</v>
      </c>
      <c r="AQ131" s="1186">
        <f>IF(보수일람표!T129="","",보수일람표!T129)</f>
        <v>0</v>
      </c>
      <c r="AR131" s="1120">
        <f>IF(보수일람표!U129="","",보수일람표!U129)</f>
        <v>0</v>
      </c>
      <c r="AS131" s="1121">
        <f>IF(보수일람표!V129="","",보수일람표!V129)</f>
        <v>0</v>
      </c>
      <c r="AT131" s="1122">
        <f>IF(보수일람표!W129="","",보수일람표!W129)</f>
        <v>0</v>
      </c>
      <c r="AU131" s="1123">
        <f>IF(보수일람표!X129="","",보수일람표!X129)</f>
        <v>0</v>
      </c>
      <c r="AV131" s="1124">
        <f>IF(보수일람표!Y129="","",보수일람표!Y129)</f>
        <v>0</v>
      </c>
      <c r="AW131" s="1187">
        <f>IF(보수일람표!Z129="","",보수일람표!Z129)</f>
        <v>0</v>
      </c>
      <c r="AX131" s="1134">
        <f>IF(보수일람표!AA129="","",보수일람표!AA129)</f>
        <v>0</v>
      </c>
    </row>
    <row r="132" spans="38:50">
      <c r="AL132" s="1182" t="str">
        <f>IF(보수일람표!O130="","",보수일람표!O130)</f>
        <v/>
      </c>
      <c r="AM132" s="1183" t="str">
        <f>IF(보수일람표!P130="","",보수일람표!P130)</f>
        <v/>
      </c>
      <c r="AN132" s="1184">
        <f>IF(보수일람표!S130="","",보수일람표!S130)</f>
        <v>0</v>
      </c>
      <c r="AO132" s="1185">
        <f>IF(보수일람표!R130="","",보수일람표!R130)</f>
        <v>0</v>
      </c>
      <c r="AP132" s="1118">
        <f>IF(보수일람표!S130="","",보수일람표!S130)</f>
        <v>0</v>
      </c>
      <c r="AQ132" s="1186">
        <f>IF(보수일람표!T130="","",보수일람표!T130)</f>
        <v>0</v>
      </c>
      <c r="AR132" s="1120">
        <f>IF(보수일람표!U130="","",보수일람표!U130)</f>
        <v>0</v>
      </c>
      <c r="AS132" s="1121">
        <f>IF(보수일람표!V130="","",보수일람표!V130)</f>
        <v>0</v>
      </c>
      <c r="AT132" s="1122">
        <f>IF(보수일람표!W130="","",보수일람표!W130)</f>
        <v>0</v>
      </c>
      <c r="AU132" s="1123">
        <f>IF(보수일람표!X130="","",보수일람표!X130)</f>
        <v>0</v>
      </c>
      <c r="AV132" s="1124">
        <f>IF(보수일람표!Y130="","",보수일람표!Y130)</f>
        <v>0</v>
      </c>
      <c r="AW132" s="1187">
        <f>IF(보수일람표!Z130="","",보수일람표!Z130)</f>
        <v>0</v>
      </c>
      <c r="AX132" s="1134">
        <f>IF(보수일람표!AA130="","",보수일람표!AA130)</f>
        <v>0</v>
      </c>
    </row>
    <row r="133" spans="38:50">
      <c r="AL133" s="1182" t="str">
        <f>IF(보수일람표!O131="","",보수일람표!O131)</f>
        <v/>
      </c>
      <c r="AM133" s="1183" t="str">
        <f>IF(보수일람표!P131="","",보수일람표!P131)</f>
        <v/>
      </c>
      <c r="AN133" s="1184">
        <f>IF(보수일람표!S131="","",보수일람표!S131)</f>
        <v>0</v>
      </c>
      <c r="AO133" s="1185">
        <f>IF(보수일람표!R131="","",보수일람표!R131)</f>
        <v>0</v>
      </c>
      <c r="AP133" s="1118">
        <f>IF(보수일람표!S131="","",보수일람표!S131)</f>
        <v>0</v>
      </c>
      <c r="AQ133" s="1186">
        <f>IF(보수일람표!T131="","",보수일람표!T131)</f>
        <v>0</v>
      </c>
      <c r="AR133" s="1120">
        <f>IF(보수일람표!U131="","",보수일람표!U131)</f>
        <v>0</v>
      </c>
      <c r="AS133" s="1121">
        <f>IF(보수일람표!V131="","",보수일람표!V131)</f>
        <v>0</v>
      </c>
      <c r="AT133" s="1122">
        <f>IF(보수일람표!W131="","",보수일람표!W131)</f>
        <v>0</v>
      </c>
      <c r="AU133" s="1123">
        <f>IF(보수일람표!X131="","",보수일람표!X131)</f>
        <v>0</v>
      </c>
      <c r="AV133" s="1124">
        <f>IF(보수일람표!Y131="","",보수일람표!Y131)</f>
        <v>0</v>
      </c>
      <c r="AW133" s="1187">
        <f>IF(보수일람표!Z131="","",보수일람표!Z131)</f>
        <v>0</v>
      </c>
      <c r="AX133" s="1134">
        <f>IF(보수일람표!AA131="","",보수일람표!AA131)</f>
        <v>0</v>
      </c>
    </row>
    <row r="134" spans="38:50">
      <c r="AL134" s="1182" t="str">
        <f>IF(보수일람표!O132="","",보수일람표!O132)</f>
        <v/>
      </c>
      <c r="AM134" s="1183" t="str">
        <f>IF(보수일람표!P132="","",보수일람표!P132)</f>
        <v/>
      </c>
      <c r="AN134" s="1184">
        <f>IF(보수일람표!S132="","",보수일람표!S132)</f>
        <v>0</v>
      </c>
      <c r="AO134" s="1185">
        <f>IF(보수일람표!R132="","",보수일람표!R132)</f>
        <v>0</v>
      </c>
      <c r="AP134" s="1118">
        <f>IF(보수일람표!S132="","",보수일람표!S132)</f>
        <v>0</v>
      </c>
      <c r="AQ134" s="1186">
        <f>IF(보수일람표!T132="","",보수일람표!T132)</f>
        <v>0</v>
      </c>
      <c r="AR134" s="1120">
        <f>IF(보수일람표!U132="","",보수일람표!U132)</f>
        <v>0</v>
      </c>
      <c r="AS134" s="1121">
        <f>IF(보수일람표!V132="","",보수일람표!V132)</f>
        <v>0</v>
      </c>
      <c r="AT134" s="1122">
        <f>IF(보수일람표!W132="","",보수일람표!W132)</f>
        <v>0</v>
      </c>
      <c r="AU134" s="1123">
        <f>IF(보수일람표!X132="","",보수일람표!X132)</f>
        <v>0</v>
      </c>
      <c r="AV134" s="1124">
        <f>IF(보수일람표!Y132="","",보수일람표!Y132)</f>
        <v>0</v>
      </c>
      <c r="AW134" s="1187">
        <f>IF(보수일람표!Z132="","",보수일람표!Z132)</f>
        <v>0</v>
      </c>
      <c r="AX134" s="1134">
        <f>IF(보수일람표!AA132="","",보수일람표!AA132)</f>
        <v>0</v>
      </c>
    </row>
    <row r="135" spans="38:50">
      <c r="AL135" s="1182" t="str">
        <f>IF(보수일람표!O133="","",보수일람표!O133)</f>
        <v/>
      </c>
      <c r="AM135" s="1183" t="str">
        <f>IF(보수일람표!P133="","",보수일람표!P133)</f>
        <v/>
      </c>
      <c r="AN135" s="1184">
        <f>IF(보수일람표!S133="","",보수일람표!S133)</f>
        <v>0</v>
      </c>
      <c r="AO135" s="1185">
        <f>IF(보수일람표!R133="","",보수일람표!R133)</f>
        <v>0</v>
      </c>
      <c r="AP135" s="1118">
        <f>IF(보수일람표!S133="","",보수일람표!S133)</f>
        <v>0</v>
      </c>
      <c r="AQ135" s="1186">
        <f>IF(보수일람표!T133="","",보수일람표!T133)</f>
        <v>0</v>
      </c>
      <c r="AR135" s="1120">
        <f>IF(보수일람표!U133="","",보수일람표!U133)</f>
        <v>0</v>
      </c>
      <c r="AS135" s="1121">
        <f>IF(보수일람표!V133="","",보수일람표!V133)</f>
        <v>0</v>
      </c>
      <c r="AT135" s="1122">
        <f>IF(보수일람표!W133="","",보수일람표!W133)</f>
        <v>0</v>
      </c>
      <c r="AU135" s="1123">
        <f>IF(보수일람표!X133="","",보수일람표!X133)</f>
        <v>0</v>
      </c>
      <c r="AV135" s="1124">
        <f>IF(보수일람표!Y133="","",보수일람표!Y133)</f>
        <v>0</v>
      </c>
      <c r="AW135" s="1187">
        <f>IF(보수일람표!Z133="","",보수일람표!Z133)</f>
        <v>0</v>
      </c>
      <c r="AX135" s="1134">
        <f>IF(보수일람표!AA133="","",보수일람표!AA133)</f>
        <v>0</v>
      </c>
    </row>
    <row r="136" spans="38:50">
      <c r="AL136" s="1182" t="str">
        <f>IF(보수일람표!O134="","",보수일람표!O134)</f>
        <v/>
      </c>
      <c r="AM136" s="1183" t="str">
        <f>IF(보수일람표!P134="","",보수일람표!P134)</f>
        <v/>
      </c>
      <c r="AN136" s="1184">
        <f>IF(보수일람표!S134="","",보수일람표!S134)</f>
        <v>0</v>
      </c>
      <c r="AO136" s="1185">
        <f>IF(보수일람표!R134="","",보수일람표!R134)</f>
        <v>0</v>
      </c>
      <c r="AP136" s="1118">
        <f>IF(보수일람표!S134="","",보수일람표!S134)</f>
        <v>0</v>
      </c>
      <c r="AQ136" s="1186">
        <f>IF(보수일람표!T134="","",보수일람표!T134)</f>
        <v>0</v>
      </c>
      <c r="AR136" s="1120">
        <f>IF(보수일람표!U134="","",보수일람표!U134)</f>
        <v>0</v>
      </c>
      <c r="AS136" s="1121">
        <f>IF(보수일람표!V134="","",보수일람표!V134)</f>
        <v>0</v>
      </c>
      <c r="AT136" s="1122">
        <f>IF(보수일람표!W134="","",보수일람표!W134)</f>
        <v>0</v>
      </c>
      <c r="AU136" s="1123">
        <f>IF(보수일람표!X134="","",보수일람표!X134)</f>
        <v>0</v>
      </c>
      <c r="AV136" s="1124">
        <f>IF(보수일람표!Y134="","",보수일람표!Y134)</f>
        <v>0</v>
      </c>
      <c r="AW136" s="1187">
        <f>IF(보수일람표!Z134="","",보수일람표!Z134)</f>
        <v>0</v>
      </c>
      <c r="AX136" s="1134">
        <f>IF(보수일람표!AA134="","",보수일람표!AA134)</f>
        <v>0</v>
      </c>
    </row>
    <row r="137" spans="38:50">
      <c r="AL137" s="1182" t="str">
        <f>IF(보수일람표!O135="","",보수일람표!O135)</f>
        <v/>
      </c>
      <c r="AM137" s="1183" t="str">
        <f>IF(보수일람표!P135="","",보수일람표!P135)</f>
        <v/>
      </c>
      <c r="AN137" s="1184">
        <f>IF(보수일람표!S135="","",보수일람표!S135)</f>
        <v>0</v>
      </c>
      <c r="AO137" s="1185">
        <f>IF(보수일람표!R135="","",보수일람표!R135)</f>
        <v>0</v>
      </c>
      <c r="AP137" s="1118">
        <f>IF(보수일람표!S135="","",보수일람표!S135)</f>
        <v>0</v>
      </c>
      <c r="AQ137" s="1186">
        <f>IF(보수일람표!T135="","",보수일람표!T135)</f>
        <v>0</v>
      </c>
      <c r="AR137" s="1120">
        <f>IF(보수일람표!U135="","",보수일람표!U135)</f>
        <v>0</v>
      </c>
      <c r="AS137" s="1121">
        <f>IF(보수일람표!V135="","",보수일람표!V135)</f>
        <v>0</v>
      </c>
      <c r="AT137" s="1122">
        <f>IF(보수일람표!W135="","",보수일람표!W135)</f>
        <v>0</v>
      </c>
      <c r="AU137" s="1123">
        <f>IF(보수일람표!X135="","",보수일람표!X135)</f>
        <v>0</v>
      </c>
      <c r="AV137" s="1124">
        <f>IF(보수일람표!Y135="","",보수일람표!Y135)</f>
        <v>0</v>
      </c>
      <c r="AW137" s="1187">
        <f>IF(보수일람표!Z135="","",보수일람표!Z135)</f>
        <v>0</v>
      </c>
      <c r="AX137" s="1134">
        <f>IF(보수일람표!AA135="","",보수일람표!AA135)</f>
        <v>0</v>
      </c>
    </row>
    <row r="138" spans="38:50">
      <c r="AL138" s="1182" t="str">
        <f>IF(보수일람표!O136="","",보수일람표!O136)</f>
        <v/>
      </c>
      <c r="AM138" s="1183" t="str">
        <f>IF(보수일람표!P136="","",보수일람표!P136)</f>
        <v/>
      </c>
      <c r="AN138" s="1184">
        <f>IF(보수일람표!S136="","",보수일람표!S136)</f>
        <v>0</v>
      </c>
      <c r="AO138" s="1185">
        <f>IF(보수일람표!R136="","",보수일람표!R136)</f>
        <v>0</v>
      </c>
      <c r="AP138" s="1118">
        <f>IF(보수일람표!S136="","",보수일람표!S136)</f>
        <v>0</v>
      </c>
      <c r="AQ138" s="1186">
        <f>IF(보수일람표!T136="","",보수일람표!T136)</f>
        <v>0</v>
      </c>
      <c r="AR138" s="1120">
        <f>IF(보수일람표!U136="","",보수일람표!U136)</f>
        <v>0</v>
      </c>
      <c r="AS138" s="1121">
        <f>IF(보수일람표!V136="","",보수일람표!V136)</f>
        <v>0</v>
      </c>
      <c r="AT138" s="1122">
        <f>IF(보수일람표!W136="","",보수일람표!W136)</f>
        <v>0</v>
      </c>
      <c r="AU138" s="1123">
        <f>IF(보수일람표!X136="","",보수일람표!X136)</f>
        <v>0</v>
      </c>
      <c r="AV138" s="1124">
        <f>IF(보수일람표!Y136="","",보수일람표!Y136)</f>
        <v>0</v>
      </c>
      <c r="AW138" s="1187">
        <f>IF(보수일람표!Z136="","",보수일람표!Z136)</f>
        <v>0</v>
      </c>
      <c r="AX138" s="1134">
        <f>IF(보수일람표!AA136="","",보수일람표!AA136)</f>
        <v>0</v>
      </c>
    </row>
    <row r="139" spans="38:50">
      <c r="AL139" s="1182" t="str">
        <f>IF(보수일람표!O137="","",보수일람표!O137)</f>
        <v/>
      </c>
      <c r="AM139" s="1183" t="str">
        <f>IF(보수일람표!P137="","",보수일람표!P137)</f>
        <v/>
      </c>
      <c r="AN139" s="1184">
        <f>IF(보수일람표!S137="","",보수일람표!S137)</f>
        <v>0</v>
      </c>
      <c r="AO139" s="1185">
        <f>IF(보수일람표!R137="","",보수일람표!R137)</f>
        <v>0</v>
      </c>
      <c r="AP139" s="1118">
        <f>IF(보수일람표!S137="","",보수일람표!S137)</f>
        <v>0</v>
      </c>
      <c r="AQ139" s="1186">
        <f>IF(보수일람표!T137="","",보수일람표!T137)</f>
        <v>0</v>
      </c>
      <c r="AR139" s="1120">
        <f>IF(보수일람표!U137="","",보수일람표!U137)</f>
        <v>0</v>
      </c>
      <c r="AS139" s="1121">
        <f>IF(보수일람표!V137="","",보수일람표!V137)</f>
        <v>0</v>
      </c>
      <c r="AT139" s="1122">
        <f>IF(보수일람표!W137="","",보수일람표!W137)</f>
        <v>0</v>
      </c>
      <c r="AU139" s="1123">
        <f>IF(보수일람표!X137="","",보수일람표!X137)</f>
        <v>0</v>
      </c>
      <c r="AV139" s="1124">
        <f>IF(보수일람표!Y137="","",보수일람표!Y137)</f>
        <v>0</v>
      </c>
      <c r="AW139" s="1187">
        <f>IF(보수일람표!Z137="","",보수일람표!Z137)</f>
        <v>0</v>
      </c>
      <c r="AX139" s="1134">
        <f>IF(보수일람표!AA137="","",보수일람표!AA137)</f>
        <v>0</v>
      </c>
    </row>
    <row r="140" spans="38:50">
      <c r="AL140" s="1182" t="str">
        <f>IF(보수일람표!O138="","",보수일람표!O138)</f>
        <v/>
      </c>
      <c r="AM140" s="1183" t="str">
        <f>IF(보수일람표!P138="","",보수일람표!P138)</f>
        <v/>
      </c>
      <c r="AN140" s="1184">
        <f>IF(보수일람표!S138="","",보수일람표!S138)</f>
        <v>0</v>
      </c>
      <c r="AO140" s="1185">
        <f>IF(보수일람표!R138="","",보수일람표!R138)</f>
        <v>0</v>
      </c>
      <c r="AP140" s="1118">
        <f>IF(보수일람표!S138="","",보수일람표!S138)</f>
        <v>0</v>
      </c>
      <c r="AQ140" s="1186">
        <f>IF(보수일람표!T138="","",보수일람표!T138)</f>
        <v>0</v>
      </c>
      <c r="AR140" s="1120">
        <f>IF(보수일람표!U138="","",보수일람표!U138)</f>
        <v>0</v>
      </c>
      <c r="AS140" s="1121">
        <f>IF(보수일람표!V138="","",보수일람표!V138)</f>
        <v>0</v>
      </c>
      <c r="AT140" s="1122">
        <f>IF(보수일람표!W138="","",보수일람표!W138)</f>
        <v>0</v>
      </c>
      <c r="AU140" s="1123">
        <f>IF(보수일람표!X138="","",보수일람표!X138)</f>
        <v>0</v>
      </c>
      <c r="AV140" s="1124">
        <f>IF(보수일람표!Y138="","",보수일람표!Y138)</f>
        <v>0</v>
      </c>
      <c r="AW140" s="1187">
        <f>IF(보수일람표!Z138="","",보수일람표!Z138)</f>
        <v>0</v>
      </c>
      <c r="AX140" s="1134">
        <f>IF(보수일람표!AA138="","",보수일람표!AA138)</f>
        <v>0</v>
      </c>
    </row>
    <row r="141" spans="38:50">
      <c r="AL141" s="1182" t="str">
        <f>IF(보수일람표!O139="","",보수일람표!O139)</f>
        <v/>
      </c>
      <c r="AM141" s="1183" t="str">
        <f>IF(보수일람표!P139="","",보수일람표!P139)</f>
        <v/>
      </c>
      <c r="AN141" s="1184">
        <f>IF(보수일람표!S139="","",보수일람표!S139)</f>
        <v>0</v>
      </c>
      <c r="AO141" s="1185">
        <f>IF(보수일람표!R139="","",보수일람표!R139)</f>
        <v>0</v>
      </c>
      <c r="AP141" s="1118">
        <f>IF(보수일람표!S139="","",보수일람표!S139)</f>
        <v>0</v>
      </c>
      <c r="AQ141" s="1186">
        <f>IF(보수일람표!T139="","",보수일람표!T139)</f>
        <v>0</v>
      </c>
      <c r="AR141" s="1120">
        <f>IF(보수일람표!U139="","",보수일람표!U139)</f>
        <v>0</v>
      </c>
      <c r="AS141" s="1121">
        <f>IF(보수일람표!V139="","",보수일람표!V139)</f>
        <v>0</v>
      </c>
      <c r="AT141" s="1122">
        <f>IF(보수일람표!W139="","",보수일람표!W139)</f>
        <v>0</v>
      </c>
      <c r="AU141" s="1123">
        <f>IF(보수일람표!X139="","",보수일람표!X139)</f>
        <v>0</v>
      </c>
      <c r="AV141" s="1124">
        <f>IF(보수일람표!Y139="","",보수일람표!Y139)</f>
        <v>0</v>
      </c>
      <c r="AW141" s="1187">
        <f>IF(보수일람표!Z139="","",보수일람표!Z139)</f>
        <v>0</v>
      </c>
      <c r="AX141" s="1134">
        <f>IF(보수일람표!AA139="","",보수일람표!AA139)</f>
        <v>0</v>
      </c>
    </row>
    <row r="142" spans="38:50">
      <c r="AL142" s="1182" t="str">
        <f>IF(보수일람표!O140="","",보수일람표!O140)</f>
        <v/>
      </c>
      <c r="AM142" s="1183" t="str">
        <f>IF(보수일람표!P140="","",보수일람표!P140)</f>
        <v/>
      </c>
      <c r="AN142" s="1184">
        <f>IF(보수일람표!S140="","",보수일람표!S140)</f>
        <v>0</v>
      </c>
      <c r="AO142" s="1185">
        <f>IF(보수일람표!R140="","",보수일람표!R140)</f>
        <v>0</v>
      </c>
      <c r="AP142" s="1118">
        <f>IF(보수일람표!S140="","",보수일람표!S140)</f>
        <v>0</v>
      </c>
      <c r="AQ142" s="1186">
        <f>IF(보수일람표!T140="","",보수일람표!T140)</f>
        <v>0</v>
      </c>
      <c r="AR142" s="1120">
        <f>IF(보수일람표!U140="","",보수일람표!U140)</f>
        <v>0</v>
      </c>
      <c r="AS142" s="1121">
        <f>IF(보수일람표!V140="","",보수일람표!V140)</f>
        <v>0</v>
      </c>
      <c r="AT142" s="1122">
        <f>IF(보수일람표!W140="","",보수일람표!W140)</f>
        <v>0</v>
      </c>
      <c r="AU142" s="1123">
        <f>IF(보수일람표!X140="","",보수일람표!X140)</f>
        <v>0</v>
      </c>
      <c r="AV142" s="1124">
        <f>IF(보수일람표!Y140="","",보수일람표!Y140)</f>
        <v>0</v>
      </c>
      <c r="AW142" s="1187">
        <f>IF(보수일람표!Z140="","",보수일람표!Z140)</f>
        <v>0</v>
      </c>
      <c r="AX142" s="1134">
        <f>IF(보수일람표!AA140="","",보수일람표!AA140)</f>
        <v>0</v>
      </c>
    </row>
    <row r="143" spans="38:50">
      <c r="AL143" s="1182" t="str">
        <f>IF(보수일람표!O141="","",보수일람표!O141)</f>
        <v/>
      </c>
      <c r="AM143" s="1183" t="str">
        <f>IF(보수일람표!P141="","",보수일람표!P141)</f>
        <v/>
      </c>
      <c r="AN143" s="1184">
        <f>IF(보수일람표!S141="","",보수일람표!S141)</f>
        <v>0</v>
      </c>
      <c r="AO143" s="1185">
        <f>IF(보수일람표!R141="","",보수일람표!R141)</f>
        <v>0</v>
      </c>
      <c r="AP143" s="1118">
        <f>IF(보수일람표!S141="","",보수일람표!S141)</f>
        <v>0</v>
      </c>
      <c r="AQ143" s="1186">
        <f>IF(보수일람표!T141="","",보수일람표!T141)</f>
        <v>0</v>
      </c>
      <c r="AR143" s="1120">
        <f>IF(보수일람표!U141="","",보수일람표!U141)</f>
        <v>0</v>
      </c>
      <c r="AS143" s="1121">
        <f>IF(보수일람표!V141="","",보수일람표!V141)</f>
        <v>0</v>
      </c>
      <c r="AT143" s="1122">
        <f>IF(보수일람표!W141="","",보수일람표!W141)</f>
        <v>0</v>
      </c>
      <c r="AU143" s="1123">
        <f>IF(보수일람표!X141="","",보수일람표!X141)</f>
        <v>0</v>
      </c>
      <c r="AV143" s="1124">
        <f>IF(보수일람표!Y141="","",보수일람표!Y141)</f>
        <v>0</v>
      </c>
      <c r="AW143" s="1187">
        <f>IF(보수일람표!Z141="","",보수일람표!Z141)</f>
        <v>0</v>
      </c>
      <c r="AX143" s="1134">
        <f>IF(보수일람표!AA141="","",보수일람표!AA141)</f>
        <v>0</v>
      </c>
    </row>
    <row r="144" spans="38:50">
      <c r="AL144" s="1182" t="str">
        <f>IF(보수일람표!O142="","",보수일람표!O142)</f>
        <v/>
      </c>
      <c r="AM144" s="1183" t="str">
        <f>IF(보수일람표!P142="","",보수일람표!P142)</f>
        <v/>
      </c>
      <c r="AN144" s="1184">
        <f>IF(보수일람표!S142="","",보수일람표!S142)</f>
        <v>0</v>
      </c>
      <c r="AO144" s="1185">
        <f>IF(보수일람표!R142="","",보수일람표!R142)</f>
        <v>0</v>
      </c>
      <c r="AP144" s="1118">
        <f>IF(보수일람표!S142="","",보수일람표!S142)</f>
        <v>0</v>
      </c>
      <c r="AQ144" s="1186">
        <f>IF(보수일람표!T142="","",보수일람표!T142)</f>
        <v>0</v>
      </c>
      <c r="AR144" s="1120">
        <f>IF(보수일람표!U142="","",보수일람표!U142)</f>
        <v>0</v>
      </c>
      <c r="AS144" s="1121">
        <f>IF(보수일람표!V142="","",보수일람표!V142)</f>
        <v>0</v>
      </c>
      <c r="AT144" s="1122">
        <f>IF(보수일람표!W142="","",보수일람표!W142)</f>
        <v>0</v>
      </c>
      <c r="AU144" s="1123">
        <f>IF(보수일람표!X142="","",보수일람표!X142)</f>
        <v>0</v>
      </c>
      <c r="AV144" s="1124">
        <f>IF(보수일람표!Y142="","",보수일람표!Y142)</f>
        <v>0</v>
      </c>
      <c r="AW144" s="1187">
        <f>IF(보수일람표!Z142="","",보수일람표!Z142)</f>
        <v>0</v>
      </c>
      <c r="AX144" s="1134">
        <f>IF(보수일람표!AA142="","",보수일람표!AA142)</f>
        <v>0</v>
      </c>
    </row>
    <row r="145" spans="38:50">
      <c r="AL145" s="1182" t="str">
        <f>IF(보수일람표!O143="","",보수일람표!O143)</f>
        <v/>
      </c>
      <c r="AM145" s="1183" t="str">
        <f>IF(보수일람표!P143="","",보수일람표!P143)</f>
        <v/>
      </c>
      <c r="AN145" s="1184">
        <f>IF(보수일람표!S143="","",보수일람표!S143)</f>
        <v>0</v>
      </c>
      <c r="AO145" s="1185">
        <f>IF(보수일람표!R143="","",보수일람표!R143)</f>
        <v>0</v>
      </c>
      <c r="AP145" s="1118">
        <f>IF(보수일람표!S143="","",보수일람표!S143)</f>
        <v>0</v>
      </c>
      <c r="AQ145" s="1186">
        <f>IF(보수일람표!T143="","",보수일람표!T143)</f>
        <v>0</v>
      </c>
      <c r="AR145" s="1120">
        <f>IF(보수일람표!U143="","",보수일람표!U143)</f>
        <v>0</v>
      </c>
      <c r="AS145" s="1121">
        <f>IF(보수일람표!V143="","",보수일람표!V143)</f>
        <v>0</v>
      </c>
      <c r="AT145" s="1122">
        <f>IF(보수일람표!W143="","",보수일람표!W143)</f>
        <v>0</v>
      </c>
      <c r="AU145" s="1123">
        <f>IF(보수일람표!X143="","",보수일람표!X143)</f>
        <v>0</v>
      </c>
      <c r="AV145" s="1124">
        <f>IF(보수일람표!Y143="","",보수일람표!Y143)</f>
        <v>0</v>
      </c>
      <c r="AW145" s="1187">
        <f>IF(보수일람표!Z143="","",보수일람표!Z143)</f>
        <v>0</v>
      </c>
      <c r="AX145" s="1134">
        <f>IF(보수일람표!AA143="","",보수일람표!AA143)</f>
        <v>0</v>
      </c>
    </row>
    <row r="146" spans="38:50">
      <c r="AL146" s="1182" t="str">
        <f>IF(보수일람표!O144="","",보수일람표!O144)</f>
        <v/>
      </c>
      <c r="AM146" s="1183" t="str">
        <f>IF(보수일람표!P144="","",보수일람표!P144)</f>
        <v/>
      </c>
      <c r="AN146" s="1184">
        <f>IF(보수일람표!S144="","",보수일람표!S144)</f>
        <v>0</v>
      </c>
      <c r="AO146" s="1185">
        <f>IF(보수일람표!R144="","",보수일람표!R144)</f>
        <v>0</v>
      </c>
      <c r="AP146" s="1118">
        <f>IF(보수일람표!S144="","",보수일람표!S144)</f>
        <v>0</v>
      </c>
      <c r="AQ146" s="1186">
        <f>IF(보수일람표!T144="","",보수일람표!T144)</f>
        <v>0</v>
      </c>
      <c r="AR146" s="1120">
        <f>IF(보수일람표!U144="","",보수일람표!U144)</f>
        <v>0</v>
      </c>
      <c r="AS146" s="1121">
        <f>IF(보수일람표!V144="","",보수일람표!V144)</f>
        <v>0</v>
      </c>
      <c r="AT146" s="1122">
        <f>IF(보수일람표!W144="","",보수일람표!W144)</f>
        <v>0</v>
      </c>
      <c r="AU146" s="1123">
        <f>IF(보수일람표!X144="","",보수일람표!X144)</f>
        <v>0</v>
      </c>
      <c r="AV146" s="1124">
        <f>IF(보수일람표!Y144="","",보수일람표!Y144)</f>
        <v>0</v>
      </c>
      <c r="AW146" s="1187">
        <f>IF(보수일람표!Z144="","",보수일람표!Z144)</f>
        <v>0</v>
      </c>
      <c r="AX146" s="1134">
        <f>IF(보수일람표!AA144="","",보수일람표!AA144)</f>
        <v>0</v>
      </c>
    </row>
    <row r="147" spans="38:50">
      <c r="AL147" s="1182" t="str">
        <f>IF(보수일람표!O145="","",보수일람표!O145)</f>
        <v/>
      </c>
      <c r="AM147" s="1183" t="str">
        <f>IF(보수일람표!P145="","",보수일람표!P145)</f>
        <v/>
      </c>
      <c r="AN147" s="1184">
        <f>IF(보수일람표!S145="","",보수일람표!S145)</f>
        <v>0</v>
      </c>
      <c r="AO147" s="1185">
        <f>IF(보수일람표!R145="","",보수일람표!R145)</f>
        <v>0</v>
      </c>
      <c r="AP147" s="1118">
        <f>IF(보수일람표!S145="","",보수일람표!S145)</f>
        <v>0</v>
      </c>
      <c r="AQ147" s="1186">
        <f>IF(보수일람표!T145="","",보수일람표!T145)</f>
        <v>0</v>
      </c>
      <c r="AR147" s="1120">
        <f>IF(보수일람표!U145="","",보수일람표!U145)</f>
        <v>0</v>
      </c>
      <c r="AS147" s="1121">
        <f>IF(보수일람표!V145="","",보수일람표!V145)</f>
        <v>0</v>
      </c>
      <c r="AT147" s="1122">
        <f>IF(보수일람표!W145="","",보수일람표!W145)</f>
        <v>0</v>
      </c>
      <c r="AU147" s="1123">
        <f>IF(보수일람표!X145="","",보수일람표!X145)</f>
        <v>0</v>
      </c>
      <c r="AV147" s="1124">
        <f>IF(보수일람표!Y145="","",보수일람표!Y145)</f>
        <v>0</v>
      </c>
      <c r="AW147" s="1187">
        <f>IF(보수일람표!Z145="","",보수일람표!Z145)</f>
        <v>0</v>
      </c>
      <c r="AX147" s="1134">
        <f>IF(보수일람표!AA145="","",보수일람표!AA145)</f>
        <v>0</v>
      </c>
    </row>
    <row r="148" spans="38:50">
      <c r="AL148" s="1182" t="str">
        <f>IF(보수일람표!O146="","",보수일람표!O146)</f>
        <v/>
      </c>
      <c r="AM148" s="1183" t="str">
        <f>IF(보수일람표!P146="","",보수일람표!P146)</f>
        <v/>
      </c>
      <c r="AN148" s="1184">
        <f>IF(보수일람표!S146="","",보수일람표!S146)</f>
        <v>0</v>
      </c>
      <c r="AO148" s="1185">
        <f>IF(보수일람표!R146="","",보수일람표!R146)</f>
        <v>0</v>
      </c>
      <c r="AP148" s="1118">
        <f>IF(보수일람표!S146="","",보수일람표!S146)</f>
        <v>0</v>
      </c>
      <c r="AQ148" s="1186">
        <f>IF(보수일람표!T146="","",보수일람표!T146)</f>
        <v>0</v>
      </c>
      <c r="AR148" s="1120">
        <f>IF(보수일람표!U146="","",보수일람표!U146)</f>
        <v>0</v>
      </c>
      <c r="AS148" s="1121">
        <f>IF(보수일람표!V146="","",보수일람표!V146)</f>
        <v>0</v>
      </c>
      <c r="AT148" s="1122">
        <f>IF(보수일람표!W146="","",보수일람표!W146)</f>
        <v>0</v>
      </c>
      <c r="AU148" s="1123">
        <f>IF(보수일람표!X146="","",보수일람표!X146)</f>
        <v>0</v>
      </c>
      <c r="AV148" s="1124">
        <f>IF(보수일람표!Y146="","",보수일람표!Y146)</f>
        <v>0</v>
      </c>
      <c r="AW148" s="1187">
        <f>IF(보수일람표!Z146="","",보수일람표!Z146)</f>
        <v>0</v>
      </c>
      <c r="AX148" s="1134">
        <f>IF(보수일람표!AA146="","",보수일람표!AA146)</f>
        <v>0</v>
      </c>
    </row>
    <row r="149" spans="38:50">
      <c r="AL149" s="1182" t="str">
        <f>IF(보수일람표!O147="","",보수일람표!O147)</f>
        <v/>
      </c>
      <c r="AM149" s="1183" t="str">
        <f>IF(보수일람표!P147="","",보수일람표!P147)</f>
        <v/>
      </c>
      <c r="AN149" s="1184">
        <f>IF(보수일람표!S147="","",보수일람표!S147)</f>
        <v>0</v>
      </c>
      <c r="AO149" s="1185">
        <f>IF(보수일람표!R147="","",보수일람표!R147)</f>
        <v>0</v>
      </c>
      <c r="AP149" s="1118">
        <f>IF(보수일람표!S147="","",보수일람표!S147)</f>
        <v>0</v>
      </c>
      <c r="AQ149" s="1186">
        <f>IF(보수일람표!T147="","",보수일람표!T147)</f>
        <v>0</v>
      </c>
      <c r="AR149" s="1120">
        <f>IF(보수일람표!U147="","",보수일람표!U147)</f>
        <v>0</v>
      </c>
      <c r="AS149" s="1121">
        <f>IF(보수일람표!V147="","",보수일람표!V147)</f>
        <v>0</v>
      </c>
      <c r="AT149" s="1122">
        <f>IF(보수일람표!W147="","",보수일람표!W147)</f>
        <v>0</v>
      </c>
      <c r="AU149" s="1123">
        <f>IF(보수일람표!X147="","",보수일람표!X147)</f>
        <v>0</v>
      </c>
      <c r="AV149" s="1124">
        <f>IF(보수일람표!Y147="","",보수일람표!Y147)</f>
        <v>0</v>
      </c>
      <c r="AW149" s="1187">
        <f>IF(보수일람표!Z147="","",보수일람표!Z147)</f>
        <v>0</v>
      </c>
      <c r="AX149" s="1134">
        <f>IF(보수일람표!AA147="","",보수일람표!AA147)</f>
        <v>0</v>
      </c>
    </row>
    <row r="150" spans="38:50">
      <c r="AL150" s="1182" t="str">
        <f>IF(보수일람표!O148="","",보수일람표!O148)</f>
        <v/>
      </c>
      <c r="AM150" s="1183" t="str">
        <f>IF(보수일람표!P148="","",보수일람표!P148)</f>
        <v/>
      </c>
      <c r="AN150" s="1184">
        <f>IF(보수일람표!S148="","",보수일람표!S148)</f>
        <v>0</v>
      </c>
      <c r="AO150" s="1185">
        <f>IF(보수일람표!R148="","",보수일람표!R148)</f>
        <v>0</v>
      </c>
      <c r="AP150" s="1118">
        <f>IF(보수일람표!S148="","",보수일람표!S148)</f>
        <v>0</v>
      </c>
      <c r="AQ150" s="1186">
        <f>IF(보수일람표!T148="","",보수일람표!T148)</f>
        <v>0</v>
      </c>
      <c r="AR150" s="1120">
        <f>IF(보수일람표!U148="","",보수일람표!U148)</f>
        <v>0</v>
      </c>
      <c r="AS150" s="1121">
        <f>IF(보수일람표!V148="","",보수일람표!V148)</f>
        <v>0</v>
      </c>
      <c r="AT150" s="1122">
        <f>IF(보수일람표!W148="","",보수일람표!W148)</f>
        <v>0</v>
      </c>
      <c r="AU150" s="1123">
        <f>IF(보수일람표!X148="","",보수일람표!X148)</f>
        <v>0</v>
      </c>
      <c r="AV150" s="1124">
        <f>IF(보수일람표!Y148="","",보수일람표!Y148)</f>
        <v>0</v>
      </c>
      <c r="AW150" s="1187">
        <f>IF(보수일람표!Z148="","",보수일람표!Z148)</f>
        <v>0</v>
      </c>
      <c r="AX150" s="1134">
        <f>IF(보수일람표!AA148="","",보수일람표!AA148)</f>
        <v>0</v>
      </c>
    </row>
    <row r="151" spans="38:50">
      <c r="AL151" s="1182" t="str">
        <f>IF(보수일람표!O149="","",보수일람표!O149)</f>
        <v/>
      </c>
      <c r="AM151" s="1183" t="str">
        <f>IF(보수일람표!P149="","",보수일람표!P149)</f>
        <v/>
      </c>
      <c r="AN151" s="1184">
        <f>IF(보수일람표!S149="","",보수일람표!S149)</f>
        <v>0</v>
      </c>
      <c r="AO151" s="1185">
        <f>IF(보수일람표!R149="","",보수일람표!R149)</f>
        <v>0</v>
      </c>
      <c r="AP151" s="1118">
        <f>IF(보수일람표!S149="","",보수일람표!S149)</f>
        <v>0</v>
      </c>
      <c r="AQ151" s="1186">
        <f>IF(보수일람표!T149="","",보수일람표!T149)</f>
        <v>0</v>
      </c>
      <c r="AR151" s="1120">
        <f>IF(보수일람표!U149="","",보수일람표!U149)</f>
        <v>0</v>
      </c>
      <c r="AS151" s="1121">
        <f>IF(보수일람표!V149="","",보수일람표!V149)</f>
        <v>0</v>
      </c>
      <c r="AT151" s="1122">
        <f>IF(보수일람표!W149="","",보수일람표!W149)</f>
        <v>0</v>
      </c>
      <c r="AU151" s="1123">
        <f>IF(보수일람표!X149="","",보수일람표!X149)</f>
        <v>0</v>
      </c>
      <c r="AV151" s="1124">
        <f>IF(보수일람표!Y149="","",보수일람표!Y149)</f>
        <v>0</v>
      </c>
      <c r="AW151" s="1187">
        <f>IF(보수일람표!Z149="","",보수일람표!Z149)</f>
        <v>0</v>
      </c>
      <c r="AX151" s="1134">
        <f>IF(보수일람표!AA149="","",보수일람표!AA149)</f>
        <v>0</v>
      </c>
    </row>
    <row r="152" spans="38:50">
      <c r="AL152" s="1182" t="str">
        <f>IF(보수일람표!O150="","",보수일람표!O150)</f>
        <v/>
      </c>
      <c r="AM152" s="1183" t="str">
        <f>IF(보수일람표!P150="","",보수일람표!P150)</f>
        <v/>
      </c>
      <c r="AN152" s="1184">
        <f>IF(보수일람표!S150="","",보수일람표!S150)</f>
        <v>0</v>
      </c>
      <c r="AO152" s="1185">
        <f>IF(보수일람표!R150="","",보수일람표!R150)</f>
        <v>0</v>
      </c>
      <c r="AP152" s="1118">
        <f>IF(보수일람표!S150="","",보수일람표!S150)</f>
        <v>0</v>
      </c>
      <c r="AQ152" s="1186">
        <f>IF(보수일람표!T150="","",보수일람표!T150)</f>
        <v>0</v>
      </c>
      <c r="AR152" s="1120">
        <f>IF(보수일람표!U150="","",보수일람표!U150)</f>
        <v>0</v>
      </c>
      <c r="AS152" s="1121">
        <f>IF(보수일람표!V150="","",보수일람표!V150)</f>
        <v>0</v>
      </c>
      <c r="AT152" s="1122">
        <f>IF(보수일람표!W150="","",보수일람표!W150)</f>
        <v>0</v>
      </c>
      <c r="AU152" s="1123">
        <f>IF(보수일람표!X150="","",보수일람표!X150)</f>
        <v>0</v>
      </c>
      <c r="AV152" s="1124">
        <f>IF(보수일람표!Y150="","",보수일람표!Y150)</f>
        <v>0</v>
      </c>
      <c r="AW152" s="1187">
        <f>IF(보수일람표!Z150="","",보수일람표!Z150)</f>
        <v>0</v>
      </c>
      <c r="AX152" s="1134">
        <f>IF(보수일람표!AA150="","",보수일람표!AA150)</f>
        <v>0</v>
      </c>
    </row>
    <row r="153" spans="38:50">
      <c r="AL153" s="1182" t="str">
        <f>IF(보수일람표!O151="","",보수일람표!O151)</f>
        <v/>
      </c>
      <c r="AM153" s="1183" t="str">
        <f>IF(보수일람표!P151="","",보수일람표!P151)</f>
        <v/>
      </c>
      <c r="AN153" s="1184">
        <f>IF(보수일람표!S151="","",보수일람표!S151)</f>
        <v>0</v>
      </c>
      <c r="AO153" s="1185">
        <f>IF(보수일람표!R151="","",보수일람표!R151)</f>
        <v>0</v>
      </c>
      <c r="AP153" s="1118">
        <f>IF(보수일람표!S151="","",보수일람표!S151)</f>
        <v>0</v>
      </c>
      <c r="AQ153" s="1186">
        <f>IF(보수일람표!T151="","",보수일람표!T151)</f>
        <v>0</v>
      </c>
      <c r="AR153" s="1120">
        <f>IF(보수일람표!U151="","",보수일람표!U151)</f>
        <v>0</v>
      </c>
      <c r="AS153" s="1121">
        <f>IF(보수일람표!V151="","",보수일람표!V151)</f>
        <v>0</v>
      </c>
      <c r="AT153" s="1122">
        <f>IF(보수일람표!W151="","",보수일람표!W151)</f>
        <v>0</v>
      </c>
      <c r="AU153" s="1123">
        <f>IF(보수일람표!X151="","",보수일람표!X151)</f>
        <v>0</v>
      </c>
      <c r="AV153" s="1124">
        <f>IF(보수일람표!Y151="","",보수일람표!Y151)</f>
        <v>0</v>
      </c>
      <c r="AW153" s="1187">
        <f>IF(보수일람표!Z151="","",보수일람표!Z151)</f>
        <v>0</v>
      </c>
      <c r="AX153" s="1134">
        <f>IF(보수일람표!AA151="","",보수일람표!AA151)</f>
        <v>0</v>
      </c>
    </row>
    <row r="154" spans="38:50">
      <c r="AL154" s="1182" t="str">
        <f>IF(보수일람표!O152="","",보수일람표!O152)</f>
        <v/>
      </c>
      <c r="AM154" s="1183" t="str">
        <f>IF(보수일람표!P152="","",보수일람표!P152)</f>
        <v/>
      </c>
      <c r="AN154" s="1184">
        <f>IF(보수일람표!S152="","",보수일람표!S152)</f>
        <v>0</v>
      </c>
      <c r="AO154" s="1185">
        <f>IF(보수일람표!R152="","",보수일람표!R152)</f>
        <v>0</v>
      </c>
      <c r="AP154" s="1118">
        <f>IF(보수일람표!S152="","",보수일람표!S152)</f>
        <v>0</v>
      </c>
      <c r="AQ154" s="1186">
        <f>IF(보수일람표!T152="","",보수일람표!T152)</f>
        <v>0</v>
      </c>
      <c r="AR154" s="1120">
        <f>IF(보수일람표!U152="","",보수일람표!U152)</f>
        <v>0</v>
      </c>
      <c r="AS154" s="1121">
        <f>IF(보수일람표!V152="","",보수일람표!V152)</f>
        <v>0</v>
      </c>
      <c r="AT154" s="1122">
        <f>IF(보수일람표!W152="","",보수일람표!W152)</f>
        <v>0</v>
      </c>
      <c r="AU154" s="1123">
        <f>IF(보수일람표!X152="","",보수일람표!X152)</f>
        <v>0</v>
      </c>
      <c r="AV154" s="1124">
        <f>IF(보수일람표!Y152="","",보수일람표!Y152)</f>
        <v>0</v>
      </c>
      <c r="AW154" s="1187">
        <f>IF(보수일람표!Z152="","",보수일람표!Z152)</f>
        <v>0</v>
      </c>
      <c r="AX154" s="1134">
        <f>IF(보수일람표!AA152="","",보수일람표!AA152)</f>
        <v>0</v>
      </c>
    </row>
    <row r="155" spans="38:50">
      <c r="AL155" s="1182" t="str">
        <f>IF(보수일람표!O153="","",보수일람표!O153)</f>
        <v/>
      </c>
      <c r="AM155" s="1183" t="str">
        <f>IF(보수일람표!P153="","",보수일람표!P153)</f>
        <v/>
      </c>
      <c r="AN155" s="1184">
        <f>IF(보수일람표!S153="","",보수일람표!S153)</f>
        <v>0</v>
      </c>
      <c r="AO155" s="1185">
        <f>IF(보수일람표!R153="","",보수일람표!R153)</f>
        <v>0</v>
      </c>
      <c r="AP155" s="1118">
        <f>IF(보수일람표!S153="","",보수일람표!S153)</f>
        <v>0</v>
      </c>
      <c r="AQ155" s="1186">
        <f>IF(보수일람표!T153="","",보수일람표!T153)</f>
        <v>0</v>
      </c>
      <c r="AR155" s="1120">
        <f>IF(보수일람표!U153="","",보수일람표!U153)</f>
        <v>0</v>
      </c>
      <c r="AS155" s="1121">
        <f>IF(보수일람표!V153="","",보수일람표!V153)</f>
        <v>0</v>
      </c>
      <c r="AT155" s="1122">
        <f>IF(보수일람표!W153="","",보수일람표!W153)</f>
        <v>0</v>
      </c>
      <c r="AU155" s="1123">
        <f>IF(보수일람표!X153="","",보수일람표!X153)</f>
        <v>0</v>
      </c>
      <c r="AV155" s="1124">
        <f>IF(보수일람표!Y153="","",보수일람표!Y153)</f>
        <v>0</v>
      </c>
      <c r="AW155" s="1187">
        <f>IF(보수일람표!Z153="","",보수일람표!Z153)</f>
        <v>0</v>
      </c>
      <c r="AX155" s="1134">
        <f>IF(보수일람표!AA153="","",보수일람표!AA153)</f>
        <v>0</v>
      </c>
    </row>
    <row r="156" spans="38:50">
      <c r="AL156" s="1182" t="str">
        <f>IF(보수일람표!O154="","",보수일람표!O154)</f>
        <v/>
      </c>
      <c r="AM156" s="1183" t="str">
        <f>IF(보수일람표!P154="","",보수일람표!P154)</f>
        <v/>
      </c>
      <c r="AN156" s="1184">
        <f>IF(보수일람표!S154="","",보수일람표!S154)</f>
        <v>0</v>
      </c>
      <c r="AO156" s="1185">
        <f>IF(보수일람표!R154="","",보수일람표!R154)</f>
        <v>0</v>
      </c>
      <c r="AP156" s="1118">
        <f>IF(보수일람표!S154="","",보수일람표!S154)</f>
        <v>0</v>
      </c>
      <c r="AQ156" s="1186">
        <f>IF(보수일람표!T154="","",보수일람표!T154)</f>
        <v>0</v>
      </c>
      <c r="AR156" s="1120">
        <f>IF(보수일람표!U154="","",보수일람표!U154)</f>
        <v>0</v>
      </c>
      <c r="AS156" s="1121">
        <f>IF(보수일람표!V154="","",보수일람표!V154)</f>
        <v>0</v>
      </c>
      <c r="AT156" s="1122">
        <f>IF(보수일람표!W154="","",보수일람표!W154)</f>
        <v>0</v>
      </c>
      <c r="AU156" s="1123">
        <f>IF(보수일람표!X154="","",보수일람표!X154)</f>
        <v>0</v>
      </c>
      <c r="AV156" s="1124">
        <f>IF(보수일람표!Y154="","",보수일람표!Y154)</f>
        <v>0</v>
      </c>
      <c r="AW156" s="1187">
        <f>IF(보수일람표!Z154="","",보수일람표!Z154)</f>
        <v>0</v>
      </c>
      <c r="AX156" s="1134">
        <f>IF(보수일람표!AA154="","",보수일람표!AA154)</f>
        <v>0</v>
      </c>
    </row>
    <row r="157" spans="38:50">
      <c r="AL157" s="1182" t="str">
        <f>IF(보수일람표!O155="","",보수일람표!O155)</f>
        <v/>
      </c>
      <c r="AM157" s="1183" t="str">
        <f>IF(보수일람표!P155="","",보수일람표!P155)</f>
        <v/>
      </c>
      <c r="AN157" s="1184">
        <f>IF(보수일람표!S155="","",보수일람표!S155)</f>
        <v>0</v>
      </c>
      <c r="AO157" s="1185">
        <f>IF(보수일람표!R155="","",보수일람표!R155)</f>
        <v>0</v>
      </c>
      <c r="AP157" s="1118">
        <f>IF(보수일람표!S155="","",보수일람표!S155)</f>
        <v>0</v>
      </c>
      <c r="AQ157" s="1186">
        <f>IF(보수일람표!T155="","",보수일람표!T155)</f>
        <v>0</v>
      </c>
      <c r="AR157" s="1120">
        <f>IF(보수일람표!U155="","",보수일람표!U155)</f>
        <v>0</v>
      </c>
      <c r="AS157" s="1121">
        <f>IF(보수일람표!V155="","",보수일람표!V155)</f>
        <v>0</v>
      </c>
      <c r="AT157" s="1122">
        <f>IF(보수일람표!W155="","",보수일람표!W155)</f>
        <v>0</v>
      </c>
      <c r="AU157" s="1123">
        <f>IF(보수일람표!X155="","",보수일람표!X155)</f>
        <v>0</v>
      </c>
      <c r="AV157" s="1124">
        <f>IF(보수일람표!Y155="","",보수일람표!Y155)</f>
        <v>0</v>
      </c>
      <c r="AW157" s="1187">
        <f>IF(보수일람표!Z155="","",보수일람표!Z155)</f>
        <v>0</v>
      </c>
      <c r="AX157" s="1134">
        <f>IF(보수일람표!AA155="","",보수일람표!AA155)</f>
        <v>0</v>
      </c>
    </row>
    <row r="158" spans="38:50">
      <c r="AL158" s="1182" t="str">
        <f>IF(보수일람표!O156="","",보수일람표!O156)</f>
        <v/>
      </c>
      <c r="AM158" s="1183" t="str">
        <f>IF(보수일람표!P156="","",보수일람표!P156)</f>
        <v/>
      </c>
      <c r="AN158" s="1184">
        <f>IF(보수일람표!S156="","",보수일람표!S156)</f>
        <v>0</v>
      </c>
      <c r="AO158" s="1185">
        <f>IF(보수일람표!R156="","",보수일람표!R156)</f>
        <v>0</v>
      </c>
      <c r="AP158" s="1118">
        <f>IF(보수일람표!S156="","",보수일람표!S156)</f>
        <v>0</v>
      </c>
      <c r="AQ158" s="1186">
        <f>IF(보수일람표!T156="","",보수일람표!T156)</f>
        <v>0</v>
      </c>
      <c r="AR158" s="1120">
        <f>IF(보수일람표!U156="","",보수일람표!U156)</f>
        <v>0</v>
      </c>
      <c r="AS158" s="1121">
        <f>IF(보수일람표!V156="","",보수일람표!V156)</f>
        <v>0</v>
      </c>
      <c r="AT158" s="1122">
        <f>IF(보수일람표!W156="","",보수일람표!W156)</f>
        <v>0</v>
      </c>
      <c r="AU158" s="1123">
        <f>IF(보수일람표!X156="","",보수일람표!X156)</f>
        <v>0</v>
      </c>
      <c r="AV158" s="1124">
        <f>IF(보수일람표!Y156="","",보수일람표!Y156)</f>
        <v>0</v>
      </c>
      <c r="AW158" s="1187">
        <f>IF(보수일람표!Z156="","",보수일람표!Z156)</f>
        <v>0</v>
      </c>
      <c r="AX158" s="1134">
        <f>IF(보수일람표!AA156="","",보수일람표!AA156)</f>
        <v>0</v>
      </c>
    </row>
    <row r="159" spans="38:50">
      <c r="AL159" s="1182" t="str">
        <f>IF(보수일람표!O157="","",보수일람표!O157)</f>
        <v/>
      </c>
      <c r="AM159" s="1183" t="str">
        <f>IF(보수일람표!P157="","",보수일람표!P157)</f>
        <v/>
      </c>
      <c r="AN159" s="1184">
        <f>IF(보수일람표!S157="","",보수일람표!S157)</f>
        <v>0</v>
      </c>
      <c r="AO159" s="1185">
        <f>IF(보수일람표!R157="","",보수일람표!R157)</f>
        <v>0</v>
      </c>
      <c r="AP159" s="1118">
        <f>IF(보수일람표!S157="","",보수일람표!S157)</f>
        <v>0</v>
      </c>
      <c r="AQ159" s="1186">
        <f>IF(보수일람표!T157="","",보수일람표!T157)</f>
        <v>0</v>
      </c>
      <c r="AR159" s="1120">
        <f>IF(보수일람표!U157="","",보수일람표!U157)</f>
        <v>0</v>
      </c>
      <c r="AS159" s="1121">
        <f>IF(보수일람표!V157="","",보수일람표!V157)</f>
        <v>0</v>
      </c>
      <c r="AT159" s="1122">
        <f>IF(보수일람표!W157="","",보수일람표!W157)</f>
        <v>0</v>
      </c>
      <c r="AU159" s="1123">
        <f>IF(보수일람표!X157="","",보수일람표!X157)</f>
        <v>0</v>
      </c>
      <c r="AV159" s="1124">
        <f>IF(보수일람표!Y157="","",보수일람표!Y157)</f>
        <v>0</v>
      </c>
      <c r="AW159" s="1187">
        <f>IF(보수일람표!Z157="","",보수일람표!Z157)</f>
        <v>0</v>
      </c>
      <c r="AX159" s="1134">
        <f>IF(보수일람표!AA157="","",보수일람표!AA157)</f>
        <v>0</v>
      </c>
    </row>
    <row r="160" spans="38:50">
      <c r="AL160" s="1182" t="str">
        <f>IF(보수일람표!O158="","",보수일람표!O158)</f>
        <v/>
      </c>
      <c r="AM160" s="1183" t="str">
        <f>IF(보수일람표!P158="","",보수일람표!P158)</f>
        <v/>
      </c>
      <c r="AN160" s="1184">
        <f>IF(보수일람표!S158="","",보수일람표!S158)</f>
        <v>0</v>
      </c>
      <c r="AO160" s="1185">
        <f>IF(보수일람표!R158="","",보수일람표!R158)</f>
        <v>0</v>
      </c>
      <c r="AP160" s="1118">
        <f>IF(보수일람표!S158="","",보수일람표!S158)</f>
        <v>0</v>
      </c>
      <c r="AQ160" s="1186">
        <f>IF(보수일람표!T158="","",보수일람표!T158)</f>
        <v>0</v>
      </c>
      <c r="AR160" s="1120">
        <f>IF(보수일람표!U158="","",보수일람표!U158)</f>
        <v>0</v>
      </c>
      <c r="AS160" s="1121">
        <f>IF(보수일람표!V158="","",보수일람표!V158)</f>
        <v>0</v>
      </c>
      <c r="AT160" s="1122">
        <f>IF(보수일람표!W158="","",보수일람표!W158)</f>
        <v>0</v>
      </c>
      <c r="AU160" s="1123">
        <f>IF(보수일람표!X158="","",보수일람표!X158)</f>
        <v>0</v>
      </c>
      <c r="AV160" s="1124">
        <f>IF(보수일람표!Y158="","",보수일람표!Y158)</f>
        <v>0</v>
      </c>
      <c r="AW160" s="1187">
        <f>IF(보수일람표!Z158="","",보수일람표!Z158)</f>
        <v>0</v>
      </c>
      <c r="AX160" s="1134">
        <f>IF(보수일람표!AA158="","",보수일람표!AA158)</f>
        <v>0</v>
      </c>
    </row>
    <row r="161" spans="38:50">
      <c r="AL161" s="1182" t="str">
        <f>IF(보수일람표!O159="","",보수일람표!O159)</f>
        <v/>
      </c>
      <c r="AM161" s="1183" t="str">
        <f>IF(보수일람표!P159="","",보수일람표!P159)</f>
        <v/>
      </c>
      <c r="AN161" s="1184">
        <f>IF(보수일람표!S159="","",보수일람표!S159)</f>
        <v>0</v>
      </c>
      <c r="AO161" s="1185">
        <f>IF(보수일람표!R159="","",보수일람표!R159)</f>
        <v>0</v>
      </c>
      <c r="AP161" s="1118">
        <f>IF(보수일람표!S159="","",보수일람표!S159)</f>
        <v>0</v>
      </c>
      <c r="AQ161" s="1186">
        <f>IF(보수일람표!T159="","",보수일람표!T159)</f>
        <v>0</v>
      </c>
      <c r="AR161" s="1120">
        <f>IF(보수일람표!U159="","",보수일람표!U159)</f>
        <v>0</v>
      </c>
      <c r="AS161" s="1121">
        <f>IF(보수일람표!V159="","",보수일람표!V159)</f>
        <v>0</v>
      </c>
      <c r="AT161" s="1122">
        <f>IF(보수일람표!W159="","",보수일람표!W159)</f>
        <v>0</v>
      </c>
      <c r="AU161" s="1123">
        <f>IF(보수일람표!X159="","",보수일람표!X159)</f>
        <v>0</v>
      </c>
      <c r="AV161" s="1124">
        <f>IF(보수일람표!Y159="","",보수일람표!Y159)</f>
        <v>0</v>
      </c>
      <c r="AW161" s="1187">
        <f>IF(보수일람표!Z159="","",보수일람표!Z159)</f>
        <v>0</v>
      </c>
      <c r="AX161" s="1134">
        <f>IF(보수일람표!AA159="","",보수일람표!AA159)</f>
        <v>0</v>
      </c>
    </row>
    <row r="162" spans="38:50">
      <c r="AL162" s="1182" t="str">
        <f>IF(보수일람표!O160="","",보수일람표!O160)</f>
        <v/>
      </c>
      <c r="AM162" s="1183" t="str">
        <f>IF(보수일람표!P160="","",보수일람표!P160)</f>
        <v/>
      </c>
      <c r="AN162" s="1184">
        <f>IF(보수일람표!S160="","",보수일람표!S160)</f>
        <v>0</v>
      </c>
      <c r="AO162" s="1185">
        <f>IF(보수일람표!R160="","",보수일람표!R160)</f>
        <v>0</v>
      </c>
      <c r="AP162" s="1118">
        <f>IF(보수일람표!S160="","",보수일람표!S160)</f>
        <v>0</v>
      </c>
      <c r="AQ162" s="1186">
        <f>IF(보수일람표!T160="","",보수일람표!T160)</f>
        <v>0</v>
      </c>
      <c r="AR162" s="1120">
        <f>IF(보수일람표!U160="","",보수일람표!U160)</f>
        <v>0</v>
      </c>
      <c r="AS162" s="1121">
        <f>IF(보수일람표!V160="","",보수일람표!V160)</f>
        <v>0</v>
      </c>
      <c r="AT162" s="1122">
        <f>IF(보수일람표!W160="","",보수일람표!W160)</f>
        <v>0</v>
      </c>
      <c r="AU162" s="1123">
        <f>IF(보수일람표!X160="","",보수일람표!X160)</f>
        <v>0</v>
      </c>
      <c r="AV162" s="1124">
        <f>IF(보수일람표!Y160="","",보수일람표!Y160)</f>
        <v>0</v>
      </c>
      <c r="AW162" s="1187">
        <f>IF(보수일람표!Z160="","",보수일람표!Z160)</f>
        <v>0</v>
      </c>
      <c r="AX162" s="1134">
        <f>IF(보수일람표!AA160="","",보수일람표!AA160)</f>
        <v>0</v>
      </c>
    </row>
    <row r="163" spans="38:50">
      <c r="AL163" s="1182" t="str">
        <f>IF(보수일람표!O161="","",보수일람표!O161)</f>
        <v/>
      </c>
      <c r="AM163" s="1183" t="str">
        <f>IF(보수일람표!P161="","",보수일람표!P161)</f>
        <v/>
      </c>
      <c r="AN163" s="1184">
        <f>IF(보수일람표!S161="","",보수일람표!S161)</f>
        <v>0</v>
      </c>
      <c r="AO163" s="1185">
        <f>IF(보수일람표!R161="","",보수일람표!R161)</f>
        <v>0</v>
      </c>
      <c r="AP163" s="1118">
        <f>IF(보수일람표!S161="","",보수일람표!S161)</f>
        <v>0</v>
      </c>
      <c r="AQ163" s="1186">
        <f>IF(보수일람표!T161="","",보수일람표!T161)</f>
        <v>0</v>
      </c>
      <c r="AR163" s="1120">
        <f>IF(보수일람표!U161="","",보수일람표!U161)</f>
        <v>0</v>
      </c>
      <c r="AS163" s="1121">
        <f>IF(보수일람표!V161="","",보수일람표!V161)</f>
        <v>0</v>
      </c>
      <c r="AT163" s="1122">
        <f>IF(보수일람표!W161="","",보수일람표!W161)</f>
        <v>0</v>
      </c>
      <c r="AU163" s="1123">
        <f>IF(보수일람표!X161="","",보수일람표!X161)</f>
        <v>0</v>
      </c>
      <c r="AV163" s="1124">
        <f>IF(보수일람표!Y161="","",보수일람표!Y161)</f>
        <v>0</v>
      </c>
      <c r="AW163" s="1187">
        <f>IF(보수일람표!Z161="","",보수일람표!Z161)</f>
        <v>0</v>
      </c>
      <c r="AX163" s="1134">
        <f>IF(보수일람표!AA161="","",보수일람표!AA161)</f>
        <v>0</v>
      </c>
    </row>
    <row r="164" spans="38:50">
      <c r="AL164" s="1182" t="str">
        <f>IF(보수일람표!O162="","",보수일람표!O162)</f>
        <v/>
      </c>
      <c r="AM164" s="1183" t="str">
        <f>IF(보수일람표!P162="","",보수일람표!P162)</f>
        <v/>
      </c>
      <c r="AN164" s="1184">
        <f>IF(보수일람표!S162="","",보수일람표!S162)</f>
        <v>0</v>
      </c>
      <c r="AO164" s="1185">
        <f>IF(보수일람표!R162="","",보수일람표!R162)</f>
        <v>0</v>
      </c>
      <c r="AP164" s="1118">
        <f>IF(보수일람표!S162="","",보수일람표!S162)</f>
        <v>0</v>
      </c>
      <c r="AQ164" s="1186">
        <f>IF(보수일람표!T162="","",보수일람표!T162)</f>
        <v>0</v>
      </c>
      <c r="AR164" s="1120">
        <f>IF(보수일람표!U162="","",보수일람표!U162)</f>
        <v>0</v>
      </c>
      <c r="AS164" s="1121">
        <f>IF(보수일람표!V162="","",보수일람표!V162)</f>
        <v>0</v>
      </c>
      <c r="AT164" s="1122">
        <f>IF(보수일람표!W162="","",보수일람표!W162)</f>
        <v>0</v>
      </c>
      <c r="AU164" s="1123">
        <f>IF(보수일람표!X162="","",보수일람표!X162)</f>
        <v>0</v>
      </c>
      <c r="AV164" s="1124">
        <f>IF(보수일람표!Y162="","",보수일람표!Y162)</f>
        <v>0</v>
      </c>
      <c r="AW164" s="1187">
        <f>IF(보수일람표!Z162="","",보수일람표!Z162)</f>
        <v>0</v>
      </c>
      <c r="AX164" s="1134">
        <f>IF(보수일람표!AA162="","",보수일람표!AA162)</f>
        <v>0</v>
      </c>
    </row>
    <row r="165" spans="38:50">
      <c r="AL165" s="1182" t="str">
        <f>IF(보수일람표!O163="","",보수일람표!O163)</f>
        <v/>
      </c>
      <c r="AM165" s="1183" t="str">
        <f>IF(보수일람표!P163="","",보수일람표!P163)</f>
        <v/>
      </c>
      <c r="AN165" s="1184">
        <f>IF(보수일람표!S163="","",보수일람표!S163)</f>
        <v>0</v>
      </c>
      <c r="AO165" s="1185">
        <f>IF(보수일람표!R163="","",보수일람표!R163)</f>
        <v>0</v>
      </c>
      <c r="AP165" s="1118">
        <f>IF(보수일람표!S163="","",보수일람표!S163)</f>
        <v>0</v>
      </c>
      <c r="AQ165" s="1186">
        <f>IF(보수일람표!T163="","",보수일람표!T163)</f>
        <v>0</v>
      </c>
      <c r="AR165" s="1120">
        <f>IF(보수일람표!U163="","",보수일람표!U163)</f>
        <v>0</v>
      </c>
      <c r="AS165" s="1121">
        <f>IF(보수일람표!V163="","",보수일람표!V163)</f>
        <v>0</v>
      </c>
      <c r="AT165" s="1122">
        <f>IF(보수일람표!W163="","",보수일람표!W163)</f>
        <v>0</v>
      </c>
      <c r="AU165" s="1123">
        <f>IF(보수일람표!X163="","",보수일람표!X163)</f>
        <v>0</v>
      </c>
      <c r="AV165" s="1124">
        <f>IF(보수일람표!Y163="","",보수일람표!Y163)</f>
        <v>0</v>
      </c>
      <c r="AW165" s="1187">
        <f>IF(보수일람표!Z163="","",보수일람표!Z163)</f>
        <v>0</v>
      </c>
      <c r="AX165" s="1134">
        <f>IF(보수일람표!AA163="","",보수일람표!AA163)</f>
        <v>0</v>
      </c>
    </row>
    <row r="166" spans="38:50">
      <c r="AL166" s="1182" t="str">
        <f>IF(보수일람표!O164="","",보수일람표!O164)</f>
        <v/>
      </c>
      <c r="AM166" s="1183" t="str">
        <f>IF(보수일람표!P164="","",보수일람표!P164)</f>
        <v/>
      </c>
      <c r="AN166" s="1184">
        <f>IF(보수일람표!S164="","",보수일람표!S164)</f>
        <v>0</v>
      </c>
      <c r="AO166" s="1185">
        <f>IF(보수일람표!R164="","",보수일람표!R164)</f>
        <v>0</v>
      </c>
      <c r="AP166" s="1118">
        <f>IF(보수일람표!S164="","",보수일람표!S164)</f>
        <v>0</v>
      </c>
      <c r="AQ166" s="1186">
        <f>IF(보수일람표!T164="","",보수일람표!T164)</f>
        <v>0</v>
      </c>
      <c r="AR166" s="1120">
        <f>IF(보수일람표!U164="","",보수일람표!U164)</f>
        <v>0</v>
      </c>
      <c r="AS166" s="1121">
        <f>IF(보수일람표!V164="","",보수일람표!V164)</f>
        <v>0</v>
      </c>
      <c r="AT166" s="1122">
        <f>IF(보수일람표!W164="","",보수일람표!W164)</f>
        <v>0</v>
      </c>
      <c r="AU166" s="1123">
        <f>IF(보수일람표!X164="","",보수일람표!X164)</f>
        <v>0</v>
      </c>
      <c r="AV166" s="1124">
        <f>IF(보수일람표!Y164="","",보수일람표!Y164)</f>
        <v>0</v>
      </c>
      <c r="AW166" s="1187">
        <f>IF(보수일람표!Z164="","",보수일람표!Z164)</f>
        <v>0</v>
      </c>
      <c r="AX166" s="1134">
        <f>IF(보수일람표!AA164="","",보수일람표!AA164)</f>
        <v>0</v>
      </c>
    </row>
    <row r="167" spans="38:50">
      <c r="AL167" s="1182" t="str">
        <f>IF(보수일람표!O165="","",보수일람표!O165)</f>
        <v/>
      </c>
      <c r="AM167" s="1183" t="str">
        <f>IF(보수일람표!P165="","",보수일람표!P165)</f>
        <v/>
      </c>
      <c r="AN167" s="1184">
        <f>IF(보수일람표!S165="","",보수일람표!S165)</f>
        <v>0</v>
      </c>
      <c r="AO167" s="1185">
        <f>IF(보수일람표!R165="","",보수일람표!R165)</f>
        <v>0</v>
      </c>
      <c r="AP167" s="1118">
        <f>IF(보수일람표!S165="","",보수일람표!S165)</f>
        <v>0</v>
      </c>
      <c r="AQ167" s="1186">
        <f>IF(보수일람표!T165="","",보수일람표!T165)</f>
        <v>0</v>
      </c>
      <c r="AR167" s="1120">
        <f>IF(보수일람표!U165="","",보수일람표!U165)</f>
        <v>0</v>
      </c>
      <c r="AS167" s="1121">
        <f>IF(보수일람표!V165="","",보수일람표!V165)</f>
        <v>0</v>
      </c>
      <c r="AT167" s="1122">
        <f>IF(보수일람표!W165="","",보수일람표!W165)</f>
        <v>0</v>
      </c>
      <c r="AU167" s="1123">
        <f>IF(보수일람표!X165="","",보수일람표!X165)</f>
        <v>0</v>
      </c>
      <c r="AV167" s="1124">
        <f>IF(보수일람표!Y165="","",보수일람표!Y165)</f>
        <v>0</v>
      </c>
      <c r="AW167" s="1187">
        <f>IF(보수일람표!Z165="","",보수일람표!Z165)</f>
        <v>0</v>
      </c>
      <c r="AX167" s="1134">
        <f>IF(보수일람표!AA165="","",보수일람표!AA165)</f>
        <v>0</v>
      </c>
    </row>
    <row r="168" spans="38:50">
      <c r="AL168" s="1182" t="str">
        <f>IF(보수일람표!O166="","",보수일람표!O166)</f>
        <v/>
      </c>
      <c r="AM168" s="1183" t="str">
        <f>IF(보수일람표!P166="","",보수일람표!P166)</f>
        <v/>
      </c>
      <c r="AN168" s="1184">
        <f>IF(보수일람표!S166="","",보수일람표!S166)</f>
        <v>0</v>
      </c>
      <c r="AO168" s="1185">
        <f>IF(보수일람표!R166="","",보수일람표!R166)</f>
        <v>0</v>
      </c>
      <c r="AP168" s="1118">
        <f>IF(보수일람표!S166="","",보수일람표!S166)</f>
        <v>0</v>
      </c>
      <c r="AQ168" s="1186">
        <f>IF(보수일람표!T166="","",보수일람표!T166)</f>
        <v>0</v>
      </c>
      <c r="AR168" s="1120">
        <f>IF(보수일람표!U166="","",보수일람표!U166)</f>
        <v>0</v>
      </c>
      <c r="AS168" s="1121">
        <f>IF(보수일람표!V166="","",보수일람표!V166)</f>
        <v>0</v>
      </c>
      <c r="AT168" s="1122">
        <f>IF(보수일람표!W166="","",보수일람표!W166)</f>
        <v>0</v>
      </c>
      <c r="AU168" s="1123">
        <f>IF(보수일람표!X166="","",보수일람표!X166)</f>
        <v>0</v>
      </c>
      <c r="AV168" s="1124">
        <f>IF(보수일람표!Y166="","",보수일람표!Y166)</f>
        <v>0</v>
      </c>
      <c r="AW168" s="1187">
        <f>IF(보수일람표!Z166="","",보수일람표!Z166)</f>
        <v>0</v>
      </c>
      <c r="AX168" s="1134">
        <f>IF(보수일람표!AA166="","",보수일람표!AA166)</f>
        <v>0</v>
      </c>
    </row>
    <row r="169" spans="38:50">
      <c r="AL169" s="1182" t="str">
        <f>IF(보수일람표!O167="","",보수일람표!O167)</f>
        <v/>
      </c>
      <c r="AM169" s="1183" t="str">
        <f>IF(보수일람표!P167="","",보수일람표!P167)</f>
        <v/>
      </c>
      <c r="AN169" s="1184">
        <f>IF(보수일람표!S167="","",보수일람표!S167)</f>
        <v>0</v>
      </c>
      <c r="AO169" s="1185">
        <f>IF(보수일람표!R167="","",보수일람표!R167)</f>
        <v>0</v>
      </c>
      <c r="AP169" s="1118">
        <f>IF(보수일람표!S167="","",보수일람표!S167)</f>
        <v>0</v>
      </c>
      <c r="AQ169" s="1186">
        <f>IF(보수일람표!T167="","",보수일람표!T167)</f>
        <v>0</v>
      </c>
      <c r="AR169" s="1120">
        <f>IF(보수일람표!U167="","",보수일람표!U167)</f>
        <v>0</v>
      </c>
      <c r="AS169" s="1121">
        <f>IF(보수일람표!V167="","",보수일람표!V167)</f>
        <v>0</v>
      </c>
      <c r="AT169" s="1122">
        <f>IF(보수일람표!W167="","",보수일람표!W167)</f>
        <v>0</v>
      </c>
      <c r="AU169" s="1123">
        <f>IF(보수일람표!X167="","",보수일람표!X167)</f>
        <v>0</v>
      </c>
      <c r="AV169" s="1124">
        <f>IF(보수일람표!Y167="","",보수일람표!Y167)</f>
        <v>0</v>
      </c>
      <c r="AW169" s="1187">
        <f>IF(보수일람표!Z167="","",보수일람표!Z167)</f>
        <v>0</v>
      </c>
      <c r="AX169" s="1134">
        <f>IF(보수일람표!AA167="","",보수일람표!AA167)</f>
        <v>0</v>
      </c>
    </row>
    <row r="170" spans="38:50">
      <c r="AL170" s="1182" t="str">
        <f>IF(보수일람표!O168="","",보수일람표!O168)</f>
        <v/>
      </c>
      <c r="AM170" s="1183" t="str">
        <f>IF(보수일람표!P168="","",보수일람표!P168)</f>
        <v/>
      </c>
      <c r="AN170" s="1184">
        <f>IF(보수일람표!S168="","",보수일람표!S168)</f>
        <v>0</v>
      </c>
      <c r="AO170" s="1185">
        <f>IF(보수일람표!R168="","",보수일람표!R168)</f>
        <v>0</v>
      </c>
      <c r="AP170" s="1118">
        <f>IF(보수일람표!S168="","",보수일람표!S168)</f>
        <v>0</v>
      </c>
      <c r="AQ170" s="1186">
        <f>IF(보수일람표!T168="","",보수일람표!T168)</f>
        <v>0</v>
      </c>
      <c r="AR170" s="1120">
        <f>IF(보수일람표!U168="","",보수일람표!U168)</f>
        <v>0</v>
      </c>
      <c r="AS170" s="1121">
        <f>IF(보수일람표!V168="","",보수일람표!V168)</f>
        <v>0</v>
      </c>
      <c r="AT170" s="1122">
        <f>IF(보수일람표!W168="","",보수일람표!W168)</f>
        <v>0</v>
      </c>
      <c r="AU170" s="1123">
        <f>IF(보수일람표!X168="","",보수일람표!X168)</f>
        <v>0</v>
      </c>
      <c r="AV170" s="1124">
        <f>IF(보수일람표!Y168="","",보수일람표!Y168)</f>
        <v>0</v>
      </c>
      <c r="AW170" s="1187">
        <f>IF(보수일람표!Z168="","",보수일람표!Z168)</f>
        <v>0</v>
      </c>
      <c r="AX170" s="1134">
        <f>IF(보수일람표!AA168="","",보수일람표!AA168)</f>
        <v>0</v>
      </c>
    </row>
    <row r="171" spans="38:50">
      <c r="AL171" s="1182" t="str">
        <f>IF(보수일람표!O169="","",보수일람표!O169)</f>
        <v/>
      </c>
      <c r="AM171" s="1183" t="str">
        <f>IF(보수일람표!P169="","",보수일람표!P169)</f>
        <v/>
      </c>
      <c r="AN171" s="1184">
        <f>IF(보수일람표!S169="","",보수일람표!S169)</f>
        <v>0</v>
      </c>
      <c r="AO171" s="1185">
        <f>IF(보수일람표!R169="","",보수일람표!R169)</f>
        <v>0</v>
      </c>
      <c r="AP171" s="1118">
        <f>IF(보수일람표!S169="","",보수일람표!S169)</f>
        <v>0</v>
      </c>
      <c r="AQ171" s="1186">
        <f>IF(보수일람표!T169="","",보수일람표!T169)</f>
        <v>0</v>
      </c>
      <c r="AR171" s="1120">
        <f>IF(보수일람표!U169="","",보수일람표!U169)</f>
        <v>0</v>
      </c>
      <c r="AS171" s="1121">
        <f>IF(보수일람표!V169="","",보수일람표!V169)</f>
        <v>0</v>
      </c>
      <c r="AT171" s="1122">
        <f>IF(보수일람표!W169="","",보수일람표!W169)</f>
        <v>0</v>
      </c>
      <c r="AU171" s="1123">
        <f>IF(보수일람표!X169="","",보수일람표!X169)</f>
        <v>0</v>
      </c>
      <c r="AV171" s="1124">
        <f>IF(보수일람표!Y169="","",보수일람표!Y169)</f>
        <v>0</v>
      </c>
      <c r="AW171" s="1187">
        <f>IF(보수일람표!Z169="","",보수일람표!Z169)</f>
        <v>0</v>
      </c>
      <c r="AX171" s="1134">
        <f>IF(보수일람표!AA169="","",보수일람표!AA169)</f>
        <v>0</v>
      </c>
    </row>
    <row r="172" spans="38:50">
      <c r="AL172" s="1182" t="str">
        <f>IF(보수일람표!O170="","",보수일람표!O170)</f>
        <v/>
      </c>
      <c r="AM172" s="1183" t="str">
        <f>IF(보수일람표!P170="","",보수일람표!P170)</f>
        <v/>
      </c>
      <c r="AN172" s="1184">
        <f>IF(보수일람표!S170="","",보수일람표!S170)</f>
        <v>0</v>
      </c>
      <c r="AO172" s="1185">
        <f>IF(보수일람표!R170="","",보수일람표!R170)</f>
        <v>0</v>
      </c>
      <c r="AP172" s="1118">
        <f>IF(보수일람표!S170="","",보수일람표!S170)</f>
        <v>0</v>
      </c>
      <c r="AQ172" s="1186">
        <f>IF(보수일람표!T170="","",보수일람표!T170)</f>
        <v>0</v>
      </c>
      <c r="AR172" s="1120">
        <f>IF(보수일람표!U170="","",보수일람표!U170)</f>
        <v>0</v>
      </c>
      <c r="AS172" s="1121">
        <f>IF(보수일람표!V170="","",보수일람표!V170)</f>
        <v>0</v>
      </c>
      <c r="AT172" s="1122">
        <f>IF(보수일람표!W170="","",보수일람표!W170)</f>
        <v>0</v>
      </c>
      <c r="AU172" s="1123">
        <f>IF(보수일람표!X170="","",보수일람표!X170)</f>
        <v>0</v>
      </c>
      <c r="AV172" s="1124">
        <f>IF(보수일람표!Y170="","",보수일람표!Y170)</f>
        <v>0</v>
      </c>
      <c r="AW172" s="1187">
        <f>IF(보수일람표!Z170="","",보수일람표!Z170)</f>
        <v>0</v>
      </c>
      <c r="AX172" s="1134">
        <f>IF(보수일람표!AA170="","",보수일람표!AA170)</f>
        <v>0</v>
      </c>
    </row>
    <row r="173" spans="38:50">
      <c r="AL173" s="1182" t="str">
        <f>IF(보수일람표!O171="","",보수일람표!O171)</f>
        <v/>
      </c>
      <c r="AM173" s="1183" t="str">
        <f>IF(보수일람표!P171="","",보수일람표!P171)</f>
        <v/>
      </c>
      <c r="AN173" s="1184">
        <f>IF(보수일람표!S171="","",보수일람표!S171)</f>
        <v>0</v>
      </c>
      <c r="AO173" s="1185">
        <f>IF(보수일람표!R171="","",보수일람표!R171)</f>
        <v>0</v>
      </c>
      <c r="AP173" s="1118">
        <f>IF(보수일람표!S171="","",보수일람표!S171)</f>
        <v>0</v>
      </c>
      <c r="AQ173" s="1186">
        <f>IF(보수일람표!T171="","",보수일람표!T171)</f>
        <v>0</v>
      </c>
      <c r="AR173" s="1120">
        <f>IF(보수일람표!U171="","",보수일람표!U171)</f>
        <v>0</v>
      </c>
      <c r="AS173" s="1121">
        <f>IF(보수일람표!V171="","",보수일람표!V171)</f>
        <v>0</v>
      </c>
      <c r="AT173" s="1122">
        <f>IF(보수일람표!W171="","",보수일람표!W171)</f>
        <v>0</v>
      </c>
      <c r="AU173" s="1123">
        <f>IF(보수일람표!X171="","",보수일람표!X171)</f>
        <v>0</v>
      </c>
      <c r="AV173" s="1124">
        <f>IF(보수일람표!Y171="","",보수일람표!Y171)</f>
        <v>0</v>
      </c>
      <c r="AW173" s="1187">
        <f>IF(보수일람표!Z171="","",보수일람표!Z171)</f>
        <v>0</v>
      </c>
      <c r="AX173" s="1134">
        <f>IF(보수일람표!AA171="","",보수일람표!AA171)</f>
        <v>0</v>
      </c>
    </row>
    <row r="174" spans="38:50">
      <c r="AL174" s="1182" t="str">
        <f>IF(보수일람표!O172="","",보수일람표!O172)</f>
        <v/>
      </c>
      <c r="AM174" s="1183" t="str">
        <f>IF(보수일람표!P172="","",보수일람표!P172)</f>
        <v/>
      </c>
      <c r="AN174" s="1184">
        <f>IF(보수일람표!S172="","",보수일람표!S172)</f>
        <v>0</v>
      </c>
      <c r="AO174" s="1185">
        <f>IF(보수일람표!R172="","",보수일람표!R172)</f>
        <v>0</v>
      </c>
      <c r="AP174" s="1118">
        <f>IF(보수일람표!S172="","",보수일람표!S172)</f>
        <v>0</v>
      </c>
      <c r="AQ174" s="1186">
        <f>IF(보수일람표!T172="","",보수일람표!T172)</f>
        <v>0</v>
      </c>
      <c r="AR174" s="1120">
        <f>IF(보수일람표!U172="","",보수일람표!U172)</f>
        <v>0</v>
      </c>
      <c r="AS174" s="1121">
        <f>IF(보수일람표!V172="","",보수일람표!V172)</f>
        <v>0</v>
      </c>
      <c r="AT174" s="1122">
        <f>IF(보수일람표!W172="","",보수일람표!W172)</f>
        <v>0</v>
      </c>
      <c r="AU174" s="1123">
        <f>IF(보수일람표!X172="","",보수일람표!X172)</f>
        <v>0</v>
      </c>
      <c r="AV174" s="1124">
        <f>IF(보수일람표!Y172="","",보수일람표!Y172)</f>
        <v>0</v>
      </c>
      <c r="AW174" s="1187">
        <f>IF(보수일람표!Z172="","",보수일람표!Z172)</f>
        <v>0</v>
      </c>
      <c r="AX174" s="1134">
        <f>IF(보수일람표!AA172="","",보수일람표!AA172)</f>
        <v>0</v>
      </c>
    </row>
    <row r="175" spans="38:50">
      <c r="AL175" s="1182" t="str">
        <f>IF(보수일람표!O173="","",보수일람표!O173)</f>
        <v/>
      </c>
      <c r="AM175" s="1183" t="str">
        <f>IF(보수일람표!P173="","",보수일람표!P173)</f>
        <v/>
      </c>
      <c r="AN175" s="1184">
        <f>IF(보수일람표!S173="","",보수일람표!S173)</f>
        <v>0</v>
      </c>
      <c r="AO175" s="1185">
        <f>IF(보수일람표!R173="","",보수일람표!R173)</f>
        <v>0</v>
      </c>
      <c r="AP175" s="1118">
        <f>IF(보수일람표!S173="","",보수일람표!S173)</f>
        <v>0</v>
      </c>
      <c r="AQ175" s="1186">
        <f>IF(보수일람표!T173="","",보수일람표!T173)</f>
        <v>0</v>
      </c>
      <c r="AR175" s="1120">
        <f>IF(보수일람표!U173="","",보수일람표!U173)</f>
        <v>0</v>
      </c>
      <c r="AS175" s="1121">
        <f>IF(보수일람표!V173="","",보수일람표!V173)</f>
        <v>0</v>
      </c>
      <c r="AT175" s="1122">
        <f>IF(보수일람표!W173="","",보수일람표!W173)</f>
        <v>0</v>
      </c>
      <c r="AU175" s="1123">
        <f>IF(보수일람표!X173="","",보수일람표!X173)</f>
        <v>0</v>
      </c>
      <c r="AV175" s="1124">
        <f>IF(보수일람표!Y173="","",보수일람표!Y173)</f>
        <v>0</v>
      </c>
      <c r="AW175" s="1187">
        <f>IF(보수일람표!Z173="","",보수일람표!Z173)</f>
        <v>0</v>
      </c>
      <c r="AX175" s="1134">
        <f>IF(보수일람표!AA173="","",보수일람표!AA173)</f>
        <v>0</v>
      </c>
    </row>
    <row r="176" spans="38:50">
      <c r="AL176" s="1182" t="str">
        <f>IF(보수일람표!O174="","",보수일람표!O174)</f>
        <v/>
      </c>
      <c r="AM176" s="1183" t="str">
        <f>IF(보수일람표!P174="","",보수일람표!P174)</f>
        <v/>
      </c>
      <c r="AN176" s="1184">
        <f>IF(보수일람표!S174="","",보수일람표!S174)</f>
        <v>0</v>
      </c>
      <c r="AO176" s="1185">
        <f>IF(보수일람표!R174="","",보수일람표!R174)</f>
        <v>0</v>
      </c>
      <c r="AP176" s="1118">
        <f>IF(보수일람표!S174="","",보수일람표!S174)</f>
        <v>0</v>
      </c>
      <c r="AQ176" s="1186">
        <f>IF(보수일람표!T174="","",보수일람표!T174)</f>
        <v>0</v>
      </c>
      <c r="AR176" s="1120">
        <f>IF(보수일람표!U174="","",보수일람표!U174)</f>
        <v>0</v>
      </c>
      <c r="AS176" s="1121">
        <f>IF(보수일람표!V174="","",보수일람표!V174)</f>
        <v>0</v>
      </c>
      <c r="AT176" s="1122">
        <f>IF(보수일람표!W174="","",보수일람표!W174)</f>
        <v>0</v>
      </c>
      <c r="AU176" s="1123">
        <f>IF(보수일람표!X174="","",보수일람표!X174)</f>
        <v>0</v>
      </c>
      <c r="AV176" s="1124">
        <f>IF(보수일람표!Y174="","",보수일람표!Y174)</f>
        <v>0</v>
      </c>
      <c r="AW176" s="1187">
        <f>IF(보수일람표!Z174="","",보수일람표!Z174)</f>
        <v>0</v>
      </c>
      <c r="AX176" s="1134">
        <f>IF(보수일람표!AA174="","",보수일람표!AA174)</f>
        <v>0</v>
      </c>
    </row>
    <row r="177" spans="38:50">
      <c r="AL177" s="1182" t="str">
        <f>IF(보수일람표!O175="","",보수일람표!O175)</f>
        <v/>
      </c>
      <c r="AM177" s="1183" t="str">
        <f>IF(보수일람표!P175="","",보수일람표!P175)</f>
        <v/>
      </c>
      <c r="AN177" s="1184">
        <f>IF(보수일람표!S175="","",보수일람표!S175)</f>
        <v>0</v>
      </c>
      <c r="AO177" s="1185">
        <f>IF(보수일람표!R175="","",보수일람표!R175)</f>
        <v>0</v>
      </c>
      <c r="AP177" s="1118">
        <f>IF(보수일람표!S175="","",보수일람표!S175)</f>
        <v>0</v>
      </c>
      <c r="AQ177" s="1186">
        <f>IF(보수일람표!T175="","",보수일람표!T175)</f>
        <v>0</v>
      </c>
      <c r="AR177" s="1120">
        <f>IF(보수일람표!U175="","",보수일람표!U175)</f>
        <v>0</v>
      </c>
      <c r="AS177" s="1121">
        <f>IF(보수일람표!V175="","",보수일람표!V175)</f>
        <v>0</v>
      </c>
      <c r="AT177" s="1122">
        <f>IF(보수일람표!W175="","",보수일람표!W175)</f>
        <v>0</v>
      </c>
      <c r="AU177" s="1123">
        <f>IF(보수일람표!X175="","",보수일람표!X175)</f>
        <v>0</v>
      </c>
      <c r="AV177" s="1124">
        <f>IF(보수일람표!Y175="","",보수일람표!Y175)</f>
        <v>0</v>
      </c>
      <c r="AW177" s="1187">
        <f>IF(보수일람표!Z175="","",보수일람표!Z175)</f>
        <v>0</v>
      </c>
      <c r="AX177" s="1134">
        <f>IF(보수일람표!AA175="","",보수일람표!AA175)</f>
        <v>0</v>
      </c>
    </row>
    <row r="178" spans="38:50">
      <c r="AL178" s="1182" t="str">
        <f>IF(보수일람표!O176="","",보수일람표!O176)</f>
        <v/>
      </c>
      <c r="AM178" s="1183" t="str">
        <f>IF(보수일람표!P176="","",보수일람표!P176)</f>
        <v/>
      </c>
      <c r="AN178" s="1184">
        <f>IF(보수일람표!S176="","",보수일람표!S176)</f>
        <v>0</v>
      </c>
      <c r="AO178" s="1185">
        <f>IF(보수일람표!R176="","",보수일람표!R176)</f>
        <v>0</v>
      </c>
      <c r="AP178" s="1118">
        <f>IF(보수일람표!S176="","",보수일람표!S176)</f>
        <v>0</v>
      </c>
      <c r="AQ178" s="1186">
        <f>IF(보수일람표!T176="","",보수일람표!T176)</f>
        <v>0</v>
      </c>
      <c r="AR178" s="1120">
        <f>IF(보수일람표!U176="","",보수일람표!U176)</f>
        <v>0</v>
      </c>
      <c r="AS178" s="1121">
        <f>IF(보수일람표!V176="","",보수일람표!V176)</f>
        <v>0</v>
      </c>
      <c r="AT178" s="1122">
        <f>IF(보수일람표!W176="","",보수일람표!W176)</f>
        <v>0</v>
      </c>
      <c r="AU178" s="1123">
        <f>IF(보수일람표!X176="","",보수일람표!X176)</f>
        <v>0</v>
      </c>
      <c r="AV178" s="1124">
        <f>IF(보수일람표!Y176="","",보수일람표!Y176)</f>
        <v>0</v>
      </c>
      <c r="AW178" s="1187">
        <f>IF(보수일람표!Z176="","",보수일람표!Z176)</f>
        <v>0</v>
      </c>
      <c r="AX178" s="1134">
        <f>IF(보수일람표!AA176="","",보수일람표!AA176)</f>
        <v>0</v>
      </c>
    </row>
    <row r="179" spans="38:50">
      <c r="AL179" s="1182" t="str">
        <f>IF(보수일람표!O177="","",보수일람표!O177)</f>
        <v/>
      </c>
      <c r="AM179" s="1183" t="str">
        <f>IF(보수일람표!P177="","",보수일람표!P177)</f>
        <v/>
      </c>
      <c r="AN179" s="1184">
        <f>IF(보수일람표!S177="","",보수일람표!S177)</f>
        <v>0</v>
      </c>
      <c r="AO179" s="1185">
        <f>IF(보수일람표!R177="","",보수일람표!R177)</f>
        <v>0</v>
      </c>
      <c r="AP179" s="1118">
        <f>IF(보수일람표!S177="","",보수일람표!S177)</f>
        <v>0</v>
      </c>
      <c r="AQ179" s="1186">
        <f>IF(보수일람표!T177="","",보수일람표!T177)</f>
        <v>0</v>
      </c>
      <c r="AR179" s="1120">
        <f>IF(보수일람표!U177="","",보수일람표!U177)</f>
        <v>0</v>
      </c>
      <c r="AS179" s="1121">
        <f>IF(보수일람표!V177="","",보수일람표!V177)</f>
        <v>0</v>
      </c>
      <c r="AT179" s="1122">
        <f>IF(보수일람표!W177="","",보수일람표!W177)</f>
        <v>0</v>
      </c>
      <c r="AU179" s="1123">
        <f>IF(보수일람표!X177="","",보수일람표!X177)</f>
        <v>0</v>
      </c>
      <c r="AV179" s="1124">
        <f>IF(보수일람표!Y177="","",보수일람표!Y177)</f>
        <v>0</v>
      </c>
      <c r="AW179" s="1187">
        <f>IF(보수일람표!Z177="","",보수일람표!Z177)</f>
        <v>0</v>
      </c>
      <c r="AX179" s="1134">
        <f>IF(보수일람표!AA177="","",보수일람표!AA177)</f>
        <v>0</v>
      </c>
    </row>
    <row r="180" spans="38:50">
      <c r="AL180" s="1182" t="str">
        <f>IF(보수일람표!O178="","",보수일람표!O178)</f>
        <v/>
      </c>
      <c r="AM180" s="1183" t="str">
        <f>IF(보수일람표!P178="","",보수일람표!P178)</f>
        <v/>
      </c>
      <c r="AN180" s="1184">
        <f>IF(보수일람표!S178="","",보수일람표!S178)</f>
        <v>0</v>
      </c>
      <c r="AO180" s="1185">
        <f>IF(보수일람표!R178="","",보수일람표!R178)</f>
        <v>0</v>
      </c>
      <c r="AP180" s="1118">
        <f>IF(보수일람표!S178="","",보수일람표!S178)</f>
        <v>0</v>
      </c>
      <c r="AQ180" s="1186">
        <f>IF(보수일람표!T178="","",보수일람표!T178)</f>
        <v>0</v>
      </c>
      <c r="AR180" s="1120">
        <f>IF(보수일람표!U178="","",보수일람표!U178)</f>
        <v>0</v>
      </c>
      <c r="AS180" s="1121">
        <f>IF(보수일람표!V178="","",보수일람표!V178)</f>
        <v>0</v>
      </c>
      <c r="AT180" s="1122">
        <f>IF(보수일람표!W178="","",보수일람표!W178)</f>
        <v>0</v>
      </c>
      <c r="AU180" s="1123">
        <f>IF(보수일람표!X178="","",보수일람표!X178)</f>
        <v>0</v>
      </c>
      <c r="AV180" s="1124">
        <f>IF(보수일람표!Y178="","",보수일람표!Y178)</f>
        <v>0</v>
      </c>
      <c r="AW180" s="1187">
        <f>IF(보수일람표!Z178="","",보수일람표!Z178)</f>
        <v>0</v>
      </c>
      <c r="AX180" s="1134">
        <f>IF(보수일람표!AA178="","",보수일람표!AA178)</f>
        <v>0</v>
      </c>
    </row>
    <row r="181" spans="38:50">
      <c r="AL181" s="1182" t="str">
        <f>IF(보수일람표!O179="","",보수일람표!O179)</f>
        <v/>
      </c>
      <c r="AM181" s="1183" t="str">
        <f>IF(보수일람표!P179="","",보수일람표!P179)</f>
        <v/>
      </c>
      <c r="AN181" s="1184">
        <f>IF(보수일람표!S179="","",보수일람표!S179)</f>
        <v>0</v>
      </c>
      <c r="AO181" s="1185">
        <f>IF(보수일람표!R179="","",보수일람표!R179)</f>
        <v>0</v>
      </c>
      <c r="AP181" s="1118">
        <f>IF(보수일람표!S179="","",보수일람표!S179)</f>
        <v>0</v>
      </c>
      <c r="AQ181" s="1186">
        <f>IF(보수일람표!T179="","",보수일람표!T179)</f>
        <v>0</v>
      </c>
      <c r="AR181" s="1120">
        <f>IF(보수일람표!U179="","",보수일람표!U179)</f>
        <v>0</v>
      </c>
      <c r="AS181" s="1121">
        <f>IF(보수일람표!V179="","",보수일람표!V179)</f>
        <v>0</v>
      </c>
      <c r="AT181" s="1122">
        <f>IF(보수일람표!W179="","",보수일람표!W179)</f>
        <v>0</v>
      </c>
      <c r="AU181" s="1123">
        <f>IF(보수일람표!X179="","",보수일람표!X179)</f>
        <v>0</v>
      </c>
      <c r="AV181" s="1124">
        <f>IF(보수일람표!Y179="","",보수일람표!Y179)</f>
        <v>0</v>
      </c>
      <c r="AW181" s="1187">
        <f>IF(보수일람표!Z179="","",보수일람표!Z179)</f>
        <v>0</v>
      </c>
      <c r="AX181" s="1134">
        <f>IF(보수일람표!AA179="","",보수일람표!AA179)</f>
        <v>0</v>
      </c>
    </row>
    <row r="182" spans="38:50">
      <c r="AL182" s="1182" t="str">
        <f>IF(보수일람표!O180="","",보수일람표!O180)</f>
        <v/>
      </c>
      <c r="AM182" s="1183" t="str">
        <f>IF(보수일람표!P180="","",보수일람표!P180)</f>
        <v/>
      </c>
      <c r="AN182" s="1184">
        <f>IF(보수일람표!S180="","",보수일람표!S180)</f>
        <v>0</v>
      </c>
      <c r="AO182" s="1185">
        <f>IF(보수일람표!R180="","",보수일람표!R180)</f>
        <v>0</v>
      </c>
      <c r="AP182" s="1118">
        <f>IF(보수일람표!S180="","",보수일람표!S180)</f>
        <v>0</v>
      </c>
      <c r="AQ182" s="1186">
        <f>IF(보수일람표!T180="","",보수일람표!T180)</f>
        <v>0</v>
      </c>
      <c r="AR182" s="1120">
        <f>IF(보수일람표!U180="","",보수일람표!U180)</f>
        <v>0</v>
      </c>
      <c r="AS182" s="1121">
        <f>IF(보수일람표!V180="","",보수일람표!V180)</f>
        <v>0</v>
      </c>
      <c r="AT182" s="1122">
        <f>IF(보수일람표!W180="","",보수일람표!W180)</f>
        <v>0</v>
      </c>
      <c r="AU182" s="1123">
        <f>IF(보수일람표!X180="","",보수일람표!X180)</f>
        <v>0</v>
      </c>
      <c r="AV182" s="1124">
        <f>IF(보수일람표!Y180="","",보수일람표!Y180)</f>
        <v>0</v>
      </c>
      <c r="AW182" s="1187">
        <f>IF(보수일람표!Z180="","",보수일람표!Z180)</f>
        <v>0</v>
      </c>
      <c r="AX182" s="1134">
        <f>IF(보수일람표!AA180="","",보수일람표!AA180)</f>
        <v>0</v>
      </c>
    </row>
    <row r="183" spans="38:50">
      <c r="AL183" s="1182" t="str">
        <f>IF(보수일람표!O181="","",보수일람표!O181)</f>
        <v/>
      </c>
      <c r="AM183" s="1183" t="str">
        <f>IF(보수일람표!P181="","",보수일람표!P181)</f>
        <v/>
      </c>
      <c r="AN183" s="1184">
        <f>IF(보수일람표!S181="","",보수일람표!S181)</f>
        <v>0</v>
      </c>
      <c r="AO183" s="1185">
        <f>IF(보수일람표!R181="","",보수일람표!R181)</f>
        <v>0</v>
      </c>
      <c r="AP183" s="1118">
        <f>IF(보수일람표!S181="","",보수일람표!S181)</f>
        <v>0</v>
      </c>
      <c r="AQ183" s="1186">
        <f>IF(보수일람표!T181="","",보수일람표!T181)</f>
        <v>0</v>
      </c>
      <c r="AR183" s="1120">
        <f>IF(보수일람표!U181="","",보수일람표!U181)</f>
        <v>0</v>
      </c>
      <c r="AS183" s="1121">
        <f>IF(보수일람표!V181="","",보수일람표!V181)</f>
        <v>0</v>
      </c>
      <c r="AT183" s="1122">
        <f>IF(보수일람표!W181="","",보수일람표!W181)</f>
        <v>0</v>
      </c>
      <c r="AU183" s="1123">
        <f>IF(보수일람표!X181="","",보수일람표!X181)</f>
        <v>0</v>
      </c>
      <c r="AV183" s="1124">
        <f>IF(보수일람표!Y181="","",보수일람표!Y181)</f>
        <v>0</v>
      </c>
      <c r="AW183" s="1187">
        <f>IF(보수일람표!Z181="","",보수일람표!Z181)</f>
        <v>0</v>
      </c>
      <c r="AX183" s="1134">
        <f>IF(보수일람표!AA181="","",보수일람표!AA181)</f>
        <v>0</v>
      </c>
    </row>
    <row r="184" spans="38:50">
      <c r="AL184" s="1182" t="str">
        <f>IF(보수일람표!O182="","",보수일람표!O182)</f>
        <v/>
      </c>
      <c r="AM184" s="1183" t="str">
        <f>IF(보수일람표!P182="","",보수일람표!P182)</f>
        <v/>
      </c>
      <c r="AN184" s="1184">
        <f>IF(보수일람표!S182="","",보수일람표!S182)</f>
        <v>0</v>
      </c>
      <c r="AO184" s="1185">
        <f>IF(보수일람표!R182="","",보수일람표!R182)</f>
        <v>0</v>
      </c>
      <c r="AP184" s="1118">
        <f>IF(보수일람표!S182="","",보수일람표!S182)</f>
        <v>0</v>
      </c>
      <c r="AQ184" s="1186">
        <f>IF(보수일람표!T182="","",보수일람표!T182)</f>
        <v>0</v>
      </c>
      <c r="AR184" s="1120">
        <f>IF(보수일람표!U182="","",보수일람표!U182)</f>
        <v>0</v>
      </c>
      <c r="AS184" s="1121">
        <f>IF(보수일람표!V182="","",보수일람표!V182)</f>
        <v>0</v>
      </c>
      <c r="AT184" s="1122">
        <f>IF(보수일람표!W182="","",보수일람표!W182)</f>
        <v>0</v>
      </c>
      <c r="AU184" s="1123">
        <f>IF(보수일람표!X182="","",보수일람표!X182)</f>
        <v>0</v>
      </c>
      <c r="AV184" s="1124">
        <f>IF(보수일람표!Y182="","",보수일람표!Y182)</f>
        <v>0</v>
      </c>
      <c r="AW184" s="1187">
        <f>IF(보수일람표!Z182="","",보수일람표!Z182)</f>
        <v>0</v>
      </c>
      <c r="AX184" s="1134">
        <f>IF(보수일람표!AA182="","",보수일람표!AA182)</f>
        <v>0</v>
      </c>
    </row>
    <row r="185" spans="38:50">
      <c r="AL185" s="1182" t="str">
        <f>IF(보수일람표!O183="","",보수일람표!O183)</f>
        <v/>
      </c>
      <c r="AM185" s="1183" t="str">
        <f>IF(보수일람표!P183="","",보수일람표!P183)</f>
        <v/>
      </c>
      <c r="AN185" s="1184">
        <f>IF(보수일람표!S183="","",보수일람표!S183)</f>
        <v>0</v>
      </c>
      <c r="AO185" s="1185">
        <f>IF(보수일람표!R183="","",보수일람표!R183)</f>
        <v>0</v>
      </c>
      <c r="AP185" s="1118">
        <f>IF(보수일람표!S183="","",보수일람표!S183)</f>
        <v>0</v>
      </c>
      <c r="AQ185" s="1186">
        <f>IF(보수일람표!T183="","",보수일람표!T183)</f>
        <v>0</v>
      </c>
      <c r="AR185" s="1120">
        <f>IF(보수일람표!U183="","",보수일람표!U183)</f>
        <v>0</v>
      </c>
      <c r="AS185" s="1121">
        <f>IF(보수일람표!V183="","",보수일람표!V183)</f>
        <v>0</v>
      </c>
      <c r="AT185" s="1122">
        <f>IF(보수일람표!W183="","",보수일람표!W183)</f>
        <v>0</v>
      </c>
      <c r="AU185" s="1123">
        <f>IF(보수일람표!X183="","",보수일람표!X183)</f>
        <v>0</v>
      </c>
      <c r="AV185" s="1124">
        <f>IF(보수일람표!Y183="","",보수일람표!Y183)</f>
        <v>0</v>
      </c>
      <c r="AW185" s="1187">
        <f>IF(보수일람표!Z183="","",보수일람표!Z183)</f>
        <v>0</v>
      </c>
      <c r="AX185" s="1134">
        <f>IF(보수일람표!AA183="","",보수일람표!AA183)</f>
        <v>0</v>
      </c>
    </row>
    <row r="186" spans="38:50">
      <c r="AL186" s="1182" t="str">
        <f>IF(보수일람표!O184="","",보수일람표!O184)</f>
        <v/>
      </c>
      <c r="AM186" s="1183" t="str">
        <f>IF(보수일람표!P184="","",보수일람표!P184)</f>
        <v/>
      </c>
      <c r="AN186" s="1184">
        <f>IF(보수일람표!S184="","",보수일람표!S184)</f>
        <v>0</v>
      </c>
      <c r="AO186" s="1185">
        <f>IF(보수일람표!R184="","",보수일람표!R184)</f>
        <v>0</v>
      </c>
      <c r="AP186" s="1118">
        <f>IF(보수일람표!S184="","",보수일람표!S184)</f>
        <v>0</v>
      </c>
      <c r="AQ186" s="1186">
        <f>IF(보수일람표!T184="","",보수일람표!T184)</f>
        <v>0</v>
      </c>
      <c r="AR186" s="1120">
        <f>IF(보수일람표!U184="","",보수일람표!U184)</f>
        <v>0</v>
      </c>
      <c r="AS186" s="1121">
        <f>IF(보수일람표!V184="","",보수일람표!V184)</f>
        <v>0</v>
      </c>
      <c r="AT186" s="1122">
        <f>IF(보수일람표!W184="","",보수일람표!W184)</f>
        <v>0</v>
      </c>
      <c r="AU186" s="1123">
        <f>IF(보수일람표!X184="","",보수일람표!X184)</f>
        <v>0</v>
      </c>
      <c r="AV186" s="1124">
        <f>IF(보수일람표!Y184="","",보수일람표!Y184)</f>
        <v>0</v>
      </c>
      <c r="AW186" s="1187">
        <f>IF(보수일람표!Z184="","",보수일람표!Z184)</f>
        <v>0</v>
      </c>
      <c r="AX186" s="1134">
        <f>IF(보수일람표!AA184="","",보수일람표!AA184)</f>
        <v>0</v>
      </c>
    </row>
    <row r="187" spans="38:50">
      <c r="AL187" s="1182" t="str">
        <f>IF(보수일람표!O185="","",보수일람표!O185)</f>
        <v/>
      </c>
      <c r="AM187" s="1183" t="str">
        <f>IF(보수일람표!P185="","",보수일람표!P185)</f>
        <v/>
      </c>
      <c r="AN187" s="1184">
        <f>IF(보수일람표!S185="","",보수일람표!S185)</f>
        <v>0</v>
      </c>
      <c r="AO187" s="1185">
        <f>IF(보수일람표!R185="","",보수일람표!R185)</f>
        <v>0</v>
      </c>
      <c r="AP187" s="1118">
        <f>IF(보수일람표!S185="","",보수일람표!S185)</f>
        <v>0</v>
      </c>
      <c r="AQ187" s="1186">
        <f>IF(보수일람표!T185="","",보수일람표!T185)</f>
        <v>0</v>
      </c>
      <c r="AR187" s="1120">
        <f>IF(보수일람표!U185="","",보수일람표!U185)</f>
        <v>0</v>
      </c>
      <c r="AS187" s="1121">
        <f>IF(보수일람표!V185="","",보수일람표!V185)</f>
        <v>0</v>
      </c>
      <c r="AT187" s="1122">
        <f>IF(보수일람표!W185="","",보수일람표!W185)</f>
        <v>0</v>
      </c>
      <c r="AU187" s="1123">
        <f>IF(보수일람표!X185="","",보수일람표!X185)</f>
        <v>0</v>
      </c>
      <c r="AV187" s="1124">
        <f>IF(보수일람표!Y185="","",보수일람표!Y185)</f>
        <v>0</v>
      </c>
      <c r="AW187" s="1187">
        <f>IF(보수일람표!Z185="","",보수일람표!Z185)</f>
        <v>0</v>
      </c>
      <c r="AX187" s="1134">
        <f>IF(보수일람표!AA185="","",보수일람표!AA185)</f>
        <v>0</v>
      </c>
    </row>
    <row r="188" spans="38:50">
      <c r="AL188" s="1182" t="str">
        <f>IF(보수일람표!O186="","",보수일람표!O186)</f>
        <v/>
      </c>
      <c r="AM188" s="1183" t="str">
        <f>IF(보수일람표!P186="","",보수일람표!P186)</f>
        <v/>
      </c>
      <c r="AN188" s="1184">
        <f>IF(보수일람표!S186="","",보수일람표!S186)</f>
        <v>0</v>
      </c>
      <c r="AO188" s="1185">
        <f>IF(보수일람표!R186="","",보수일람표!R186)</f>
        <v>0</v>
      </c>
      <c r="AP188" s="1118">
        <f>IF(보수일람표!S186="","",보수일람표!S186)</f>
        <v>0</v>
      </c>
      <c r="AQ188" s="1186">
        <f>IF(보수일람표!T186="","",보수일람표!T186)</f>
        <v>0</v>
      </c>
      <c r="AR188" s="1120">
        <f>IF(보수일람표!U186="","",보수일람표!U186)</f>
        <v>0</v>
      </c>
      <c r="AS188" s="1121">
        <f>IF(보수일람표!V186="","",보수일람표!V186)</f>
        <v>0</v>
      </c>
      <c r="AT188" s="1122">
        <f>IF(보수일람표!W186="","",보수일람표!W186)</f>
        <v>0</v>
      </c>
      <c r="AU188" s="1123">
        <f>IF(보수일람표!X186="","",보수일람표!X186)</f>
        <v>0</v>
      </c>
      <c r="AV188" s="1124">
        <f>IF(보수일람표!Y186="","",보수일람표!Y186)</f>
        <v>0</v>
      </c>
      <c r="AW188" s="1187">
        <f>IF(보수일람표!Z186="","",보수일람표!Z186)</f>
        <v>0</v>
      </c>
      <c r="AX188" s="1134">
        <f>IF(보수일람표!AA186="","",보수일람표!AA186)</f>
        <v>0</v>
      </c>
    </row>
    <row r="189" spans="38:50">
      <c r="AL189" s="1182" t="str">
        <f>IF(보수일람표!O187="","",보수일람표!O187)</f>
        <v/>
      </c>
      <c r="AM189" s="1183" t="str">
        <f>IF(보수일람표!P187="","",보수일람표!P187)</f>
        <v/>
      </c>
      <c r="AN189" s="1184">
        <f>IF(보수일람표!S187="","",보수일람표!S187)</f>
        <v>0</v>
      </c>
      <c r="AO189" s="1185">
        <f>IF(보수일람표!R187="","",보수일람표!R187)</f>
        <v>0</v>
      </c>
      <c r="AP189" s="1118">
        <f>IF(보수일람표!S187="","",보수일람표!S187)</f>
        <v>0</v>
      </c>
      <c r="AQ189" s="1186">
        <f>IF(보수일람표!T187="","",보수일람표!T187)</f>
        <v>0</v>
      </c>
      <c r="AR189" s="1120">
        <f>IF(보수일람표!U187="","",보수일람표!U187)</f>
        <v>0</v>
      </c>
      <c r="AS189" s="1121">
        <f>IF(보수일람표!V187="","",보수일람표!V187)</f>
        <v>0</v>
      </c>
      <c r="AT189" s="1122">
        <f>IF(보수일람표!W187="","",보수일람표!W187)</f>
        <v>0</v>
      </c>
      <c r="AU189" s="1123">
        <f>IF(보수일람표!X187="","",보수일람표!X187)</f>
        <v>0</v>
      </c>
      <c r="AV189" s="1124">
        <f>IF(보수일람표!Y187="","",보수일람표!Y187)</f>
        <v>0</v>
      </c>
      <c r="AW189" s="1187">
        <f>IF(보수일람표!Z187="","",보수일람표!Z187)</f>
        <v>0</v>
      </c>
      <c r="AX189" s="1134">
        <f>IF(보수일람표!AA187="","",보수일람표!AA187)</f>
        <v>0</v>
      </c>
    </row>
    <row r="190" spans="38:50">
      <c r="AL190" s="1182" t="str">
        <f>IF(보수일람표!O188="","",보수일람표!O188)</f>
        <v/>
      </c>
      <c r="AM190" s="1183" t="str">
        <f>IF(보수일람표!P188="","",보수일람표!P188)</f>
        <v/>
      </c>
      <c r="AN190" s="1184">
        <f>IF(보수일람표!S188="","",보수일람표!S188)</f>
        <v>0</v>
      </c>
      <c r="AO190" s="1185">
        <f>IF(보수일람표!R188="","",보수일람표!R188)</f>
        <v>0</v>
      </c>
      <c r="AP190" s="1118">
        <f>IF(보수일람표!S188="","",보수일람표!S188)</f>
        <v>0</v>
      </c>
      <c r="AQ190" s="1186">
        <f>IF(보수일람표!T188="","",보수일람표!T188)</f>
        <v>0</v>
      </c>
      <c r="AR190" s="1120">
        <f>IF(보수일람표!U188="","",보수일람표!U188)</f>
        <v>0</v>
      </c>
      <c r="AS190" s="1121">
        <f>IF(보수일람표!V188="","",보수일람표!V188)</f>
        <v>0</v>
      </c>
      <c r="AT190" s="1122">
        <f>IF(보수일람표!W188="","",보수일람표!W188)</f>
        <v>0</v>
      </c>
      <c r="AU190" s="1123">
        <f>IF(보수일람표!X188="","",보수일람표!X188)</f>
        <v>0</v>
      </c>
      <c r="AV190" s="1124">
        <f>IF(보수일람표!Y188="","",보수일람표!Y188)</f>
        <v>0</v>
      </c>
      <c r="AW190" s="1187">
        <f>IF(보수일람표!Z188="","",보수일람표!Z188)</f>
        <v>0</v>
      </c>
      <c r="AX190" s="1134">
        <f>IF(보수일람표!AA188="","",보수일람표!AA188)</f>
        <v>0</v>
      </c>
    </row>
    <row r="191" spans="38:50">
      <c r="AL191" s="1182" t="str">
        <f>IF(보수일람표!O189="","",보수일람표!O189)</f>
        <v/>
      </c>
      <c r="AM191" s="1183" t="str">
        <f>IF(보수일람표!P189="","",보수일람표!P189)</f>
        <v/>
      </c>
      <c r="AN191" s="1184">
        <f>IF(보수일람표!S189="","",보수일람표!S189)</f>
        <v>0</v>
      </c>
      <c r="AO191" s="1185">
        <f>IF(보수일람표!R189="","",보수일람표!R189)</f>
        <v>0</v>
      </c>
      <c r="AP191" s="1118">
        <f>IF(보수일람표!S189="","",보수일람표!S189)</f>
        <v>0</v>
      </c>
      <c r="AQ191" s="1186">
        <f>IF(보수일람표!T189="","",보수일람표!T189)</f>
        <v>0</v>
      </c>
      <c r="AR191" s="1120">
        <f>IF(보수일람표!U189="","",보수일람표!U189)</f>
        <v>0</v>
      </c>
      <c r="AS191" s="1121">
        <f>IF(보수일람표!V189="","",보수일람표!V189)</f>
        <v>0</v>
      </c>
      <c r="AT191" s="1122">
        <f>IF(보수일람표!W189="","",보수일람표!W189)</f>
        <v>0</v>
      </c>
      <c r="AU191" s="1123">
        <f>IF(보수일람표!X189="","",보수일람표!X189)</f>
        <v>0</v>
      </c>
      <c r="AV191" s="1124">
        <f>IF(보수일람표!Y189="","",보수일람표!Y189)</f>
        <v>0</v>
      </c>
      <c r="AW191" s="1187">
        <f>IF(보수일람표!Z189="","",보수일람표!Z189)</f>
        <v>0</v>
      </c>
      <c r="AX191" s="1134">
        <f>IF(보수일람표!AA189="","",보수일람표!AA189)</f>
        <v>0</v>
      </c>
    </row>
    <row r="192" spans="38:50">
      <c r="AL192" s="1182" t="str">
        <f>IF(보수일람표!O190="","",보수일람표!O190)</f>
        <v/>
      </c>
      <c r="AM192" s="1183" t="str">
        <f>IF(보수일람표!P190="","",보수일람표!P190)</f>
        <v/>
      </c>
      <c r="AN192" s="1184">
        <f>IF(보수일람표!S190="","",보수일람표!S190)</f>
        <v>0</v>
      </c>
      <c r="AO192" s="1185">
        <f>IF(보수일람표!R190="","",보수일람표!R190)</f>
        <v>0</v>
      </c>
      <c r="AP192" s="1118">
        <f>IF(보수일람표!S190="","",보수일람표!S190)</f>
        <v>0</v>
      </c>
      <c r="AQ192" s="1186">
        <f>IF(보수일람표!T190="","",보수일람표!T190)</f>
        <v>0</v>
      </c>
      <c r="AR192" s="1120">
        <f>IF(보수일람표!U190="","",보수일람표!U190)</f>
        <v>0</v>
      </c>
      <c r="AS192" s="1121">
        <f>IF(보수일람표!V190="","",보수일람표!V190)</f>
        <v>0</v>
      </c>
      <c r="AT192" s="1122">
        <f>IF(보수일람표!W190="","",보수일람표!W190)</f>
        <v>0</v>
      </c>
      <c r="AU192" s="1123">
        <f>IF(보수일람표!X190="","",보수일람표!X190)</f>
        <v>0</v>
      </c>
      <c r="AV192" s="1124">
        <f>IF(보수일람표!Y190="","",보수일람표!Y190)</f>
        <v>0</v>
      </c>
      <c r="AW192" s="1187">
        <f>IF(보수일람표!Z190="","",보수일람표!Z190)</f>
        <v>0</v>
      </c>
      <c r="AX192" s="1134">
        <f>IF(보수일람표!AA190="","",보수일람표!AA190)</f>
        <v>0</v>
      </c>
    </row>
    <row r="193" spans="38:50">
      <c r="AL193" s="1182" t="str">
        <f>IF(보수일람표!O191="","",보수일람표!O191)</f>
        <v/>
      </c>
      <c r="AM193" s="1183" t="str">
        <f>IF(보수일람표!P191="","",보수일람표!P191)</f>
        <v/>
      </c>
      <c r="AN193" s="1184">
        <f>IF(보수일람표!S191="","",보수일람표!S191)</f>
        <v>0</v>
      </c>
      <c r="AO193" s="1185">
        <f>IF(보수일람표!R191="","",보수일람표!R191)</f>
        <v>0</v>
      </c>
      <c r="AP193" s="1118">
        <f>IF(보수일람표!S191="","",보수일람표!S191)</f>
        <v>0</v>
      </c>
      <c r="AQ193" s="1186">
        <f>IF(보수일람표!T191="","",보수일람표!T191)</f>
        <v>0</v>
      </c>
      <c r="AR193" s="1120">
        <f>IF(보수일람표!U191="","",보수일람표!U191)</f>
        <v>0</v>
      </c>
      <c r="AS193" s="1121">
        <f>IF(보수일람표!V191="","",보수일람표!V191)</f>
        <v>0</v>
      </c>
      <c r="AT193" s="1122">
        <f>IF(보수일람표!W191="","",보수일람표!W191)</f>
        <v>0</v>
      </c>
      <c r="AU193" s="1123">
        <f>IF(보수일람표!X191="","",보수일람표!X191)</f>
        <v>0</v>
      </c>
      <c r="AV193" s="1124">
        <f>IF(보수일람표!Y191="","",보수일람표!Y191)</f>
        <v>0</v>
      </c>
      <c r="AW193" s="1187">
        <f>IF(보수일람표!Z191="","",보수일람표!Z191)</f>
        <v>0</v>
      </c>
      <c r="AX193" s="1134">
        <f>IF(보수일람표!AA191="","",보수일람표!AA191)</f>
        <v>0</v>
      </c>
    </row>
    <row r="194" spans="38:50">
      <c r="AL194" s="1182" t="str">
        <f>IF(보수일람표!O192="","",보수일람표!O192)</f>
        <v/>
      </c>
      <c r="AM194" s="1183" t="str">
        <f>IF(보수일람표!P192="","",보수일람표!P192)</f>
        <v/>
      </c>
      <c r="AN194" s="1184">
        <f>IF(보수일람표!S192="","",보수일람표!S192)</f>
        <v>0</v>
      </c>
      <c r="AO194" s="1185">
        <f>IF(보수일람표!R192="","",보수일람표!R192)</f>
        <v>0</v>
      </c>
      <c r="AP194" s="1118">
        <f>IF(보수일람표!S192="","",보수일람표!S192)</f>
        <v>0</v>
      </c>
      <c r="AQ194" s="1186">
        <f>IF(보수일람표!T192="","",보수일람표!T192)</f>
        <v>0</v>
      </c>
      <c r="AR194" s="1120">
        <f>IF(보수일람표!U192="","",보수일람표!U192)</f>
        <v>0</v>
      </c>
      <c r="AS194" s="1121">
        <f>IF(보수일람표!V192="","",보수일람표!V192)</f>
        <v>0</v>
      </c>
      <c r="AT194" s="1122">
        <f>IF(보수일람표!W192="","",보수일람표!W192)</f>
        <v>0</v>
      </c>
      <c r="AU194" s="1123">
        <f>IF(보수일람표!X192="","",보수일람표!X192)</f>
        <v>0</v>
      </c>
      <c r="AV194" s="1124">
        <f>IF(보수일람표!Y192="","",보수일람표!Y192)</f>
        <v>0</v>
      </c>
      <c r="AW194" s="1187">
        <f>IF(보수일람표!Z192="","",보수일람표!Z192)</f>
        <v>0</v>
      </c>
      <c r="AX194" s="1134">
        <f>IF(보수일람표!AA192="","",보수일람표!AA192)</f>
        <v>0</v>
      </c>
    </row>
    <row r="195" spans="38:50">
      <c r="AL195" s="1182" t="str">
        <f>IF(보수일람표!O193="","",보수일람표!O193)</f>
        <v/>
      </c>
      <c r="AM195" s="1183" t="str">
        <f>IF(보수일람표!P193="","",보수일람표!P193)</f>
        <v/>
      </c>
      <c r="AN195" s="1184">
        <f>IF(보수일람표!S193="","",보수일람표!S193)</f>
        <v>0</v>
      </c>
      <c r="AO195" s="1185">
        <f>IF(보수일람표!R193="","",보수일람표!R193)</f>
        <v>0</v>
      </c>
      <c r="AP195" s="1118">
        <f>IF(보수일람표!S193="","",보수일람표!S193)</f>
        <v>0</v>
      </c>
      <c r="AQ195" s="1186">
        <f>IF(보수일람표!T193="","",보수일람표!T193)</f>
        <v>0</v>
      </c>
      <c r="AR195" s="1120">
        <f>IF(보수일람표!U193="","",보수일람표!U193)</f>
        <v>0</v>
      </c>
      <c r="AS195" s="1121">
        <f>IF(보수일람표!V193="","",보수일람표!V193)</f>
        <v>0</v>
      </c>
      <c r="AT195" s="1122">
        <f>IF(보수일람표!W193="","",보수일람표!W193)</f>
        <v>0</v>
      </c>
      <c r="AU195" s="1123">
        <f>IF(보수일람표!X193="","",보수일람표!X193)</f>
        <v>0</v>
      </c>
      <c r="AV195" s="1124">
        <f>IF(보수일람표!Y193="","",보수일람표!Y193)</f>
        <v>0</v>
      </c>
      <c r="AW195" s="1187">
        <f>IF(보수일람표!Z193="","",보수일람표!Z193)</f>
        <v>0</v>
      </c>
      <c r="AX195" s="1134">
        <f>IF(보수일람표!AA193="","",보수일람표!AA193)</f>
        <v>0</v>
      </c>
    </row>
    <row r="196" spans="38:50">
      <c r="AL196" s="1182" t="str">
        <f>IF(보수일람표!O194="","",보수일람표!O194)</f>
        <v/>
      </c>
      <c r="AM196" s="1183" t="str">
        <f>IF(보수일람표!P194="","",보수일람표!P194)</f>
        <v/>
      </c>
      <c r="AN196" s="1184">
        <f>IF(보수일람표!S194="","",보수일람표!S194)</f>
        <v>0</v>
      </c>
      <c r="AO196" s="1185">
        <f>IF(보수일람표!R194="","",보수일람표!R194)</f>
        <v>0</v>
      </c>
      <c r="AP196" s="1118">
        <f>IF(보수일람표!S194="","",보수일람표!S194)</f>
        <v>0</v>
      </c>
      <c r="AQ196" s="1186">
        <f>IF(보수일람표!T194="","",보수일람표!T194)</f>
        <v>0</v>
      </c>
      <c r="AR196" s="1120">
        <f>IF(보수일람표!U194="","",보수일람표!U194)</f>
        <v>0</v>
      </c>
      <c r="AS196" s="1121">
        <f>IF(보수일람표!V194="","",보수일람표!V194)</f>
        <v>0</v>
      </c>
      <c r="AT196" s="1122">
        <f>IF(보수일람표!W194="","",보수일람표!W194)</f>
        <v>0</v>
      </c>
      <c r="AU196" s="1123">
        <f>IF(보수일람표!X194="","",보수일람표!X194)</f>
        <v>0</v>
      </c>
      <c r="AV196" s="1124">
        <f>IF(보수일람표!Y194="","",보수일람표!Y194)</f>
        <v>0</v>
      </c>
      <c r="AW196" s="1187">
        <f>IF(보수일람표!Z194="","",보수일람표!Z194)</f>
        <v>0</v>
      </c>
      <c r="AX196" s="1134">
        <f>IF(보수일람표!AA194="","",보수일람표!AA194)</f>
        <v>0</v>
      </c>
    </row>
    <row r="197" spans="38:50">
      <c r="AL197" s="1182" t="str">
        <f>IF(보수일람표!O195="","",보수일람표!O195)</f>
        <v/>
      </c>
      <c r="AM197" s="1183" t="str">
        <f>IF(보수일람표!P195="","",보수일람표!P195)</f>
        <v/>
      </c>
      <c r="AN197" s="1184">
        <f>IF(보수일람표!S195="","",보수일람표!S195)</f>
        <v>0</v>
      </c>
      <c r="AO197" s="1185">
        <f>IF(보수일람표!R195="","",보수일람표!R195)</f>
        <v>0</v>
      </c>
      <c r="AP197" s="1118">
        <f>IF(보수일람표!S195="","",보수일람표!S195)</f>
        <v>0</v>
      </c>
      <c r="AQ197" s="1186">
        <f>IF(보수일람표!T195="","",보수일람표!T195)</f>
        <v>0</v>
      </c>
      <c r="AR197" s="1120">
        <f>IF(보수일람표!U195="","",보수일람표!U195)</f>
        <v>0</v>
      </c>
      <c r="AS197" s="1121">
        <f>IF(보수일람표!V195="","",보수일람표!V195)</f>
        <v>0</v>
      </c>
      <c r="AT197" s="1122">
        <f>IF(보수일람표!W195="","",보수일람표!W195)</f>
        <v>0</v>
      </c>
      <c r="AU197" s="1123">
        <f>IF(보수일람표!X195="","",보수일람표!X195)</f>
        <v>0</v>
      </c>
      <c r="AV197" s="1124">
        <f>IF(보수일람표!Y195="","",보수일람표!Y195)</f>
        <v>0</v>
      </c>
      <c r="AW197" s="1187">
        <f>IF(보수일람표!Z195="","",보수일람표!Z195)</f>
        <v>0</v>
      </c>
      <c r="AX197" s="1134">
        <f>IF(보수일람표!AA195="","",보수일람표!AA195)</f>
        <v>0</v>
      </c>
    </row>
    <row r="198" spans="38:50">
      <c r="AL198" s="1182" t="str">
        <f>IF(보수일람표!O196="","",보수일람표!O196)</f>
        <v/>
      </c>
      <c r="AM198" s="1183" t="str">
        <f>IF(보수일람표!P196="","",보수일람표!P196)</f>
        <v/>
      </c>
      <c r="AN198" s="1184">
        <f>IF(보수일람표!S196="","",보수일람표!S196)</f>
        <v>0</v>
      </c>
      <c r="AO198" s="1185">
        <f>IF(보수일람표!R196="","",보수일람표!R196)</f>
        <v>0</v>
      </c>
      <c r="AP198" s="1118">
        <f>IF(보수일람표!S196="","",보수일람표!S196)</f>
        <v>0</v>
      </c>
      <c r="AQ198" s="1186">
        <f>IF(보수일람표!T196="","",보수일람표!T196)</f>
        <v>0</v>
      </c>
      <c r="AR198" s="1120">
        <f>IF(보수일람표!U196="","",보수일람표!U196)</f>
        <v>0</v>
      </c>
      <c r="AS198" s="1121">
        <f>IF(보수일람표!V196="","",보수일람표!V196)</f>
        <v>0</v>
      </c>
      <c r="AT198" s="1122">
        <f>IF(보수일람표!W196="","",보수일람표!W196)</f>
        <v>0</v>
      </c>
      <c r="AU198" s="1123">
        <f>IF(보수일람표!X196="","",보수일람표!X196)</f>
        <v>0</v>
      </c>
      <c r="AV198" s="1124">
        <f>IF(보수일람표!Y196="","",보수일람표!Y196)</f>
        <v>0</v>
      </c>
      <c r="AW198" s="1187">
        <f>IF(보수일람표!Z196="","",보수일람표!Z196)</f>
        <v>0</v>
      </c>
      <c r="AX198" s="1134">
        <f>IF(보수일람표!AA196="","",보수일람표!AA196)</f>
        <v>0</v>
      </c>
    </row>
    <row r="199" spans="38:50">
      <c r="AL199" s="1182" t="str">
        <f>IF(보수일람표!O197="","",보수일람표!O197)</f>
        <v/>
      </c>
      <c r="AM199" s="1183" t="str">
        <f>IF(보수일람표!P197="","",보수일람표!P197)</f>
        <v/>
      </c>
      <c r="AN199" s="1184">
        <f>IF(보수일람표!S197="","",보수일람표!S197)</f>
        <v>0</v>
      </c>
      <c r="AO199" s="1185">
        <f>IF(보수일람표!R197="","",보수일람표!R197)</f>
        <v>0</v>
      </c>
      <c r="AP199" s="1118">
        <f>IF(보수일람표!S197="","",보수일람표!S197)</f>
        <v>0</v>
      </c>
      <c r="AQ199" s="1186">
        <f>IF(보수일람표!T197="","",보수일람표!T197)</f>
        <v>0</v>
      </c>
      <c r="AR199" s="1120">
        <f>IF(보수일람표!U197="","",보수일람표!U197)</f>
        <v>0</v>
      </c>
      <c r="AS199" s="1121">
        <f>IF(보수일람표!V197="","",보수일람표!V197)</f>
        <v>0</v>
      </c>
      <c r="AT199" s="1122">
        <f>IF(보수일람표!W197="","",보수일람표!W197)</f>
        <v>0</v>
      </c>
      <c r="AU199" s="1123">
        <f>IF(보수일람표!X197="","",보수일람표!X197)</f>
        <v>0</v>
      </c>
      <c r="AV199" s="1124">
        <f>IF(보수일람표!Y197="","",보수일람표!Y197)</f>
        <v>0</v>
      </c>
      <c r="AW199" s="1187">
        <f>IF(보수일람표!Z197="","",보수일람표!Z197)</f>
        <v>0</v>
      </c>
      <c r="AX199" s="1134">
        <f>IF(보수일람표!AA197="","",보수일람표!AA197)</f>
        <v>0</v>
      </c>
    </row>
    <row r="200" spans="38:50">
      <c r="AL200" s="1182" t="str">
        <f>IF(보수일람표!O198="","",보수일람표!O198)</f>
        <v/>
      </c>
      <c r="AM200" s="1183" t="str">
        <f>IF(보수일람표!P198="","",보수일람표!P198)</f>
        <v/>
      </c>
      <c r="AN200" s="1184">
        <f>IF(보수일람표!S198="","",보수일람표!S198)</f>
        <v>0</v>
      </c>
      <c r="AO200" s="1185">
        <f>IF(보수일람표!R198="","",보수일람표!R198)</f>
        <v>0</v>
      </c>
      <c r="AP200" s="1118">
        <f>IF(보수일람표!S198="","",보수일람표!S198)</f>
        <v>0</v>
      </c>
      <c r="AQ200" s="1186">
        <f>IF(보수일람표!T198="","",보수일람표!T198)</f>
        <v>0</v>
      </c>
      <c r="AR200" s="1120">
        <f>IF(보수일람표!U198="","",보수일람표!U198)</f>
        <v>0</v>
      </c>
      <c r="AS200" s="1121">
        <f>IF(보수일람표!V198="","",보수일람표!V198)</f>
        <v>0</v>
      </c>
      <c r="AT200" s="1122">
        <f>IF(보수일람표!W198="","",보수일람표!W198)</f>
        <v>0</v>
      </c>
      <c r="AU200" s="1123">
        <f>IF(보수일람표!X198="","",보수일람표!X198)</f>
        <v>0</v>
      </c>
      <c r="AV200" s="1124">
        <f>IF(보수일람표!Y198="","",보수일람표!Y198)</f>
        <v>0</v>
      </c>
      <c r="AW200" s="1187">
        <f>IF(보수일람표!Z198="","",보수일람표!Z198)</f>
        <v>0</v>
      </c>
      <c r="AX200" s="1134">
        <f>IF(보수일람표!AA198="","",보수일람표!AA198)</f>
        <v>0</v>
      </c>
    </row>
    <row r="201" spans="38:50">
      <c r="AL201" s="1182" t="str">
        <f>IF(보수일람표!O199="","",보수일람표!O199)</f>
        <v/>
      </c>
      <c r="AM201" s="1183" t="str">
        <f>IF(보수일람표!P199="","",보수일람표!P199)</f>
        <v/>
      </c>
      <c r="AN201" s="1184">
        <f>IF(보수일람표!S199="","",보수일람표!S199)</f>
        <v>0</v>
      </c>
      <c r="AO201" s="1185">
        <f>IF(보수일람표!R199="","",보수일람표!R199)</f>
        <v>0</v>
      </c>
      <c r="AP201" s="1118">
        <f>IF(보수일람표!S199="","",보수일람표!S199)</f>
        <v>0</v>
      </c>
      <c r="AQ201" s="1186">
        <f>IF(보수일람표!T199="","",보수일람표!T199)</f>
        <v>0</v>
      </c>
      <c r="AR201" s="1120">
        <f>IF(보수일람표!U199="","",보수일람표!U199)</f>
        <v>0</v>
      </c>
      <c r="AS201" s="1121">
        <f>IF(보수일람표!V199="","",보수일람표!V199)</f>
        <v>0</v>
      </c>
      <c r="AT201" s="1122">
        <f>IF(보수일람표!W199="","",보수일람표!W199)</f>
        <v>0</v>
      </c>
      <c r="AU201" s="1123">
        <f>IF(보수일람표!X199="","",보수일람표!X199)</f>
        <v>0</v>
      </c>
      <c r="AV201" s="1124">
        <f>IF(보수일람표!Y199="","",보수일람표!Y199)</f>
        <v>0</v>
      </c>
      <c r="AW201" s="1187">
        <f>IF(보수일람표!Z199="","",보수일람표!Z199)</f>
        <v>0</v>
      </c>
      <c r="AX201" s="1134">
        <f>IF(보수일람표!AA199="","",보수일람표!AA199)</f>
        <v>0</v>
      </c>
    </row>
    <row r="202" spans="38:50">
      <c r="AL202" s="1182" t="str">
        <f>IF(보수일람표!O200="","",보수일람표!O200)</f>
        <v/>
      </c>
      <c r="AM202" s="1183" t="str">
        <f>IF(보수일람표!P200="","",보수일람표!P200)</f>
        <v/>
      </c>
      <c r="AN202" s="1184">
        <f>IF(보수일람표!S200="","",보수일람표!S200)</f>
        <v>0</v>
      </c>
      <c r="AO202" s="1185">
        <f>IF(보수일람표!R200="","",보수일람표!R200)</f>
        <v>0</v>
      </c>
      <c r="AP202" s="1118">
        <f>IF(보수일람표!S200="","",보수일람표!S200)</f>
        <v>0</v>
      </c>
      <c r="AQ202" s="1186">
        <f>IF(보수일람표!T200="","",보수일람표!T200)</f>
        <v>0</v>
      </c>
      <c r="AR202" s="1120">
        <f>IF(보수일람표!U200="","",보수일람표!U200)</f>
        <v>0</v>
      </c>
      <c r="AS202" s="1121">
        <f>IF(보수일람표!V200="","",보수일람표!V200)</f>
        <v>0</v>
      </c>
      <c r="AT202" s="1122">
        <f>IF(보수일람표!W200="","",보수일람표!W200)</f>
        <v>0</v>
      </c>
      <c r="AU202" s="1123">
        <f>IF(보수일람표!X200="","",보수일람표!X200)</f>
        <v>0</v>
      </c>
      <c r="AV202" s="1124">
        <f>IF(보수일람표!Y200="","",보수일람표!Y200)</f>
        <v>0</v>
      </c>
      <c r="AW202" s="1187">
        <f>IF(보수일람표!Z200="","",보수일람표!Z200)</f>
        <v>0</v>
      </c>
      <c r="AX202" s="1134">
        <f>IF(보수일람표!AA200="","",보수일람표!AA200)</f>
        <v>0</v>
      </c>
    </row>
    <row r="203" spans="38:50">
      <c r="AL203" s="1182" t="str">
        <f>IF(보수일람표!O201="","",보수일람표!O201)</f>
        <v/>
      </c>
      <c r="AM203" s="1183" t="str">
        <f>IF(보수일람표!P201="","",보수일람표!P201)</f>
        <v/>
      </c>
      <c r="AN203" s="1184">
        <f>IF(보수일람표!S201="","",보수일람표!S201)</f>
        <v>0</v>
      </c>
      <c r="AO203" s="1185">
        <f>IF(보수일람표!R201="","",보수일람표!R201)</f>
        <v>0</v>
      </c>
      <c r="AP203" s="1118">
        <f>IF(보수일람표!S201="","",보수일람표!S201)</f>
        <v>0</v>
      </c>
      <c r="AQ203" s="1186">
        <f>IF(보수일람표!T201="","",보수일람표!T201)</f>
        <v>0</v>
      </c>
      <c r="AR203" s="1120">
        <f>IF(보수일람표!U201="","",보수일람표!U201)</f>
        <v>0</v>
      </c>
      <c r="AS203" s="1121">
        <f>IF(보수일람표!V201="","",보수일람표!V201)</f>
        <v>0</v>
      </c>
      <c r="AT203" s="1122">
        <f>IF(보수일람표!W201="","",보수일람표!W201)</f>
        <v>0</v>
      </c>
      <c r="AU203" s="1123">
        <f>IF(보수일람표!X201="","",보수일람표!X201)</f>
        <v>0</v>
      </c>
      <c r="AV203" s="1124">
        <f>IF(보수일람표!Y201="","",보수일람표!Y201)</f>
        <v>0</v>
      </c>
      <c r="AW203" s="1187">
        <f>IF(보수일람표!Z201="","",보수일람표!Z201)</f>
        <v>0</v>
      </c>
      <c r="AX203" s="1134">
        <f>IF(보수일람표!AA201="","",보수일람표!AA201)</f>
        <v>0</v>
      </c>
    </row>
    <row r="204" spans="38:50">
      <c r="AL204" s="1182" t="str">
        <f>IF(보수일람표!O202="","",보수일람표!O202)</f>
        <v/>
      </c>
      <c r="AM204" s="1183" t="str">
        <f>IF(보수일람표!P202="","",보수일람표!P202)</f>
        <v/>
      </c>
      <c r="AN204" s="1184">
        <f>IF(보수일람표!S202="","",보수일람표!S202)</f>
        <v>0</v>
      </c>
      <c r="AO204" s="1185">
        <f>IF(보수일람표!R202="","",보수일람표!R202)</f>
        <v>0</v>
      </c>
      <c r="AP204" s="1118">
        <f>IF(보수일람표!S202="","",보수일람표!S202)</f>
        <v>0</v>
      </c>
      <c r="AQ204" s="1186">
        <f>IF(보수일람표!T202="","",보수일람표!T202)</f>
        <v>0</v>
      </c>
      <c r="AR204" s="1120">
        <f>IF(보수일람표!U202="","",보수일람표!U202)</f>
        <v>0</v>
      </c>
      <c r="AS204" s="1121">
        <f>IF(보수일람표!V202="","",보수일람표!V202)</f>
        <v>0</v>
      </c>
      <c r="AT204" s="1122">
        <f>IF(보수일람표!W202="","",보수일람표!W202)</f>
        <v>0</v>
      </c>
      <c r="AU204" s="1123">
        <f>IF(보수일람표!X202="","",보수일람표!X202)</f>
        <v>0</v>
      </c>
      <c r="AV204" s="1124">
        <f>IF(보수일람표!Y202="","",보수일람표!Y202)</f>
        <v>0</v>
      </c>
      <c r="AW204" s="1187">
        <f>IF(보수일람표!Z202="","",보수일람표!Z202)</f>
        <v>0</v>
      </c>
      <c r="AX204" s="1134">
        <f>IF(보수일람표!AA202="","",보수일람표!AA202)</f>
        <v>0</v>
      </c>
    </row>
    <row r="205" spans="38:50">
      <c r="AL205" s="1182" t="str">
        <f>IF(보수일람표!O203="","",보수일람표!O203)</f>
        <v/>
      </c>
      <c r="AM205" s="1183" t="str">
        <f>IF(보수일람표!P203="","",보수일람표!P203)</f>
        <v/>
      </c>
      <c r="AN205" s="1184">
        <f>IF(보수일람표!S203="","",보수일람표!S203)</f>
        <v>0</v>
      </c>
      <c r="AO205" s="1185">
        <f>IF(보수일람표!R203="","",보수일람표!R203)</f>
        <v>0</v>
      </c>
      <c r="AP205" s="1118">
        <f>IF(보수일람표!S203="","",보수일람표!S203)</f>
        <v>0</v>
      </c>
      <c r="AQ205" s="1186">
        <f>IF(보수일람표!T203="","",보수일람표!T203)</f>
        <v>0</v>
      </c>
      <c r="AR205" s="1120">
        <f>IF(보수일람표!U203="","",보수일람표!U203)</f>
        <v>0</v>
      </c>
      <c r="AS205" s="1121">
        <f>IF(보수일람표!V203="","",보수일람표!V203)</f>
        <v>0</v>
      </c>
      <c r="AT205" s="1122">
        <f>IF(보수일람표!W203="","",보수일람표!W203)</f>
        <v>0</v>
      </c>
      <c r="AU205" s="1123">
        <f>IF(보수일람표!X203="","",보수일람표!X203)</f>
        <v>0</v>
      </c>
      <c r="AV205" s="1124">
        <f>IF(보수일람표!Y203="","",보수일람표!Y203)</f>
        <v>0</v>
      </c>
      <c r="AW205" s="1187">
        <f>IF(보수일람표!Z203="","",보수일람표!Z203)</f>
        <v>0</v>
      </c>
      <c r="AX205" s="1134">
        <f>IF(보수일람표!AA203="","",보수일람표!AA203)</f>
        <v>0</v>
      </c>
    </row>
    <row r="206" spans="38:50">
      <c r="AL206" s="1182" t="str">
        <f>IF(보수일람표!O204="","",보수일람표!O204)</f>
        <v/>
      </c>
      <c r="AM206" s="1183" t="str">
        <f>IF(보수일람표!P204="","",보수일람표!P204)</f>
        <v/>
      </c>
      <c r="AN206" s="1184">
        <f>IF(보수일람표!S204="","",보수일람표!S204)</f>
        <v>0</v>
      </c>
      <c r="AO206" s="1185">
        <f>IF(보수일람표!R204="","",보수일람표!R204)</f>
        <v>0</v>
      </c>
      <c r="AP206" s="1118">
        <f>IF(보수일람표!S204="","",보수일람표!S204)</f>
        <v>0</v>
      </c>
      <c r="AQ206" s="1186">
        <f>IF(보수일람표!T204="","",보수일람표!T204)</f>
        <v>0</v>
      </c>
      <c r="AR206" s="1120">
        <f>IF(보수일람표!U204="","",보수일람표!U204)</f>
        <v>0</v>
      </c>
      <c r="AS206" s="1121">
        <f>IF(보수일람표!V204="","",보수일람표!V204)</f>
        <v>0</v>
      </c>
      <c r="AT206" s="1122">
        <f>IF(보수일람표!W204="","",보수일람표!W204)</f>
        <v>0</v>
      </c>
      <c r="AU206" s="1123">
        <f>IF(보수일람표!X204="","",보수일람표!X204)</f>
        <v>0</v>
      </c>
      <c r="AV206" s="1124">
        <f>IF(보수일람표!Y204="","",보수일람표!Y204)</f>
        <v>0</v>
      </c>
      <c r="AW206" s="1187">
        <f>IF(보수일람표!Z204="","",보수일람표!Z204)</f>
        <v>0</v>
      </c>
      <c r="AX206" s="1134">
        <f>IF(보수일람표!AA204="","",보수일람표!AA204)</f>
        <v>0</v>
      </c>
    </row>
    <row r="207" spans="38:50">
      <c r="AL207" s="1182" t="str">
        <f>IF(보수일람표!O205="","",보수일람표!O205)</f>
        <v/>
      </c>
      <c r="AM207" s="1183" t="str">
        <f>IF(보수일람표!P205="","",보수일람표!P205)</f>
        <v/>
      </c>
      <c r="AN207" s="1184">
        <f>IF(보수일람표!S205="","",보수일람표!S205)</f>
        <v>0</v>
      </c>
      <c r="AO207" s="1185">
        <f>IF(보수일람표!R205="","",보수일람표!R205)</f>
        <v>0</v>
      </c>
      <c r="AP207" s="1118">
        <f>IF(보수일람표!S205="","",보수일람표!S205)</f>
        <v>0</v>
      </c>
      <c r="AQ207" s="1186">
        <f>IF(보수일람표!T205="","",보수일람표!T205)</f>
        <v>0</v>
      </c>
      <c r="AR207" s="1120">
        <f>IF(보수일람표!U205="","",보수일람표!U205)</f>
        <v>0</v>
      </c>
      <c r="AS207" s="1121">
        <f>IF(보수일람표!V205="","",보수일람표!V205)</f>
        <v>0</v>
      </c>
      <c r="AT207" s="1122">
        <f>IF(보수일람표!W205="","",보수일람표!W205)</f>
        <v>0</v>
      </c>
      <c r="AU207" s="1123">
        <f>IF(보수일람표!X205="","",보수일람표!X205)</f>
        <v>0</v>
      </c>
      <c r="AV207" s="1124">
        <f>IF(보수일람표!Y205="","",보수일람표!Y205)</f>
        <v>0</v>
      </c>
      <c r="AW207" s="1187">
        <f>IF(보수일람표!Z205="","",보수일람표!Z205)</f>
        <v>0</v>
      </c>
      <c r="AX207" s="1134">
        <f>IF(보수일람표!AA205="","",보수일람표!AA205)</f>
        <v>0</v>
      </c>
    </row>
    <row r="208" spans="38:50">
      <c r="AL208" s="1182" t="str">
        <f>IF(보수일람표!O206="","",보수일람표!O206)</f>
        <v/>
      </c>
      <c r="AM208" s="1183" t="str">
        <f>IF(보수일람표!P206="","",보수일람표!P206)</f>
        <v/>
      </c>
      <c r="AN208" s="1184">
        <f>IF(보수일람표!S206="","",보수일람표!S206)</f>
        <v>0</v>
      </c>
      <c r="AO208" s="1185">
        <f>IF(보수일람표!R206="","",보수일람표!R206)</f>
        <v>0</v>
      </c>
      <c r="AP208" s="1118">
        <f>IF(보수일람표!S206="","",보수일람표!S206)</f>
        <v>0</v>
      </c>
      <c r="AQ208" s="1186">
        <f>IF(보수일람표!T206="","",보수일람표!T206)</f>
        <v>0</v>
      </c>
      <c r="AR208" s="1120">
        <f>IF(보수일람표!U206="","",보수일람표!U206)</f>
        <v>0</v>
      </c>
      <c r="AS208" s="1121">
        <f>IF(보수일람표!V206="","",보수일람표!V206)</f>
        <v>0</v>
      </c>
      <c r="AT208" s="1122">
        <f>IF(보수일람표!W206="","",보수일람표!W206)</f>
        <v>0</v>
      </c>
      <c r="AU208" s="1123">
        <f>IF(보수일람표!X206="","",보수일람표!X206)</f>
        <v>0</v>
      </c>
      <c r="AV208" s="1124">
        <f>IF(보수일람표!Y206="","",보수일람표!Y206)</f>
        <v>0</v>
      </c>
      <c r="AW208" s="1187">
        <f>IF(보수일람표!Z206="","",보수일람표!Z206)</f>
        <v>0</v>
      </c>
      <c r="AX208" s="1134">
        <f>IF(보수일람표!AA206="","",보수일람표!AA206)</f>
        <v>0</v>
      </c>
    </row>
    <row r="209" spans="38:50">
      <c r="AL209" s="1182" t="str">
        <f>IF(보수일람표!O207="","",보수일람표!O207)</f>
        <v/>
      </c>
      <c r="AM209" s="1183" t="str">
        <f>IF(보수일람표!P207="","",보수일람표!P207)</f>
        <v/>
      </c>
      <c r="AN209" s="1184">
        <f>IF(보수일람표!S207="","",보수일람표!S207)</f>
        <v>0</v>
      </c>
      <c r="AO209" s="1185">
        <f>IF(보수일람표!R207="","",보수일람표!R207)</f>
        <v>0</v>
      </c>
      <c r="AP209" s="1118">
        <f>IF(보수일람표!S207="","",보수일람표!S207)</f>
        <v>0</v>
      </c>
      <c r="AQ209" s="1186">
        <f>IF(보수일람표!T207="","",보수일람표!T207)</f>
        <v>0</v>
      </c>
      <c r="AR209" s="1120">
        <f>IF(보수일람표!U207="","",보수일람표!U207)</f>
        <v>0</v>
      </c>
      <c r="AS209" s="1121">
        <f>IF(보수일람표!V207="","",보수일람표!V207)</f>
        <v>0</v>
      </c>
      <c r="AT209" s="1122">
        <f>IF(보수일람표!W207="","",보수일람표!W207)</f>
        <v>0</v>
      </c>
      <c r="AU209" s="1123">
        <f>IF(보수일람표!X207="","",보수일람표!X207)</f>
        <v>0</v>
      </c>
      <c r="AV209" s="1124">
        <f>IF(보수일람표!Y207="","",보수일람표!Y207)</f>
        <v>0</v>
      </c>
      <c r="AW209" s="1187">
        <f>IF(보수일람표!Z207="","",보수일람표!Z207)</f>
        <v>0</v>
      </c>
      <c r="AX209" s="1134">
        <f>IF(보수일람표!AA207="","",보수일람표!AA207)</f>
        <v>0</v>
      </c>
    </row>
    <row r="210" spans="38:50">
      <c r="AL210" s="1182" t="str">
        <f>IF(보수일람표!O208="","",보수일람표!O208)</f>
        <v/>
      </c>
      <c r="AM210" s="1183" t="str">
        <f>IF(보수일람표!P208="","",보수일람표!P208)</f>
        <v/>
      </c>
      <c r="AN210" s="1184">
        <f>IF(보수일람표!S208="","",보수일람표!S208)</f>
        <v>0</v>
      </c>
      <c r="AO210" s="1185">
        <f>IF(보수일람표!R208="","",보수일람표!R208)</f>
        <v>0</v>
      </c>
      <c r="AP210" s="1118">
        <f>IF(보수일람표!S208="","",보수일람표!S208)</f>
        <v>0</v>
      </c>
      <c r="AQ210" s="1186">
        <f>IF(보수일람표!T208="","",보수일람표!T208)</f>
        <v>0</v>
      </c>
      <c r="AR210" s="1120">
        <f>IF(보수일람표!U208="","",보수일람표!U208)</f>
        <v>0</v>
      </c>
      <c r="AS210" s="1121">
        <f>IF(보수일람표!V208="","",보수일람표!V208)</f>
        <v>0</v>
      </c>
      <c r="AT210" s="1122">
        <f>IF(보수일람표!W208="","",보수일람표!W208)</f>
        <v>0</v>
      </c>
      <c r="AU210" s="1123">
        <f>IF(보수일람표!X208="","",보수일람표!X208)</f>
        <v>0</v>
      </c>
      <c r="AV210" s="1124">
        <f>IF(보수일람표!Y208="","",보수일람표!Y208)</f>
        <v>0</v>
      </c>
      <c r="AW210" s="1187">
        <f>IF(보수일람표!Z208="","",보수일람표!Z208)</f>
        <v>0</v>
      </c>
      <c r="AX210" s="1134">
        <f>IF(보수일람표!AA208="","",보수일람표!AA208)</f>
        <v>0</v>
      </c>
    </row>
    <row r="211" spans="38:50">
      <c r="AL211" s="1182" t="str">
        <f>IF(보수일람표!O209="","",보수일람표!O209)</f>
        <v/>
      </c>
      <c r="AM211" s="1183" t="str">
        <f>IF(보수일람표!P209="","",보수일람표!P209)</f>
        <v/>
      </c>
      <c r="AN211" s="1184">
        <f>IF(보수일람표!S209="","",보수일람표!S209)</f>
        <v>0</v>
      </c>
      <c r="AO211" s="1185">
        <f>IF(보수일람표!R209="","",보수일람표!R209)</f>
        <v>0</v>
      </c>
      <c r="AP211" s="1118">
        <f>IF(보수일람표!S209="","",보수일람표!S209)</f>
        <v>0</v>
      </c>
      <c r="AQ211" s="1186">
        <f>IF(보수일람표!T209="","",보수일람표!T209)</f>
        <v>0</v>
      </c>
      <c r="AR211" s="1120">
        <f>IF(보수일람표!U209="","",보수일람표!U209)</f>
        <v>0</v>
      </c>
      <c r="AS211" s="1121">
        <f>IF(보수일람표!V209="","",보수일람표!V209)</f>
        <v>0</v>
      </c>
      <c r="AT211" s="1122">
        <f>IF(보수일람표!W209="","",보수일람표!W209)</f>
        <v>0</v>
      </c>
      <c r="AU211" s="1123">
        <f>IF(보수일람표!X209="","",보수일람표!X209)</f>
        <v>0</v>
      </c>
      <c r="AV211" s="1124">
        <f>IF(보수일람표!Y209="","",보수일람표!Y209)</f>
        <v>0</v>
      </c>
      <c r="AW211" s="1187">
        <f>IF(보수일람표!Z209="","",보수일람표!Z209)</f>
        <v>0</v>
      </c>
      <c r="AX211" s="1134">
        <f>IF(보수일람표!AA209="","",보수일람표!AA209)</f>
        <v>0</v>
      </c>
    </row>
    <row r="212" spans="38:50">
      <c r="AL212" s="1182" t="str">
        <f>IF(보수일람표!O210="","",보수일람표!O210)</f>
        <v/>
      </c>
      <c r="AM212" s="1183" t="str">
        <f>IF(보수일람표!P210="","",보수일람표!P210)</f>
        <v/>
      </c>
      <c r="AN212" s="1184">
        <f>IF(보수일람표!S210="","",보수일람표!S210)</f>
        <v>0</v>
      </c>
      <c r="AO212" s="1185">
        <f>IF(보수일람표!R210="","",보수일람표!R210)</f>
        <v>0</v>
      </c>
      <c r="AP212" s="1118">
        <f>IF(보수일람표!S210="","",보수일람표!S210)</f>
        <v>0</v>
      </c>
      <c r="AQ212" s="1186">
        <f>IF(보수일람표!T210="","",보수일람표!T210)</f>
        <v>0</v>
      </c>
      <c r="AR212" s="1120">
        <f>IF(보수일람표!U210="","",보수일람표!U210)</f>
        <v>0</v>
      </c>
      <c r="AS212" s="1121">
        <f>IF(보수일람표!V210="","",보수일람표!V210)</f>
        <v>0</v>
      </c>
      <c r="AT212" s="1122">
        <f>IF(보수일람표!W210="","",보수일람표!W210)</f>
        <v>0</v>
      </c>
      <c r="AU212" s="1123">
        <f>IF(보수일람표!X210="","",보수일람표!X210)</f>
        <v>0</v>
      </c>
      <c r="AV212" s="1124">
        <f>IF(보수일람표!Y210="","",보수일람표!Y210)</f>
        <v>0</v>
      </c>
      <c r="AW212" s="1187">
        <f>IF(보수일람표!Z210="","",보수일람표!Z210)</f>
        <v>0</v>
      </c>
      <c r="AX212" s="1134">
        <f>IF(보수일람표!AA210="","",보수일람표!AA210)</f>
        <v>0</v>
      </c>
    </row>
    <row r="213" spans="38:50">
      <c r="AL213" s="1182" t="str">
        <f>IF(보수일람표!O211="","",보수일람표!O211)</f>
        <v/>
      </c>
      <c r="AM213" s="1183" t="str">
        <f>IF(보수일람표!P211="","",보수일람표!P211)</f>
        <v/>
      </c>
      <c r="AN213" s="1184">
        <f>IF(보수일람표!S211="","",보수일람표!S211)</f>
        <v>0</v>
      </c>
      <c r="AO213" s="1185">
        <f>IF(보수일람표!R211="","",보수일람표!R211)</f>
        <v>0</v>
      </c>
      <c r="AP213" s="1118">
        <f>IF(보수일람표!S211="","",보수일람표!S211)</f>
        <v>0</v>
      </c>
      <c r="AQ213" s="1186">
        <f>IF(보수일람표!T211="","",보수일람표!T211)</f>
        <v>0</v>
      </c>
      <c r="AR213" s="1120">
        <f>IF(보수일람표!U211="","",보수일람표!U211)</f>
        <v>0</v>
      </c>
      <c r="AS213" s="1121">
        <f>IF(보수일람표!V211="","",보수일람표!V211)</f>
        <v>0</v>
      </c>
      <c r="AT213" s="1122">
        <f>IF(보수일람표!W211="","",보수일람표!W211)</f>
        <v>0</v>
      </c>
      <c r="AU213" s="1123">
        <f>IF(보수일람표!X211="","",보수일람표!X211)</f>
        <v>0</v>
      </c>
      <c r="AV213" s="1124">
        <f>IF(보수일람표!Y211="","",보수일람표!Y211)</f>
        <v>0</v>
      </c>
      <c r="AW213" s="1187">
        <f>IF(보수일람표!Z211="","",보수일람표!Z211)</f>
        <v>0</v>
      </c>
      <c r="AX213" s="1134">
        <f>IF(보수일람표!AA211="","",보수일람표!AA211)</f>
        <v>0</v>
      </c>
    </row>
    <row r="214" spans="38:50">
      <c r="AL214" s="1182" t="str">
        <f>IF(보수일람표!O212="","",보수일람표!O212)</f>
        <v/>
      </c>
      <c r="AM214" s="1183" t="str">
        <f>IF(보수일람표!P212="","",보수일람표!P212)</f>
        <v/>
      </c>
      <c r="AN214" s="1184">
        <f>IF(보수일람표!S212="","",보수일람표!S212)</f>
        <v>0</v>
      </c>
      <c r="AO214" s="1185">
        <f>IF(보수일람표!R212="","",보수일람표!R212)</f>
        <v>0</v>
      </c>
      <c r="AP214" s="1118">
        <f>IF(보수일람표!S212="","",보수일람표!S212)</f>
        <v>0</v>
      </c>
      <c r="AQ214" s="1186">
        <f>IF(보수일람표!T212="","",보수일람표!T212)</f>
        <v>0</v>
      </c>
      <c r="AR214" s="1120">
        <f>IF(보수일람표!U212="","",보수일람표!U212)</f>
        <v>0</v>
      </c>
      <c r="AS214" s="1121">
        <f>IF(보수일람표!V212="","",보수일람표!V212)</f>
        <v>0</v>
      </c>
      <c r="AT214" s="1122">
        <f>IF(보수일람표!W212="","",보수일람표!W212)</f>
        <v>0</v>
      </c>
      <c r="AU214" s="1123">
        <f>IF(보수일람표!X212="","",보수일람표!X212)</f>
        <v>0</v>
      </c>
      <c r="AV214" s="1124">
        <f>IF(보수일람표!Y212="","",보수일람표!Y212)</f>
        <v>0</v>
      </c>
      <c r="AW214" s="1187">
        <f>IF(보수일람표!Z212="","",보수일람표!Z212)</f>
        <v>0</v>
      </c>
      <c r="AX214" s="1134">
        <f>IF(보수일람표!AA212="","",보수일람표!AA212)</f>
        <v>0</v>
      </c>
    </row>
    <row r="215" spans="38:50">
      <c r="AL215" s="1182" t="str">
        <f>IF(보수일람표!O213="","",보수일람표!O213)</f>
        <v/>
      </c>
      <c r="AM215" s="1183" t="str">
        <f>IF(보수일람표!P213="","",보수일람표!P213)</f>
        <v/>
      </c>
      <c r="AN215" s="1184">
        <f>IF(보수일람표!S213="","",보수일람표!S213)</f>
        <v>0</v>
      </c>
      <c r="AO215" s="1185">
        <f>IF(보수일람표!R213="","",보수일람표!R213)</f>
        <v>0</v>
      </c>
      <c r="AP215" s="1118">
        <f>IF(보수일람표!S213="","",보수일람표!S213)</f>
        <v>0</v>
      </c>
      <c r="AQ215" s="1186">
        <f>IF(보수일람표!T213="","",보수일람표!T213)</f>
        <v>0</v>
      </c>
      <c r="AR215" s="1120">
        <f>IF(보수일람표!U213="","",보수일람표!U213)</f>
        <v>0</v>
      </c>
      <c r="AS215" s="1121">
        <f>IF(보수일람표!V213="","",보수일람표!V213)</f>
        <v>0</v>
      </c>
      <c r="AT215" s="1122">
        <f>IF(보수일람표!W213="","",보수일람표!W213)</f>
        <v>0</v>
      </c>
      <c r="AU215" s="1123">
        <f>IF(보수일람표!X213="","",보수일람표!X213)</f>
        <v>0</v>
      </c>
      <c r="AV215" s="1124">
        <f>IF(보수일람표!Y213="","",보수일람표!Y213)</f>
        <v>0</v>
      </c>
      <c r="AW215" s="1187">
        <f>IF(보수일람표!Z213="","",보수일람표!Z213)</f>
        <v>0</v>
      </c>
      <c r="AX215" s="1134">
        <f>IF(보수일람표!AA213="","",보수일람표!AA213)</f>
        <v>0</v>
      </c>
    </row>
    <row r="216" spans="38:50">
      <c r="AL216" s="1182" t="str">
        <f>IF(보수일람표!O214="","",보수일람표!O214)</f>
        <v/>
      </c>
      <c r="AM216" s="1183" t="str">
        <f>IF(보수일람표!P214="","",보수일람표!P214)</f>
        <v/>
      </c>
      <c r="AN216" s="1184">
        <f>IF(보수일람표!S214="","",보수일람표!S214)</f>
        <v>0</v>
      </c>
      <c r="AO216" s="1185">
        <f>IF(보수일람표!R214="","",보수일람표!R214)</f>
        <v>0</v>
      </c>
      <c r="AP216" s="1118">
        <f>IF(보수일람표!S214="","",보수일람표!S214)</f>
        <v>0</v>
      </c>
      <c r="AQ216" s="1186">
        <f>IF(보수일람표!T214="","",보수일람표!T214)</f>
        <v>0</v>
      </c>
      <c r="AR216" s="1120">
        <f>IF(보수일람표!U214="","",보수일람표!U214)</f>
        <v>0</v>
      </c>
      <c r="AS216" s="1121">
        <f>IF(보수일람표!V214="","",보수일람표!V214)</f>
        <v>0</v>
      </c>
      <c r="AT216" s="1122">
        <f>IF(보수일람표!W214="","",보수일람표!W214)</f>
        <v>0</v>
      </c>
      <c r="AU216" s="1123">
        <f>IF(보수일람표!X214="","",보수일람표!X214)</f>
        <v>0</v>
      </c>
      <c r="AV216" s="1124">
        <f>IF(보수일람표!Y214="","",보수일람표!Y214)</f>
        <v>0</v>
      </c>
      <c r="AW216" s="1187">
        <f>IF(보수일람표!Z214="","",보수일람표!Z214)</f>
        <v>0</v>
      </c>
      <c r="AX216" s="1134">
        <f>IF(보수일람표!AA214="","",보수일람표!AA214)</f>
        <v>0</v>
      </c>
    </row>
    <row r="217" spans="38:50">
      <c r="AL217" s="1182" t="str">
        <f>IF(보수일람표!O215="","",보수일람표!O215)</f>
        <v/>
      </c>
      <c r="AM217" s="1183" t="str">
        <f>IF(보수일람표!P215="","",보수일람표!P215)</f>
        <v/>
      </c>
      <c r="AN217" s="1184">
        <f>IF(보수일람표!S215="","",보수일람표!S215)</f>
        <v>0</v>
      </c>
      <c r="AO217" s="1185">
        <f>IF(보수일람표!R215="","",보수일람표!R215)</f>
        <v>0</v>
      </c>
      <c r="AP217" s="1118">
        <f>IF(보수일람표!S215="","",보수일람표!S215)</f>
        <v>0</v>
      </c>
      <c r="AQ217" s="1186">
        <f>IF(보수일람표!T215="","",보수일람표!T215)</f>
        <v>0</v>
      </c>
      <c r="AR217" s="1120">
        <f>IF(보수일람표!U215="","",보수일람표!U215)</f>
        <v>0</v>
      </c>
      <c r="AS217" s="1121">
        <f>IF(보수일람표!V215="","",보수일람표!V215)</f>
        <v>0</v>
      </c>
      <c r="AT217" s="1122">
        <f>IF(보수일람표!W215="","",보수일람표!W215)</f>
        <v>0</v>
      </c>
      <c r="AU217" s="1123">
        <f>IF(보수일람표!X215="","",보수일람표!X215)</f>
        <v>0</v>
      </c>
      <c r="AV217" s="1124">
        <f>IF(보수일람표!Y215="","",보수일람표!Y215)</f>
        <v>0</v>
      </c>
      <c r="AW217" s="1187">
        <f>IF(보수일람표!Z215="","",보수일람표!Z215)</f>
        <v>0</v>
      </c>
      <c r="AX217" s="1134">
        <f>IF(보수일람표!AA215="","",보수일람표!AA215)</f>
        <v>0</v>
      </c>
    </row>
    <row r="218" spans="38:50">
      <c r="AL218" s="1182" t="str">
        <f>IF(보수일람표!O216="","",보수일람표!O216)</f>
        <v/>
      </c>
      <c r="AM218" s="1183" t="str">
        <f>IF(보수일람표!P216="","",보수일람표!P216)</f>
        <v/>
      </c>
      <c r="AN218" s="1184">
        <f>IF(보수일람표!S216="","",보수일람표!S216)</f>
        <v>0</v>
      </c>
      <c r="AO218" s="1185">
        <f>IF(보수일람표!R216="","",보수일람표!R216)</f>
        <v>0</v>
      </c>
      <c r="AP218" s="1118">
        <f>IF(보수일람표!S216="","",보수일람표!S216)</f>
        <v>0</v>
      </c>
      <c r="AQ218" s="1186">
        <f>IF(보수일람표!T216="","",보수일람표!T216)</f>
        <v>0</v>
      </c>
      <c r="AR218" s="1120">
        <f>IF(보수일람표!U216="","",보수일람표!U216)</f>
        <v>0</v>
      </c>
      <c r="AS218" s="1121">
        <f>IF(보수일람표!V216="","",보수일람표!V216)</f>
        <v>0</v>
      </c>
      <c r="AT218" s="1122">
        <f>IF(보수일람표!W216="","",보수일람표!W216)</f>
        <v>0</v>
      </c>
      <c r="AU218" s="1123">
        <f>IF(보수일람표!X216="","",보수일람표!X216)</f>
        <v>0</v>
      </c>
      <c r="AV218" s="1124">
        <f>IF(보수일람표!Y216="","",보수일람표!Y216)</f>
        <v>0</v>
      </c>
      <c r="AW218" s="1187">
        <f>IF(보수일람표!Z216="","",보수일람표!Z216)</f>
        <v>0</v>
      </c>
      <c r="AX218" s="1134">
        <f>IF(보수일람표!AA216="","",보수일람표!AA216)</f>
        <v>0</v>
      </c>
    </row>
    <row r="219" spans="38:50">
      <c r="AL219" s="1182" t="str">
        <f>IF(보수일람표!O217="","",보수일람표!O217)</f>
        <v/>
      </c>
      <c r="AM219" s="1183" t="str">
        <f>IF(보수일람표!P217="","",보수일람표!P217)</f>
        <v/>
      </c>
      <c r="AN219" s="1184">
        <f>IF(보수일람표!S217="","",보수일람표!S217)</f>
        <v>0</v>
      </c>
      <c r="AO219" s="1185">
        <f>IF(보수일람표!R217="","",보수일람표!R217)</f>
        <v>0</v>
      </c>
      <c r="AP219" s="1118">
        <f>IF(보수일람표!S217="","",보수일람표!S217)</f>
        <v>0</v>
      </c>
      <c r="AQ219" s="1186">
        <f>IF(보수일람표!T217="","",보수일람표!T217)</f>
        <v>0</v>
      </c>
      <c r="AR219" s="1120">
        <f>IF(보수일람표!U217="","",보수일람표!U217)</f>
        <v>0</v>
      </c>
      <c r="AS219" s="1121">
        <f>IF(보수일람표!V217="","",보수일람표!V217)</f>
        <v>0</v>
      </c>
      <c r="AT219" s="1122">
        <f>IF(보수일람표!W217="","",보수일람표!W217)</f>
        <v>0</v>
      </c>
      <c r="AU219" s="1123">
        <f>IF(보수일람표!X217="","",보수일람표!X217)</f>
        <v>0</v>
      </c>
      <c r="AV219" s="1124">
        <f>IF(보수일람표!Y217="","",보수일람표!Y217)</f>
        <v>0</v>
      </c>
      <c r="AW219" s="1187">
        <f>IF(보수일람표!Z217="","",보수일람표!Z217)</f>
        <v>0</v>
      </c>
      <c r="AX219" s="1134">
        <f>IF(보수일람표!AA217="","",보수일람표!AA217)</f>
        <v>0</v>
      </c>
    </row>
    <row r="220" spans="38:50">
      <c r="AL220" s="1182" t="str">
        <f>IF(보수일람표!O218="","",보수일람표!O218)</f>
        <v/>
      </c>
      <c r="AM220" s="1183" t="str">
        <f>IF(보수일람표!P218="","",보수일람표!P218)</f>
        <v/>
      </c>
      <c r="AN220" s="1184">
        <f>IF(보수일람표!S218="","",보수일람표!S218)</f>
        <v>0</v>
      </c>
      <c r="AO220" s="1185">
        <f>IF(보수일람표!R218="","",보수일람표!R218)</f>
        <v>0</v>
      </c>
      <c r="AP220" s="1118">
        <f>IF(보수일람표!S218="","",보수일람표!S218)</f>
        <v>0</v>
      </c>
      <c r="AQ220" s="1186">
        <f>IF(보수일람표!T218="","",보수일람표!T218)</f>
        <v>0</v>
      </c>
      <c r="AR220" s="1120">
        <f>IF(보수일람표!U218="","",보수일람표!U218)</f>
        <v>0</v>
      </c>
      <c r="AS220" s="1121">
        <f>IF(보수일람표!V218="","",보수일람표!V218)</f>
        <v>0</v>
      </c>
      <c r="AT220" s="1122">
        <f>IF(보수일람표!W218="","",보수일람표!W218)</f>
        <v>0</v>
      </c>
      <c r="AU220" s="1123">
        <f>IF(보수일람표!X218="","",보수일람표!X218)</f>
        <v>0</v>
      </c>
      <c r="AV220" s="1124">
        <f>IF(보수일람표!Y218="","",보수일람표!Y218)</f>
        <v>0</v>
      </c>
      <c r="AW220" s="1187">
        <f>IF(보수일람표!Z218="","",보수일람표!Z218)</f>
        <v>0</v>
      </c>
      <c r="AX220" s="1134">
        <f>IF(보수일람표!AA218="","",보수일람표!AA218)</f>
        <v>0</v>
      </c>
    </row>
    <row r="221" spans="38:50">
      <c r="AL221" s="1182" t="str">
        <f>IF(보수일람표!O219="","",보수일람표!O219)</f>
        <v/>
      </c>
      <c r="AM221" s="1183" t="str">
        <f>IF(보수일람표!P219="","",보수일람표!P219)</f>
        <v/>
      </c>
      <c r="AN221" s="1184">
        <f>IF(보수일람표!S219="","",보수일람표!S219)</f>
        <v>0</v>
      </c>
      <c r="AO221" s="1185">
        <f>IF(보수일람표!R219="","",보수일람표!R219)</f>
        <v>0</v>
      </c>
      <c r="AP221" s="1118">
        <f>IF(보수일람표!S219="","",보수일람표!S219)</f>
        <v>0</v>
      </c>
      <c r="AQ221" s="1186">
        <f>IF(보수일람표!T219="","",보수일람표!T219)</f>
        <v>0</v>
      </c>
      <c r="AR221" s="1120">
        <f>IF(보수일람표!U219="","",보수일람표!U219)</f>
        <v>0</v>
      </c>
      <c r="AS221" s="1121">
        <f>IF(보수일람표!V219="","",보수일람표!V219)</f>
        <v>0</v>
      </c>
      <c r="AT221" s="1122">
        <f>IF(보수일람표!W219="","",보수일람표!W219)</f>
        <v>0</v>
      </c>
      <c r="AU221" s="1123">
        <f>IF(보수일람표!X219="","",보수일람표!X219)</f>
        <v>0</v>
      </c>
      <c r="AV221" s="1124">
        <f>IF(보수일람표!Y219="","",보수일람표!Y219)</f>
        <v>0</v>
      </c>
      <c r="AW221" s="1187">
        <f>IF(보수일람표!Z219="","",보수일람표!Z219)</f>
        <v>0</v>
      </c>
      <c r="AX221" s="1134">
        <f>IF(보수일람표!AA219="","",보수일람표!AA219)</f>
        <v>0</v>
      </c>
    </row>
    <row r="222" spans="38:50">
      <c r="AL222" s="1182" t="str">
        <f>IF(보수일람표!O220="","",보수일람표!O220)</f>
        <v/>
      </c>
      <c r="AM222" s="1183" t="str">
        <f>IF(보수일람표!P220="","",보수일람표!P220)</f>
        <v/>
      </c>
      <c r="AN222" s="1184">
        <f>IF(보수일람표!S220="","",보수일람표!S220)</f>
        <v>0</v>
      </c>
      <c r="AO222" s="1185">
        <f>IF(보수일람표!R220="","",보수일람표!R220)</f>
        <v>0</v>
      </c>
      <c r="AP222" s="1118">
        <f>IF(보수일람표!S220="","",보수일람표!S220)</f>
        <v>0</v>
      </c>
      <c r="AQ222" s="1186">
        <f>IF(보수일람표!T220="","",보수일람표!T220)</f>
        <v>0</v>
      </c>
      <c r="AR222" s="1120">
        <f>IF(보수일람표!U220="","",보수일람표!U220)</f>
        <v>0</v>
      </c>
      <c r="AS222" s="1121">
        <f>IF(보수일람표!V220="","",보수일람표!V220)</f>
        <v>0</v>
      </c>
      <c r="AT222" s="1122">
        <f>IF(보수일람표!W220="","",보수일람표!W220)</f>
        <v>0</v>
      </c>
      <c r="AU222" s="1123">
        <f>IF(보수일람표!X220="","",보수일람표!X220)</f>
        <v>0</v>
      </c>
      <c r="AV222" s="1124">
        <f>IF(보수일람표!Y220="","",보수일람표!Y220)</f>
        <v>0</v>
      </c>
      <c r="AW222" s="1187">
        <f>IF(보수일람표!Z220="","",보수일람표!Z220)</f>
        <v>0</v>
      </c>
      <c r="AX222" s="1134">
        <f>IF(보수일람표!AA220="","",보수일람표!AA220)</f>
        <v>0</v>
      </c>
    </row>
    <row r="223" spans="38:50">
      <c r="AL223" s="1182" t="str">
        <f>IF(보수일람표!O221="","",보수일람표!O221)</f>
        <v/>
      </c>
      <c r="AM223" s="1183" t="str">
        <f>IF(보수일람표!P221="","",보수일람표!P221)</f>
        <v/>
      </c>
      <c r="AN223" s="1184">
        <f>IF(보수일람표!S221="","",보수일람표!S221)</f>
        <v>0</v>
      </c>
      <c r="AO223" s="1185">
        <f>IF(보수일람표!R221="","",보수일람표!R221)</f>
        <v>0</v>
      </c>
      <c r="AP223" s="1118">
        <f>IF(보수일람표!S221="","",보수일람표!S221)</f>
        <v>0</v>
      </c>
      <c r="AQ223" s="1186">
        <f>IF(보수일람표!T221="","",보수일람표!T221)</f>
        <v>0</v>
      </c>
      <c r="AR223" s="1120">
        <f>IF(보수일람표!U221="","",보수일람표!U221)</f>
        <v>0</v>
      </c>
      <c r="AS223" s="1121">
        <f>IF(보수일람표!V221="","",보수일람표!V221)</f>
        <v>0</v>
      </c>
      <c r="AT223" s="1122">
        <f>IF(보수일람표!W221="","",보수일람표!W221)</f>
        <v>0</v>
      </c>
      <c r="AU223" s="1123">
        <f>IF(보수일람표!X221="","",보수일람표!X221)</f>
        <v>0</v>
      </c>
      <c r="AV223" s="1124">
        <f>IF(보수일람표!Y221="","",보수일람표!Y221)</f>
        <v>0</v>
      </c>
      <c r="AW223" s="1187">
        <f>IF(보수일람표!Z221="","",보수일람표!Z221)</f>
        <v>0</v>
      </c>
      <c r="AX223" s="1134">
        <f>IF(보수일람표!AA221="","",보수일람표!AA221)</f>
        <v>0</v>
      </c>
    </row>
    <row r="224" spans="38:50">
      <c r="AL224" s="1182" t="str">
        <f>IF(보수일람표!O222="","",보수일람표!O222)</f>
        <v/>
      </c>
      <c r="AM224" s="1183" t="str">
        <f>IF(보수일람표!P222="","",보수일람표!P222)</f>
        <v/>
      </c>
      <c r="AN224" s="1184">
        <f>IF(보수일람표!S222="","",보수일람표!S222)</f>
        <v>0</v>
      </c>
      <c r="AO224" s="1185">
        <f>IF(보수일람표!R222="","",보수일람표!R222)</f>
        <v>0</v>
      </c>
      <c r="AP224" s="1118">
        <f>IF(보수일람표!S222="","",보수일람표!S222)</f>
        <v>0</v>
      </c>
      <c r="AQ224" s="1186">
        <f>IF(보수일람표!T222="","",보수일람표!T222)</f>
        <v>0</v>
      </c>
      <c r="AR224" s="1120">
        <f>IF(보수일람표!U222="","",보수일람표!U222)</f>
        <v>0</v>
      </c>
      <c r="AS224" s="1121">
        <f>IF(보수일람표!V222="","",보수일람표!V222)</f>
        <v>0</v>
      </c>
      <c r="AT224" s="1122">
        <f>IF(보수일람표!W222="","",보수일람표!W222)</f>
        <v>0</v>
      </c>
      <c r="AU224" s="1123">
        <f>IF(보수일람표!X222="","",보수일람표!X222)</f>
        <v>0</v>
      </c>
      <c r="AV224" s="1124">
        <f>IF(보수일람표!Y222="","",보수일람표!Y222)</f>
        <v>0</v>
      </c>
      <c r="AW224" s="1187">
        <f>IF(보수일람표!Z222="","",보수일람표!Z222)</f>
        <v>0</v>
      </c>
      <c r="AX224" s="1134">
        <f>IF(보수일람표!AA222="","",보수일람표!AA222)</f>
        <v>0</v>
      </c>
    </row>
    <row r="225" spans="38:50">
      <c r="AL225" s="1182" t="str">
        <f>IF(보수일람표!O223="","",보수일람표!O223)</f>
        <v/>
      </c>
      <c r="AM225" s="1183" t="str">
        <f>IF(보수일람표!P223="","",보수일람표!P223)</f>
        <v/>
      </c>
      <c r="AN225" s="1184">
        <f>IF(보수일람표!S223="","",보수일람표!S223)</f>
        <v>0</v>
      </c>
      <c r="AO225" s="1185">
        <f>IF(보수일람표!R223="","",보수일람표!R223)</f>
        <v>0</v>
      </c>
      <c r="AP225" s="1118">
        <f>IF(보수일람표!S223="","",보수일람표!S223)</f>
        <v>0</v>
      </c>
      <c r="AQ225" s="1186">
        <f>IF(보수일람표!T223="","",보수일람표!T223)</f>
        <v>0</v>
      </c>
      <c r="AR225" s="1120">
        <f>IF(보수일람표!U223="","",보수일람표!U223)</f>
        <v>0</v>
      </c>
      <c r="AS225" s="1121">
        <f>IF(보수일람표!V223="","",보수일람표!V223)</f>
        <v>0</v>
      </c>
      <c r="AT225" s="1122">
        <f>IF(보수일람표!W223="","",보수일람표!W223)</f>
        <v>0</v>
      </c>
      <c r="AU225" s="1123">
        <f>IF(보수일람표!X223="","",보수일람표!X223)</f>
        <v>0</v>
      </c>
      <c r="AV225" s="1124">
        <f>IF(보수일람표!Y223="","",보수일람표!Y223)</f>
        <v>0</v>
      </c>
      <c r="AW225" s="1187">
        <f>IF(보수일람표!Z223="","",보수일람표!Z223)</f>
        <v>0</v>
      </c>
      <c r="AX225" s="1134">
        <f>IF(보수일람표!AA223="","",보수일람표!AA223)</f>
        <v>0</v>
      </c>
    </row>
    <row r="226" spans="38:50">
      <c r="AL226" s="1182" t="str">
        <f>IF(보수일람표!O224="","",보수일람표!O224)</f>
        <v/>
      </c>
      <c r="AM226" s="1183" t="str">
        <f>IF(보수일람표!P224="","",보수일람표!P224)</f>
        <v/>
      </c>
      <c r="AN226" s="1184">
        <f>IF(보수일람표!S224="","",보수일람표!S224)</f>
        <v>0</v>
      </c>
      <c r="AO226" s="1185">
        <f>IF(보수일람표!R224="","",보수일람표!R224)</f>
        <v>0</v>
      </c>
      <c r="AP226" s="1118">
        <f>IF(보수일람표!S224="","",보수일람표!S224)</f>
        <v>0</v>
      </c>
      <c r="AQ226" s="1186">
        <f>IF(보수일람표!T224="","",보수일람표!T224)</f>
        <v>0</v>
      </c>
      <c r="AR226" s="1120">
        <f>IF(보수일람표!U224="","",보수일람표!U224)</f>
        <v>0</v>
      </c>
      <c r="AS226" s="1121">
        <f>IF(보수일람표!V224="","",보수일람표!V224)</f>
        <v>0</v>
      </c>
      <c r="AT226" s="1122">
        <f>IF(보수일람표!W224="","",보수일람표!W224)</f>
        <v>0</v>
      </c>
      <c r="AU226" s="1123">
        <f>IF(보수일람표!X224="","",보수일람표!X224)</f>
        <v>0</v>
      </c>
      <c r="AV226" s="1124">
        <f>IF(보수일람표!Y224="","",보수일람표!Y224)</f>
        <v>0</v>
      </c>
      <c r="AW226" s="1187">
        <f>IF(보수일람표!Z224="","",보수일람표!Z224)</f>
        <v>0</v>
      </c>
      <c r="AX226" s="1134">
        <f>IF(보수일람표!AA224="","",보수일람표!AA224)</f>
        <v>0</v>
      </c>
    </row>
    <row r="227" spans="38:50">
      <c r="AL227" s="1182" t="str">
        <f>IF(보수일람표!O225="","",보수일람표!O225)</f>
        <v/>
      </c>
      <c r="AM227" s="1183" t="str">
        <f>IF(보수일람표!P225="","",보수일람표!P225)</f>
        <v/>
      </c>
      <c r="AN227" s="1184">
        <f>IF(보수일람표!S225="","",보수일람표!S225)</f>
        <v>0</v>
      </c>
      <c r="AO227" s="1185">
        <f>IF(보수일람표!R225="","",보수일람표!R225)</f>
        <v>0</v>
      </c>
      <c r="AP227" s="1118">
        <f>IF(보수일람표!S225="","",보수일람표!S225)</f>
        <v>0</v>
      </c>
      <c r="AQ227" s="1186">
        <f>IF(보수일람표!T225="","",보수일람표!T225)</f>
        <v>0</v>
      </c>
      <c r="AR227" s="1120">
        <f>IF(보수일람표!U225="","",보수일람표!U225)</f>
        <v>0</v>
      </c>
      <c r="AS227" s="1121">
        <f>IF(보수일람표!V225="","",보수일람표!V225)</f>
        <v>0</v>
      </c>
      <c r="AT227" s="1122">
        <f>IF(보수일람표!W225="","",보수일람표!W225)</f>
        <v>0</v>
      </c>
      <c r="AU227" s="1123">
        <f>IF(보수일람표!X225="","",보수일람표!X225)</f>
        <v>0</v>
      </c>
      <c r="AV227" s="1124">
        <f>IF(보수일람표!Y225="","",보수일람표!Y225)</f>
        <v>0</v>
      </c>
      <c r="AW227" s="1187">
        <f>IF(보수일람표!Z225="","",보수일람표!Z225)</f>
        <v>0</v>
      </c>
      <c r="AX227" s="1134">
        <f>IF(보수일람표!AA225="","",보수일람표!AA225)</f>
        <v>0</v>
      </c>
    </row>
    <row r="228" spans="38:50">
      <c r="AL228" s="1182" t="str">
        <f>IF(보수일람표!O226="","",보수일람표!O226)</f>
        <v/>
      </c>
      <c r="AM228" s="1183" t="str">
        <f>IF(보수일람표!P226="","",보수일람표!P226)</f>
        <v/>
      </c>
      <c r="AN228" s="1184">
        <f>IF(보수일람표!S226="","",보수일람표!S226)</f>
        <v>0</v>
      </c>
      <c r="AO228" s="1185">
        <f>IF(보수일람표!R226="","",보수일람표!R226)</f>
        <v>0</v>
      </c>
      <c r="AP228" s="1118">
        <f>IF(보수일람표!S226="","",보수일람표!S226)</f>
        <v>0</v>
      </c>
      <c r="AQ228" s="1186">
        <f>IF(보수일람표!T226="","",보수일람표!T226)</f>
        <v>0</v>
      </c>
      <c r="AR228" s="1120">
        <f>IF(보수일람표!U226="","",보수일람표!U226)</f>
        <v>0</v>
      </c>
      <c r="AS228" s="1121">
        <f>IF(보수일람표!V226="","",보수일람표!V226)</f>
        <v>0</v>
      </c>
      <c r="AT228" s="1122">
        <f>IF(보수일람표!W226="","",보수일람표!W226)</f>
        <v>0</v>
      </c>
      <c r="AU228" s="1123">
        <f>IF(보수일람표!X226="","",보수일람표!X226)</f>
        <v>0</v>
      </c>
      <c r="AV228" s="1124">
        <f>IF(보수일람표!Y226="","",보수일람표!Y226)</f>
        <v>0</v>
      </c>
      <c r="AW228" s="1187">
        <f>IF(보수일람표!Z226="","",보수일람표!Z226)</f>
        <v>0</v>
      </c>
      <c r="AX228" s="1134">
        <f>IF(보수일람표!AA226="","",보수일람표!AA226)</f>
        <v>0</v>
      </c>
    </row>
    <row r="229" spans="38:50">
      <c r="AL229" s="1182" t="str">
        <f>IF(보수일람표!O227="","",보수일람표!O227)</f>
        <v/>
      </c>
      <c r="AM229" s="1183" t="str">
        <f>IF(보수일람표!P227="","",보수일람표!P227)</f>
        <v/>
      </c>
      <c r="AN229" s="1184">
        <f>IF(보수일람표!S227="","",보수일람표!S227)</f>
        <v>0</v>
      </c>
      <c r="AO229" s="1185">
        <f>IF(보수일람표!R227="","",보수일람표!R227)</f>
        <v>0</v>
      </c>
      <c r="AP229" s="1118">
        <f>IF(보수일람표!S227="","",보수일람표!S227)</f>
        <v>0</v>
      </c>
      <c r="AQ229" s="1186">
        <f>IF(보수일람표!T227="","",보수일람표!T227)</f>
        <v>0</v>
      </c>
      <c r="AR229" s="1120">
        <f>IF(보수일람표!U227="","",보수일람표!U227)</f>
        <v>0</v>
      </c>
      <c r="AS229" s="1121">
        <f>IF(보수일람표!V227="","",보수일람표!V227)</f>
        <v>0</v>
      </c>
      <c r="AT229" s="1122">
        <f>IF(보수일람표!W227="","",보수일람표!W227)</f>
        <v>0</v>
      </c>
      <c r="AU229" s="1123">
        <f>IF(보수일람표!X227="","",보수일람표!X227)</f>
        <v>0</v>
      </c>
      <c r="AV229" s="1124">
        <f>IF(보수일람표!Y227="","",보수일람표!Y227)</f>
        <v>0</v>
      </c>
      <c r="AW229" s="1187">
        <f>IF(보수일람표!Z227="","",보수일람표!Z227)</f>
        <v>0</v>
      </c>
      <c r="AX229" s="1134">
        <f>IF(보수일람표!AA227="","",보수일람표!AA227)</f>
        <v>0</v>
      </c>
    </row>
    <row r="230" spans="38:50">
      <c r="AL230" s="1182" t="str">
        <f>IF(보수일람표!O228="","",보수일람표!O228)</f>
        <v/>
      </c>
      <c r="AM230" s="1183" t="str">
        <f>IF(보수일람표!P228="","",보수일람표!P228)</f>
        <v/>
      </c>
      <c r="AN230" s="1184">
        <f>IF(보수일람표!S228="","",보수일람표!S228)</f>
        <v>0</v>
      </c>
      <c r="AO230" s="1185">
        <f>IF(보수일람표!R228="","",보수일람표!R228)</f>
        <v>0</v>
      </c>
      <c r="AP230" s="1118">
        <f>IF(보수일람표!S228="","",보수일람표!S228)</f>
        <v>0</v>
      </c>
      <c r="AQ230" s="1186">
        <f>IF(보수일람표!T228="","",보수일람표!T228)</f>
        <v>0</v>
      </c>
      <c r="AR230" s="1120">
        <f>IF(보수일람표!U228="","",보수일람표!U228)</f>
        <v>0</v>
      </c>
      <c r="AS230" s="1121">
        <f>IF(보수일람표!V228="","",보수일람표!V228)</f>
        <v>0</v>
      </c>
      <c r="AT230" s="1122">
        <f>IF(보수일람표!W228="","",보수일람표!W228)</f>
        <v>0</v>
      </c>
      <c r="AU230" s="1123">
        <f>IF(보수일람표!X228="","",보수일람표!X228)</f>
        <v>0</v>
      </c>
      <c r="AV230" s="1124">
        <f>IF(보수일람표!Y228="","",보수일람표!Y228)</f>
        <v>0</v>
      </c>
      <c r="AW230" s="1187">
        <f>IF(보수일람표!Z228="","",보수일람표!Z228)</f>
        <v>0</v>
      </c>
      <c r="AX230" s="1134">
        <f>IF(보수일람표!AA228="","",보수일람표!AA228)</f>
        <v>0</v>
      </c>
    </row>
    <row r="231" spans="38:50">
      <c r="AL231" s="1182" t="str">
        <f>IF(보수일람표!O229="","",보수일람표!O229)</f>
        <v/>
      </c>
      <c r="AM231" s="1183" t="str">
        <f>IF(보수일람표!P229="","",보수일람표!P229)</f>
        <v/>
      </c>
      <c r="AN231" s="1184">
        <f>IF(보수일람표!S229="","",보수일람표!S229)</f>
        <v>0</v>
      </c>
      <c r="AO231" s="1185">
        <f>IF(보수일람표!R229="","",보수일람표!R229)</f>
        <v>0</v>
      </c>
      <c r="AP231" s="1118">
        <f>IF(보수일람표!S229="","",보수일람표!S229)</f>
        <v>0</v>
      </c>
      <c r="AQ231" s="1186">
        <f>IF(보수일람표!T229="","",보수일람표!T229)</f>
        <v>0</v>
      </c>
      <c r="AR231" s="1120">
        <f>IF(보수일람표!U229="","",보수일람표!U229)</f>
        <v>0</v>
      </c>
      <c r="AS231" s="1121">
        <f>IF(보수일람표!V229="","",보수일람표!V229)</f>
        <v>0</v>
      </c>
      <c r="AT231" s="1122">
        <f>IF(보수일람표!W229="","",보수일람표!W229)</f>
        <v>0</v>
      </c>
      <c r="AU231" s="1123">
        <f>IF(보수일람표!X229="","",보수일람표!X229)</f>
        <v>0</v>
      </c>
      <c r="AV231" s="1124">
        <f>IF(보수일람표!Y229="","",보수일람표!Y229)</f>
        <v>0</v>
      </c>
      <c r="AW231" s="1187">
        <f>IF(보수일람표!Z229="","",보수일람표!Z229)</f>
        <v>0</v>
      </c>
      <c r="AX231" s="1134">
        <f>IF(보수일람표!AA229="","",보수일람표!AA229)</f>
        <v>0</v>
      </c>
    </row>
    <row r="232" spans="38:50">
      <c r="AL232" s="1182" t="str">
        <f>IF(보수일람표!O230="","",보수일람표!O230)</f>
        <v/>
      </c>
      <c r="AM232" s="1183" t="str">
        <f>IF(보수일람표!P230="","",보수일람표!P230)</f>
        <v/>
      </c>
      <c r="AN232" s="1184">
        <f>IF(보수일람표!S230="","",보수일람표!S230)</f>
        <v>0</v>
      </c>
      <c r="AO232" s="1185">
        <f>IF(보수일람표!R230="","",보수일람표!R230)</f>
        <v>0</v>
      </c>
      <c r="AP232" s="1118">
        <f>IF(보수일람표!S230="","",보수일람표!S230)</f>
        <v>0</v>
      </c>
      <c r="AQ232" s="1186">
        <f>IF(보수일람표!T230="","",보수일람표!T230)</f>
        <v>0</v>
      </c>
      <c r="AR232" s="1120">
        <f>IF(보수일람표!U230="","",보수일람표!U230)</f>
        <v>0</v>
      </c>
      <c r="AS232" s="1121">
        <f>IF(보수일람표!V230="","",보수일람표!V230)</f>
        <v>0</v>
      </c>
      <c r="AT232" s="1122">
        <f>IF(보수일람표!W230="","",보수일람표!W230)</f>
        <v>0</v>
      </c>
      <c r="AU232" s="1123">
        <f>IF(보수일람표!X230="","",보수일람표!X230)</f>
        <v>0</v>
      </c>
      <c r="AV232" s="1124">
        <f>IF(보수일람표!Y230="","",보수일람표!Y230)</f>
        <v>0</v>
      </c>
      <c r="AW232" s="1187">
        <f>IF(보수일람표!Z230="","",보수일람표!Z230)</f>
        <v>0</v>
      </c>
      <c r="AX232" s="1134">
        <f>IF(보수일람표!AA230="","",보수일람표!AA230)</f>
        <v>0</v>
      </c>
    </row>
    <row r="233" spans="38:50">
      <c r="AL233" s="1182" t="str">
        <f>IF(보수일람표!O231="","",보수일람표!O231)</f>
        <v/>
      </c>
      <c r="AM233" s="1183" t="str">
        <f>IF(보수일람표!P231="","",보수일람표!P231)</f>
        <v/>
      </c>
      <c r="AN233" s="1184">
        <f>IF(보수일람표!S231="","",보수일람표!S231)</f>
        <v>0</v>
      </c>
      <c r="AO233" s="1185">
        <f>IF(보수일람표!R231="","",보수일람표!R231)</f>
        <v>0</v>
      </c>
      <c r="AP233" s="1118">
        <f>IF(보수일람표!S231="","",보수일람표!S231)</f>
        <v>0</v>
      </c>
      <c r="AQ233" s="1186">
        <f>IF(보수일람표!T231="","",보수일람표!T231)</f>
        <v>0</v>
      </c>
      <c r="AR233" s="1120">
        <f>IF(보수일람표!U231="","",보수일람표!U231)</f>
        <v>0</v>
      </c>
      <c r="AS233" s="1121">
        <f>IF(보수일람표!V231="","",보수일람표!V231)</f>
        <v>0</v>
      </c>
      <c r="AT233" s="1122">
        <f>IF(보수일람표!W231="","",보수일람표!W231)</f>
        <v>0</v>
      </c>
      <c r="AU233" s="1123">
        <f>IF(보수일람표!X231="","",보수일람표!X231)</f>
        <v>0</v>
      </c>
      <c r="AV233" s="1124">
        <f>IF(보수일람표!Y231="","",보수일람표!Y231)</f>
        <v>0</v>
      </c>
      <c r="AW233" s="1187">
        <f>IF(보수일람표!Z231="","",보수일람표!Z231)</f>
        <v>0</v>
      </c>
      <c r="AX233" s="1134">
        <f>IF(보수일람표!AA231="","",보수일람표!AA231)</f>
        <v>0</v>
      </c>
    </row>
    <row r="234" spans="38:50">
      <c r="AL234" s="1182" t="str">
        <f>IF(보수일람표!O232="","",보수일람표!O232)</f>
        <v/>
      </c>
      <c r="AM234" s="1183" t="str">
        <f>IF(보수일람표!P232="","",보수일람표!P232)</f>
        <v/>
      </c>
      <c r="AN234" s="1184">
        <f>IF(보수일람표!S232="","",보수일람표!S232)</f>
        <v>0</v>
      </c>
      <c r="AO234" s="1185">
        <f>IF(보수일람표!R232="","",보수일람표!R232)</f>
        <v>0</v>
      </c>
      <c r="AP234" s="1118">
        <f>IF(보수일람표!S232="","",보수일람표!S232)</f>
        <v>0</v>
      </c>
      <c r="AQ234" s="1186">
        <f>IF(보수일람표!T232="","",보수일람표!T232)</f>
        <v>0</v>
      </c>
      <c r="AR234" s="1120">
        <f>IF(보수일람표!U232="","",보수일람표!U232)</f>
        <v>0</v>
      </c>
      <c r="AS234" s="1121">
        <f>IF(보수일람표!V232="","",보수일람표!V232)</f>
        <v>0</v>
      </c>
      <c r="AT234" s="1122">
        <f>IF(보수일람표!W232="","",보수일람표!W232)</f>
        <v>0</v>
      </c>
      <c r="AU234" s="1123">
        <f>IF(보수일람표!X232="","",보수일람표!X232)</f>
        <v>0</v>
      </c>
      <c r="AV234" s="1124">
        <f>IF(보수일람표!Y232="","",보수일람표!Y232)</f>
        <v>0</v>
      </c>
      <c r="AW234" s="1187">
        <f>IF(보수일람표!Z232="","",보수일람표!Z232)</f>
        <v>0</v>
      </c>
      <c r="AX234" s="1134">
        <f>IF(보수일람표!AA232="","",보수일람표!AA232)</f>
        <v>0</v>
      </c>
    </row>
    <row r="235" spans="38:50">
      <c r="AL235" s="1182" t="str">
        <f>IF(보수일람표!O233="","",보수일람표!O233)</f>
        <v/>
      </c>
      <c r="AM235" s="1183" t="str">
        <f>IF(보수일람표!P233="","",보수일람표!P233)</f>
        <v/>
      </c>
      <c r="AN235" s="1184">
        <f>IF(보수일람표!S233="","",보수일람표!S233)</f>
        <v>0</v>
      </c>
      <c r="AO235" s="1185">
        <f>IF(보수일람표!R233="","",보수일람표!R233)</f>
        <v>0</v>
      </c>
      <c r="AP235" s="1118">
        <f>IF(보수일람표!S233="","",보수일람표!S233)</f>
        <v>0</v>
      </c>
      <c r="AQ235" s="1186">
        <f>IF(보수일람표!T233="","",보수일람표!T233)</f>
        <v>0</v>
      </c>
      <c r="AR235" s="1120">
        <f>IF(보수일람표!U233="","",보수일람표!U233)</f>
        <v>0</v>
      </c>
      <c r="AS235" s="1121">
        <f>IF(보수일람표!V233="","",보수일람표!V233)</f>
        <v>0</v>
      </c>
      <c r="AT235" s="1122">
        <f>IF(보수일람표!W233="","",보수일람표!W233)</f>
        <v>0</v>
      </c>
      <c r="AU235" s="1123">
        <f>IF(보수일람표!X233="","",보수일람표!X233)</f>
        <v>0</v>
      </c>
      <c r="AV235" s="1124">
        <f>IF(보수일람표!Y233="","",보수일람표!Y233)</f>
        <v>0</v>
      </c>
      <c r="AW235" s="1187">
        <f>IF(보수일람표!Z233="","",보수일람표!Z233)</f>
        <v>0</v>
      </c>
      <c r="AX235" s="1134">
        <f>IF(보수일람표!AA233="","",보수일람표!AA233)</f>
        <v>0</v>
      </c>
    </row>
    <row r="236" spans="38:50">
      <c r="AL236" s="1182" t="str">
        <f>IF(보수일람표!O234="","",보수일람표!O234)</f>
        <v/>
      </c>
      <c r="AM236" s="1183" t="str">
        <f>IF(보수일람표!P234="","",보수일람표!P234)</f>
        <v/>
      </c>
      <c r="AN236" s="1184">
        <f>IF(보수일람표!S234="","",보수일람표!S234)</f>
        <v>0</v>
      </c>
      <c r="AO236" s="1185">
        <f>IF(보수일람표!R234="","",보수일람표!R234)</f>
        <v>0</v>
      </c>
      <c r="AP236" s="1118">
        <f>IF(보수일람표!S234="","",보수일람표!S234)</f>
        <v>0</v>
      </c>
      <c r="AQ236" s="1186">
        <f>IF(보수일람표!T234="","",보수일람표!T234)</f>
        <v>0</v>
      </c>
      <c r="AR236" s="1120">
        <f>IF(보수일람표!U234="","",보수일람표!U234)</f>
        <v>0</v>
      </c>
      <c r="AS236" s="1121">
        <f>IF(보수일람표!V234="","",보수일람표!V234)</f>
        <v>0</v>
      </c>
      <c r="AT236" s="1122">
        <f>IF(보수일람표!W234="","",보수일람표!W234)</f>
        <v>0</v>
      </c>
      <c r="AU236" s="1123">
        <f>IF(보수일람표!X234="","",보수일람표!X234)</f>
        <v>0</v>
      </c>
      <c r="AV236" s="1124">
        <f>IF(보수일람표!Y234="","",보수일람표!Y234)</f>
        <v>0</v>
      </c>
      <c r="AW236" s="1187">
        <f>IF(보수일람표!Z234="","",보수일람표!Z234)</f>
        <v>0</v>
      </c>
      <c r="AX236" s="1134">
        <f>IF(보수일람표!AA234="","",보수일람표!AA234)</f>
        <v>0</v>
      </c>
    </row>
    <row r="237" spans="38:50">
      <c r="AL237" s="1182" t="str">
        <f>IF(보수일람표!O235="","",보수일람표!O235)</f>
        <v/>
      </c>
      <c r="AM237" s="1183" t="str">
        <f>IF(보수일람표!P235="","",보수일람표!P235)</f>
        <v/>
      </c>
      <c r="AN237" s="1184">
        <f>IF(보수일람표!S235="","",보수일람표!S235)</f>
        <v>0</v>
      </c>
      <c r="AO237" s="1185">
        <f>IF(보수일람표!R235="","",보수일람표!R235)</f>
        <v>0</v>
      </c>
      <c r="AP237" s="1118">
        <f>IF(보수일람표!S235="","",보수일람표!S235)</f>
        <v>0</v>
      </c>
      <c r="AQ237" s="1186">
        <f>IF(보수일람표!T235="","",보수일람표!T235)</f>
        <v>0</v>
      </c>
      <c r="AR237" s="1120">
        <f>IF(보수일람표!U235="","",보수일람표!U235)</f>
        <v>0</v>
      </c>
      <c r="AS237" s="1121">
        <f>IF(보수일람표!V235="","",보수일람표!V235)</f>
        <v>0</v>
      </c>
      <c r="AT237" s="1122">
        <f>IF(보수일람표!W235="","",보수일람표!W235)</f>
        <v>0</v>
      </c>
      <c r="AU237" s="1123">
        <f>IF(보수일람표!X235="","",보수일람표!X235)</f>
        <v>0</v>
      </c>
      <c r="AV237" s="1124">
        <f>IF(보수일람표!Y235="","",보수일람표!Y235)</f>
        <v>0</v>
      </c>
      <c r="AW237" s="1187">
        <f>IF(보수일람표!Z235="","",보수일람표!Z235)</f>
        <v>0</v>
      </c>
      <c r="AX237" s="1134">
        <f>IF(보수일람표!AA235="","",보수일람표!AA235)</f>
        <v>0</v>
      </c>
    </row>
    <row r="238" spans="38:50">
      <c r="AL238" s="1182" t="str">
        <f>IF(보수일람표!O236="","",보수일람표!O236)</f>
        <v/>
      </c>
      <c r="AM238" s="1183" t="str">
        <f>IF(보수일람표!P236="","",보수일람표!P236)</f>
        <v/>
      </c>
      <c r="AN238" s="1184">
        <f>IF(보수일람표!S236="","",보수일람표!S236)</f>
        <v>0</v>
      </c>
      <c r="AO238" s="1185">
        <f>IF(보수일람표!R236="","",보수일람표!R236)</f>
        <v>0</v>
      </c>
      <c r="AP238" s="1118">
        <f>IF(보수일람표!S236="","",보수일람표!S236)</f>
        <v>0</v>
      </c>
      <c r="AQ238" s="1186">
        <f>IF(보수일람표!T236="","",보수일람표!T236)</f>
        <v>0</v>
      </c>
      <c r="AR238" s="1120">
        <f>IF(보수일람표!U236="","",보수일람표!U236)</f>
        <v>0</v>
      </c>
      <c r="AS238" s="1121">
        <f>IF(보수일람표!V236="","",보수일람표!V236)</f>
        <v>0</v>
      </c>
      <c r="AT238" s="1122">
        <f>IF(보수일람표!W236="","",보수일람표!W236)</f>
        <v>0</v>
      </c>
      <c r="AU238" s="1123">
        <f>IF(보수일람표!X236="","",보수일람표!X236)</f>
        <v>0</v>
      </c>
      <c r="AV238" s="1124">
        <f>IF(보수일람표!Y236="","",보수일람표!Y236)</f>
        <v>0</v>
      </c>
      <c r="AW238" s="1187">
        <f>IF(보수일람표!Z236="","",보수일람표!Z236)</f>
        <v>0</v>
      </c>
      <c r="AX238" s="1134">
        <f>IF(보수일람표!AA236="","",보수일람표!AA236)</f>
        <v>0</v>
      </c>
    </row>
    <row r="239" spans="38:50">
      <c r="AL239" s="1182" t="str">
        <f>IF(보수일람표!O237="","",보수일람표!O237)</f>
        <v/>
      </c>
      <c r="AM239" s="1183" t="str">
        <f>IF(보수일람표!P237="","",보수일람표!P237)</f>
        <v/>
      </c>
      <c r="AN239" s="1184">
        <f>IF(보수일람표!S237="","",보수일람표!S237)</f>
        <v>0</v>
      </c>
      <c r="AO239" s="1185">
        <f>IF(보수일람표!R237="","",보수일람표!R237)</f>
        <v>0</v>
      </c>
      <c r="AP239" s="1118">
        <f>IF(보수일람표!S237="","",보수일람표!S237)</f>
        <v>0</v>
      </c>
      <c r="AQ239" s="1186">
        <f>IF(보수일람표!T237="","",보수일람표!T237)</f>
        <v>0</v>
      </c>
      <c r="AR239" s="1120">
        <f>IF(보수일람표!U237="","",보수일람표!U237)</f>
        <v>0</v>
      </c>
      <c r="AS239" s="1121">
        <f>IF(보수일람표!V237="","",보수일람표!V237)</f>
        <v>0</v>
      </c>
      <c r="AT239" s="1122">
        <f>IF(보수일람표!W237="","",보수일람표!W237)</f>
        <v>0</v>
      </c>
      <c r="AU239" s="1123">
        <f>IF(보수일람표!X237="","",보수일람표!X237)</f>
        <v>0</v>
      </c>
      <c r="AV239" s="1124">
        <f>IF(보수일람표!Y237="","",보수일람표!Y237)</f>
        <v>0</v>
      </c>
      <c r="AW239" s="1187">
        <f>IF(보수일람표!Z237="","",보수일람표!Z237)</f>
        <v>0</v>
      </c>
      <c r="AX239" s="1134">
        <f>IF(보수일람표!AA237="","",보수일람표!AA237)</f>
        <v>0</v>
      </c>
    </row>
    <row r="240" spans="38:50">
      <c r="AL240" s="1182" t="str">
        <f>IF(보수일람표!O238="","",보수일람표!O238)</f>
        <v/>
      </c>
      <c r="AM240" s="1183" t="str">
        <f>IF(보수일람표!P238="","",보수일람표!P238)</f>
        <v/>
      </c>
      <c r="AN240" s="1184">
        <f>IF(보수일람표!S238="","",보수일람표!S238)</f>
        <v>0</v>
      </c>
      <c r="AO240" s="1185">
        <f>IF(보수일람표!R238="","",보수일람표!R238)</f>
        <v>0</v>
      </c>
      <c r="AP240" s="1118">
        <f>IF(보수일람표!S238="","",보수일람표!S238)</f>
        <v>0</v>
      </c>
      <c r="AQ240" s="1186">
        <f>IF(보수일람표!T238="","",보수일람표!T238)</f>
        <v>0</v>
      </c>
      <c r="AR240" s="1120">
        <f>IF(보수일람표!U238="","",보수일람표!U238)</f>
        <v>0</v>
      </c>
      <c r="AS240" s="1121">
        <f>IF(보수일람표!V238="","",보수일람표!V238)</f>
        <v>0</v>
      </c>
      <c r="AT240" s="1122">
        <f>IF(보수일람표!W238="","",보수일람표!W238)</f>
        <v>0</v>
      </c>
      <c r="AU240" s="1123">
        <f>IF(보수일람표!X238="","",보수일람표!X238)</f>
        <v>0</v>
      </c>
      <c r="AV240" s="1124">
        <f>IF(보수일람표!Y238="","",보수일람표!Y238)</f>
        <v>0</v>
      </c>
      <c r="AW240" s="1187">
        <f>IF(보수일람표!Z238="","",보수일람표!Z238)</f>
        <v>0</v>
      </c>
      <c r="AX240" s="1134">
        <f>IF(보수일람표!AA238="","",보수일람표!AA238)</f>
        <v>0</v>
      </c>
    </row>
    <row r="241" spans="38:50">
      <c r="AL241" s="1182" t="str">
        <f>IF(보수일람표!O239="","",보수일람표!O239)</f>
        <v/>
      </c>
      <c r="AM241" s="1183" t="str">
        <f>IF(보수일람표!P239="","",보수일람표!P239)</f>
        <v/>
      </c>
      <c r="AN241" s="1184">
        <f>IF(보수일람표!S239="","",보수일람표!S239)</f>
        <v>0</v>
      </c>
      <c r="AO241" s="1185">
        <f>IF(보수일람표!R239="","",보수일람표!R239)</f>
        <v>0</v>
      </c>
      <c r="AP241" s="1118">
        <f>IF(보수일람표!S239="","",보수일람표!S239)</f>
        <v>0</v>
      </c>
      <c r="AQ241" s="1186">
        <f>IF(보수일람표!T239="","",보수일람표!T239)</f>
        <v>0</v>
      </c>
      <c r="AR241" s="1120">
        <f>IF(보수일람표!U239="","",보수일람표!U239)</f>
        <v>0</v>
      </c>
      <c r="AS241" s="1121">
        <f>IF(보수일람표!V239="","",보수일람표!V239)</f>
        <v>0</v>
      </c>
      <c r="AT241" s="1122">
        <f>IF(보수일람표!W239="","",보수일람표!W239)</f>
        <v>0</v>
      </c>
      <c r="AU241" s="1123">
        <f>IF(보수일람표!X239="","",보수일람표!X239)</f>
        <v>0</v>
      </c>
      <c r="AV241" s="1124">
        <f>IF(보수일람표!Y239="","",보수일람표!Y239)</f>
        <v>0</v>
      </c>
      <c r="AW241" s="1187">
        <f>IF(보수일람표!Z239="","",보수일람표!Z239)</f>
        <v>0</v>
      </c>
      <c r="AX241" s="1134">
        <f>IF(보수일람표!AA239="","",보수일람표!AA239)</f>
        <v>0</v>
      </c>
    </row>
    <row r="242" spans="38:50">
      <c r="AL242" s="1182" t="str">
        <f>IF(보수일람표!O240="","",보수일람표!O240)</f>
        <v/>
      </c>
      <c r="AM242" s="1183" t="str">
        <f>IF(보수일람표!P240="","",보수일람표!P240)</f>
        <v/>
      </c>
      <c r="AN242" s="1184">
        <f>IF(보수일람표!S240="","",보수일람표!S240)</f>
        <v>0</v>
      </c>
      <c r="AO242" s="1185">
        <f>IF(보수일람표!R240="","",보수일람표!R240)</f>
        <v>0</v>
      </c>
      <c r="AP242" s="1118">
        <f>IF(보수일람표!S240="","",보수일람표!S240)</f>
        <v>0</v>
      </c>
      <c r="AQ242" s="1186">
        <f>IF(보수일람표!T240="","",보수일람표!T240)</f>
        <v>0</v>
      </c>
      <c r="AR242" s="1120">
        <f>IF(보수일람표!U240="","",보수일람표!U240)</f>
        <v>0</v>
      </c>
      <c r="AS242" s="1121">
        <f>IF(보수일람표!V240="","",보수일람표!V240)</f>
        <v>0</v>
      </c>
      <c r="AT242" s="1122">
        <f>IF(보수일람표!W240="","",보수일람표!W240)</f>
        <v>0</v>
      </c>
      <c r="AU242" s="1123">
        <f>IF(보수일람표!X240="","",보수일람표!X240)</f>
        <v>0</v>
      </c>
      <c r="AV242" s="1124">
        <f>IF(보수일람표!Y240="","",보수일람표!Y240)</f>
        <v>0</v>
      </c>
      <c r="AW242" s="1187">
        <f>IF(보수일람표!Z240="","",보수일람표!Z240)</f>
        <v>0</v>
      </c>
      <c r="AX242" s="1134">
        <f>IF(보수일람표!AA240="","",보수일람표!AA240)</f>
        <v>0</v>
      </c>
    </row>
    <row r="243" spans="38:50">
      <c r="AL243" s="1182" t="str">
        <f>IF(보수일람표!O241="","",보수일람표!O241)</f>
        <v/>
      </c>
      <c r="AM243" s="1183" t="str">
        <f>IF(보수일람표!P241="","",보수일람표!P241)</f>
        <v/>
      </c>
      <c r="AN243" s="1184">
        <f>IF(보수일람표!S241="","",보수일람표!S241)</f>
        <v>0</v>
      </c>
      <c r="AO243" s="1185">
        <f>IF(보수일람표!R241="","",보수일람표!R241)</f>
        <v>0</v>
      </c>
      <c r="AP243" s="1118">
        <f>IF(보수일람표!S241="","",보수일람표!S241)</f>
        <v>0</v>
      </c>
      <c r="AQ243" s="1186">
        <f>IF(보수일람표!T241="","",보수일람표!T241)</f>
        <v>0</v>
      </c>
      <c r="AR243" s="1120">
        <f>IF(보수일람표!U241="","",보수일람표!U241)</f>
        <v>0</v>
      </c>
      <c r="AS243" s="1121">
        <f>IF(보수일람표!V241="","",보수일람표!V241)</f>
        <v>0</v>
      </c>
      <c r="AT243" s="1122">
        <f>IF(보수일람표!W241="","",보수일람표!W241)</f>
        <v>0</v>
      </c>
      <c r="AU243" s="1123">
        <f>IF(보수일람표!X241="","",보수일람표!X241)</f>
        <v>0</v>
      </c>
      <c r="AV243" s="1124">
        <f>IF(보수일람표!Y241="","",보수일람표!Y241)</f>
        <v>0</v>
      </c>
      <c r="AW243" s="1187">
        <f>IF(보수일람표!Z241="","",보수일람표!Z241)</f>
        <v>0</v>
      </c>
      <c r="AX243" s="1134">
        <f>IF(보수일람표!AA241="","",보수일람표!AA241)</f>
        <v>0</v>
      </c>
    </row>
    <row r="244" spans="38:50">
      <c r="AL244" s="1182" t="str">
        <f>IF(보수일람표!O242="","",보수일람표!O242)</f>
        <v/>
      </c>
      <c r="AM244" s="1183" t="str">
        <f>IF(보수일람표!P242="","",보수일람표!P242)</f>
        <v/>
      </c>
      <c r="AN244" s="1184">
        <f>IF(보수일람표!S242="","",보수일람표!S242)</f>
        <v>0</v>
      </c>
      <c r="AO244" s="1185">
        <f>IF(보수일람표!R242="","",보수일람표!R242)</f>
        <v>0</v>
      </c>
      <c r="AP244" s="1118">
        <f>IF(보수일람표!S242="","",보수일람표!S242)</f>
        <v>0</v>
      </c>
      <c r="AQ244" s="1186">
        <f>IF(보수일람표!T242="","",보수일람표!T242)</f>
        <v>0</v>
      </c>
      <c r="AR244" s="1120">
        <f>IF(보수일람표!U242="","",보수일람표!U242)</f>
        <v>0</v>
      </c>
      <c r="AS244" s="1121">
        <f>IF(보수일람표!V242="","",보수일람표!V242)</f>
        <v>0</v>
      </c>
      <c r="AT244" s="1122">
        <f>IF(보수일람표!W242="","",보수일람표!W242)</f>
        <v>0</v>
      </c>
      <c r="AU244" s="1123">
        <f>IF(보수일람표!X242="","",보수일람표!X242)</f>
        <v>0</v>
      </c>
      <c r="AV244" s="1124">
        <f>IF(보수일람표!Y242="","",보수일람표!Y242)</f>
        <v>0</v>
      </c>
      <c r="AW244" s="1187">
        <f>IF(보수일람표!Z242="","",보수일람표!Z242)</f>
        <v>0</v>
      </c>
      <c r="AX244" s="1134">
        <f>IF(보수일람표!AA242="","",보수일람표!AA242)</f>
        <v>0</v>
      </c>
    </row>
    <row r="245" spans="38:50">
      <c r="AL245" s="1182" t="str">
        <f>IF(보수일람표!O243="","",보수일람표!O243)</f>
        <v/>
      </c>
      <c r="AM245" s="1183" t="str">
        <f>IF(보수일람표!P243="","",보수일람표!P243)</f>
        <v/>
      </c>
      <c r="AN245" s="1184">
        <f>IF(보수일람표!S243="","",보수일람표!S243)</f>
        <v>0</v>
      </c>
      <c r="AO245" s="1185">
        <f>IF(보수일람표!R243="","",보수일람표!R243)</f>
        <v>0</v>
      </c>
      <c r="AP245" s="1118">
        <f>IF(보수일람표!S243="","",보수일람표!S243)</f>
        <v>0</v>
      </c>
      <c r="AQ245" s="1186">
        <f>IF(보수일람표!T243="","",보수일람표!T243)</f>
        <v>0</v>
      </c>
      <c r="AR245" s="1120">
        <f>IF(보수일람표!U243="","",보수일람표!U243)</f>
        <v>0</v>
      </c>
      <c r="AS245" s="1121">
        <f>IF(보수일람표!V243="","",보수일람표!V243)</f>
        <v>0</v>
      </c>
      <c r="AT245" s="1122">
        <f>IF(보수일람표!W243="","",보수일람표!W243)</f>
        <v>0</v>
      </c>
      <c r="AU245" s="1123">
        <f>IF(보수일람표!X243="","",보수일람표!X243)</f>
        <v>0</v>
      </c>
      <c r="AV245" s="1124">
        <f>IF(보수일람표!Y243="","",보수일람표!Y243)</f>
        <v>0</v>
      </c>
      <c r="AW245" s="1187">
        <f>IF(보수일람표!Z243="","",보수일람표!Z243)</f>
        <v>0</v>
      </c>
      <c r="AX245" s="1134">
        <f>IF(보수일람표!AA243="","",보수일람표!AA243)</f>
        <v>0</v>
      </c>
    </row>
    <row r="246" spans="38:50">
      <c r="AL246" s="1182" t="str">
        <f>IF(보수일람표!O244="","",보수일람표!O244)</f>
        <v/>
      </c>
      <c r="AM246" s="1183" t="str">
        <f>IF(보수일람표!P244="","",보수일람표!P244)</f>
        <v/>
      </c>
      <c r="AN246" s="1184">
        <f>IF(보수일람표!S244="","",보수일람표!S244)</f>
        <v>0</v>
      </c>
      <c r="AO246" s="1185">
        <f>IF(보수일람표!R244="","",보수일람표!R244)</f>
        <v>0</v>
      </c>
      <c r="AP246" s="1118">
        <f>IF(보수일람표!S244="","",보수일람표!S244)</f>
        <v>0</v>
      </c>
      <c r="AQ246" s="1186">
        <f>IF(보수일람표!T244="","",보수일람표!T244)</f>
        <v>0</v>
      </c>
      <c r="AR246" s="1120">
        <f>IF(보수일람표!U244="","",보수일람표!U244)</f>
        <v>0</v>
      </c>
      <c r="AS246" s="1121">
        <f>IF(보수일람표!V244="","",보수일람표!V244)</f>
        <v>0</v>
      </c>
      <c r="AT246" s="1122">
        <f>IF(보수일람표!W244="","",보수일람표!W244)</f>
        <v>0</v>
      </c>
      <c r="AU246" s="1123">
        <f>IF(보수일람표!X244="","",보수일람표!X244)</f>
        <v>0</v>
      </c>
      <c r="AV246" s="1124">
        <f>IF(보수일람표!Y244="","",보수일람표!Y244)</f>
        <v>0</v>
      </c>
      <c r="AW246" s="1187">
        <f>IF(보수일람표!Z244="","",보수일람표!Z244)</f>
        <v>0</v>
      </c>
      <c r="AX246" s="1134">
        <f>IF(보수일람표!AA244="","",보수일람표!AA244)</f>
        <v>0</v>
      </c>
    </row>
    <row r="247" spans="38:50">
      <c r="AL247" s="1182" t="str">
        <f>IF(보수일람표!O245="","",보수일람표!O245)</f>
        <v/>
      </c>
      <c r="AM247" s="1183" t="str">
        <f>IF(보수일람표!P245="","",보수일람표!P245)</f>
        <v/>
      </c>
      <c r="AN247" s="1184">
        <f>IF(보수일람표!S245="","",보수일람표!S245)</f>
        <v>0</v>
      </c>
      <c r="AO247" s="1185">
        <f>IF(보수일람표!R245="","",보수일람표!R245)</f>
        <v>0</v>
      </c>
      <c r="AP247" s="1118">
        <f>IF(보수일람표!S245="","",보수일람표!S245)</f>
        <v>0</v>
      </c>
      <c r="AQ247" s="1186">
        <f>IF(보수일람표!T245="","",보수일람표!T245)</f>
        <v>0</v>
      </c>
      <c r="AR247" s="1120">
        <f>IF(보수일람표!U245="","",보수일람표!U245)</f>
        <v>0</v>
      </c>
      <c r="AS247" s="1121">
        <f>IF(보수일람표!V245="","",보수일람표!V245)</f>
        <v>0</v>
      </c>
      <c r="AT247" s="1122">
        <f>IF(보수일람표!W245="","",보수일람표!W245)</f>
        <v>0</v>
      </c>
      <c r="AU247" s="1123">
        <f>IF(보수일람표!X245="","",보수일람표!X245)</f>
        <v>0</v>
      </c>
      <c r="AV247" s="1124">
        <f>IF(보수일람표!Y245="","",보수일람표!Y245)</f>
        <v>0</v>
      </c>
      <c r="AW247" s="1187">
        <f>IF(보수일람표!Z245="","",보수일람표!Z245)</f>
        <v>0</v>
      </c>
      <c r="AX247" s="1134">
        <f>IF(보수일람표!AA245="","",보수일람표!AA245)</f>
        <v>0</v>
      </c>
    </row>
    <row r="248" spans="38:50">
      <c r="AL248" s="1182" t="str">
        <f>IF(보수일람표!O246="","",보수일람표!O246)</f>
        <v/>
      </c>
      <c r="AM248" s="1183" t="str">
        <f>IF(보수일람표!P246="","",보수일람표!P246)</f>
        <v/>
      </c>
      <c r="AN248" s="1184">
        <f>IF(보수일람표!S246="","",보수일람표!S246)</f>
        <v>0</v>
      </c>
      <c r="AO248" s="1185">
        <f>IF(보수일람표!R246="","",보수일람표!R246)</f>
        <v>0</v>
      </c>
      <c r="AP248" s="1118">
        <f>IF(보수일람표!S246="","",보수일람표!S246)</f>
        <v>0</v>
      </c>
      <c r="AQ248" s="1186">
        <f>IF(보수일람표!T246="","",보수일람표!T246)</f>
        <v>0</v>
      </c>
      <c r="AR248" s="1120">
        <f>IF(보수일람표!U246="","",보수일람표!U246)</f>
        <v>0</v>
      </c>
      <c r="AS248" s="1121">
        <f>IF(보수일람표!V246="","",보수일람표!V246)</f>
        <v>0</v>
      </c>
      <c r="AT248" s="1122">
        <f>IF(보수일람표!W246="","",보수일람표!W246)</f>
        <v>0</v>
      </c>
      <c r="AU248" s="1123">
        <f>IF(보수일람표!X246="","",보수일람표!X246)</f>
        <v>0</v>
      </c>
      <c r="AV248" s="1124">
        <f>IF(보수일람표!Y246="","",보수일람표!Y246)</f>
        <v>0</v>
      </c>
      <c r="AW248" s="1187">
        <f>IF(보수일람표!Z246="","",보수일람표!Z246)</f>
        <v>0</v>
      </c>
      <c r="AX248" s="1134">
        <f>IF(보수일람표!AA246="","",보수일람표!AA246)</f>
        <v>0</v>
      </c>
    </row>
    <row r="249" spans="38:50">
      <c r="AL249" s="1182" t="str">
        <f>IF(보수일람표!O247="","",보수일람표!O247)</f>
        <v/>
      </c>
      <c r="AM249" s="1183" t="str">
        <f>IF(보수일람표!P247="","",보수일람표!P247)</f>
        <v/>
      </c>
      <c r="AN249" s="1184">
        <f>IF(보수일람표!S247="","",보수일람표!S247)</f>
        <v>0</v>
      </c>
      <c r="AO249" s="1185">
        <f>IF(보수일람표!R247="","",보수일람표!R247)</f>
        <v>0</v>
      </c>
      <c r="AP249" s="1118">
        <f>IF(보수일람표!S247="","",보수일람표!S247)</f>
        <v>0</v>
      </c>
      <c r="AQ249" s="1186">
        <f>IF(보수일람표!T247="","",보수일람표!T247)</f>
        <v>0</v>
      </c>
      <c r="AR249" s="1120">
        <f>IF(보수일람표!U247="","",보수일람표!U247)</f>
        <v>0</v>
      </c>
      <c r="AS249" s="1121">
        <f>IF(보수일람표!V247="","",보수일람표!V247)</f>
        <v>0</v>
      </c>
      <c r="AT249" s="1122">
        <f>IF(보수일람표!W247="","",보수일람표!W247)</f>
        <v>0</v>
      </c>
      <c r="AU249" s="1123">
        <f>IF(보수일람표!X247="","",보수일람표!X247)</f>
        <v>0</v>
      </c>
      <c r="AV249" s="1124">
        <f>IF(보수일람표!Y247="","",보수일람표!Y247)</f>
        <v>0</v>
      </c>
      <c r="AW249" s="1187">
        <f>IF(보수일람표!Z247="","",보수일람표!Z247)</f>
        <v>0</v>
      </c>
      <c r="AX249" s="1134">
        <f>IF(보수일람표!AA247="","",보수일람표!AA247)</f>
        <v>0</v>
      </c>
    </row>
    <row r="250" spans="38:50">
      <c r="AL250" s="1182" t="str">
        <f>IF(보수일람표!O248="","",보수일람표!O248)</f>
        <v/>
      </c>
      <c r="AM250" s="1183" t="str">
        <f>IF(보수일람표!P248="","",보수일람표!P248)</f>
        <v/>
      </c>
      <c r="AN250" s="1184">
        <f>IF(보수일람표!S248="","",보수일람표!S248)</f>
        <v>0</v>
      </c>
      <c r="AO250" s="1185">
        <f>IF(보수일람표!R248="","",보수일람표!R248)</f>
        <v>0</v>
      </c>
      <c r="AP250" s="1118">
        <f>IF(보수일람표!S248="","",보수일람표!S248)</f>
        <v>0</v>
      </c>
      <c r="AQ250" s="1186">
        <f>IF(보수일람표!T248="","",보수일람표!T248)</f>
        <v>0</v>
      </c>
      <c r="AR250" s="1120">
        <f>IF(보수일람표!U248="","",보수일람표!U248)</f>
        <v>0</v>
      </c>
      <c r="AS250" s="1121">
        <f>IF(보수일람표!V248="","",보수일람표!V248)</f>
        <v>0</v>
      </c>
      <c r="AT250" s="1122">
        <f>IF(보수일람표!W248="","",보수일람표!W248)</f>
        <v>0</v>
      </c>
      <c r="AU250" s="1123">
        <f>IF(보수일람표!X248="","",보수일람표!X248)</f>
        <v>0</v>
      </c>
      <c r="AV250" s="1124">
        <f>IF(보수일람표!Y248="","",보수일람표!Y248)</f>
        <v>0</v>
      </c>
      <c r="AW250" s="1187">
        <f>IF(보수일람표!Z248="","",보수일람표!Z248)</f>
        <v>0</v>
      </c>
      <c r="AX250" s="1134">
        <f>IF(보수일람표!AA248="","",보수일람표!AA248)</f>
        <v>0</v>
      </c>
    </row>
    <row r="251" spans="38:50">
      <c r="AL251" s="1182" t="str">
        <f>IF(보수일람표!O249="","",보수일람표!O249)</f>
        <v/>
      </c>
      <c r="AM251" s="1183" t="str">
        <f>IF(보수일람표!P249="","",보수일람표!P249)</f>
        <v/>
      </c>
      <c r="AN251" s="1184">
        <f>IF(보수일람표!S249="","",보수일람표!S249)</f>
        <v>0</v>
      </c>
      <c r="AO251" s="1185">
        <f>IF(보수일람표!R249="","",보수일람표!R249)</f>
        <v>0</v>
      </c>
      <c r="AP251" s="1118">
        <f>IF(보수일람표!S249="","",보수일람표!S249)</f>
        <v>0</v>
      </c>
      <c r="AQ251" s="1186">
        <f>IF(보수일람표!T249="","",보수일람표!T249)</f>
        <v>0</v>
      </c>
      <c r="AR251" s="1120">
        <f>IF(보수일람표!U249="","",보수일람표!U249)</f>
        <v>0</v>
      </c>
      <c r="AS251" s="1121">
        <f>IF(보수일람표!V249="","",보수일람표!V249)</f>
        <v>0</v>
      </c>
      <c r="AT251" s="1122">
        <f>IF(보수일람표!W249="","",보수일람표!W249)</f>
        <v>0</v>
      </c>
      <c r="AU251" s="1123">
        <f>IF(보수일람표!X249="","",보수일람표!X249)</f>
        <v>0</v>
      </c>
      <c r="AV251" s="1124">
        <f>IF(보수일람표!Y249="","",보수일람표!Y249)</f>
        <v>0</v>
      </c>
      <c r="AW251" s="1187">
        <f>IF(보수일람표!Z249="","",보수일람표!Z249)</f>
        <v>0</v>
      </c>
      <c r="AX251" s="1134">
        <f>IF(보수일람표!AA249="","",보수일람표!AA249)</f>
        <v>0</v>
      </c>
    </row>
    <row r="252" spans="38:50">
      <c r="AL252" s="1182" t="str">
        <f>IF(보수일람표!O250="","",보수일람표!O250)</f>
        <v/>
      </c>
      <c r="AM252" s="1183" t="str">
        <f>IF(보수일람표!P250="","",보수일람표!P250)</f>
        <v/>
      </c>
      <c r="AN252" s="1184">
        <f>IF(보수일람표!S250="","",보수일람표!S250)</f>
        <v>0</v>
      </c>
      <c r="AO252" s="1185">
        <f>IF(보수일람표!R250="","",보수일람표!R250)</f>
        <v>0</v>
      </c>
      <c r="AP252" s="1118">
        <f>IF(보수일람표!S250="","",보수일람표!S250)</f>
        <v>0</v>
      </c>
      <c r="AQ252" s="1186">
        <f>IF(보수일람표!T250="","",보수일람표!T250)</f>
        <v>0</v>
      </c>
      <c r="AR252" s="1120">
        <f>IF(보수일람표!U250="","",보수일람표!U250)</f>
        <v>0</v>
      </c>
      <c r="AS252" s="1121">
        <f>IF(보수일람표!V250="","",보수일람표!V250)</f>
        <v>0</v>
      </c>
      <c r="AT252" s="1122">
        <f>IF(보수일람표!W250="","",보수일람표!W250)</f>
        <v>0</v>
      </c>
      <c r="AU252" s="1123">
        <f>IF(보수일람표!X250="","",보수일람표!X250)</f>
        <v>0</v>
      </c>
      <c r="AV252" s="1124">
        <f>IF(보수일람표!Y250="","",보수일람표!Y250)</f>
        <v>0</v>
      </c>
      <c r="AW252" s="1187">
        <f>IF(보수일람표!Z250="","",보수일람표!Z250)</f>
        <v>0</v>
      </c>
      <c r="AX252" s="1134">
        <f>IF(보수일람표!AA250="","",보수일람표!AA250)</f>
        <v>0</v>
      </c>
    </row>
    <row r="253" spans="38:50">
      <c r="AL253" s="1182" t="str">
        <f>IF(보수일람표!O251="","",보수일람표!O251)</f>
        <v/>
      </c>
      <c r="AM253" s="1183" t="str">
        <f>IF(보수일람표!P251="","",보수일람표!P251)</f>
        <v/>
      </c>
      <c r="AN253" s="1184">
        <f>IF(보수일람표!S251="","",보수일람표!S251)</f>
        <v>0</v>
      </c>
      <c r="AO253" s="1185">
        <f>IF(보수일람표!R251="","",보수일람표!R251)</f>
        <v>0</v>
      </c>
      <c r="AP253" s="1118">
        <f>IF(보수일람표!S251="","",보수일람표!S251)</f>
        <v>0</v>
      </c>
      <c r="AQ253" s="1186">
        <f>IF(보수일람표!T251="","",보수일람표!T251)</f>
        <v>0</v>
      </c>
      <c r="AR253" s="1120">
        <f>IF(보수일람표!U251="","",보수일람표!U251)</f>
        <v>0</v>
      </c>
      <c r="AS253" s="1121">
        <f>IF(보수일람표!V251="","",보수일람표!V251)</f>
        <v>0</v>
      </c>
      <c r="AT253" s="1122">
        <f>IF(보수일람표!W251="","",보수일람표!W251)</f>
        <v>0</v>
      </c>
      <c r="AU253" s="1123">
        <f>IF(보수일람표!X251="","",보수일람표!X251)</f>
        <v>0</v>
      </c>
      <c r="AV253" s="1124">
        <f>IF(보수일람표!Y251="","",보수일람표!Y251)</f>
        <v>0</v>
      </c>
      <c r="AW253" s="1187">
        <f>IF(보수일람표!Z251="","",보수일람표!Z251)</f>
        <v>0</v>
      </c>
      <c r="AX253" s="1134">
        <f>IF(보수일람표!AA251="","",보수일람표!AA251)</f>
        <v>0</v>
      </c>
    </row>
    <row r="254" spans="38:50">
      <c r="AL254" s="1182" t="str">
        <f>IF(보수일람표!O252="","",보수일람표!O252)</f>
        <v/>
      </c>
      <c r="AM254" s="1183" t="str">
        <f>IF(보수일람표!P252="","",보수일람표!P252)</f>
        <v/>
      </c>
      <c r="AN254" s="1184">
        <f>IF(보수일람표!S252="","",보수일람표!S252)</f>
        <v>0</v>
      </c>
      <c r="AO254" s="1185">
        <f>IF(보수일람표!R252="","",보수일람표!R252)</f>
        <v>0</v>
      </c>
      <c r="AP254" s="1118">
        <f>IF(보수일람표!S252="","",보수일람표!S252)</f>
        <v>0</v>
      </c>
      <c r="AQ254" s="1186">
        <f>IF(보수일람표!T252="","",보수일람표!T252)</f>
        <v>0</v>
      </c>
      <c r="AR254" s="1120">
        <f>IF(보수일람표!U252="","",보수일람표!U252)</f>
        <v>0</v>
      </c>
      <c r="AS254" s="1121">
        <f>IF(보수일람표!V252="","",보수일람표!V252)</f>
        <v>0</v>
      </c>
      <c r="AT254" s="1122">
        <f>IF(보수일람표!W252="","",보수일람표!W252)</f>
        <v>0</v>
      </c>
      <c r="AU254" s="1123">
        <f>IF(보수일람표!X252="","",보수일람표!X252)</f>
        <v>0</v>
      </c>
      <c r="AV254" s="1124">
        <f>IF(보수일람표!Y252="","",보수일람표!Y252)</f>
        <v>0</v>
      </c>
      <c r="AW254" s="1187">
        <f>IF(보수일람표!Z252="","",보수일람표!Z252)</f>
        <v>0</v>
      </c>
      <c r="AX254" s="1134">
        <f>IF(보수일람표!AA252="","",보수일람표!AA252)</f>
        <v>0</v>
      </c>
    </row>
    <row r="255" spans="38:50">
      <c r="AL255" s="1182" t="str">
        <f>IF(보수일람표!O253="","",보수일람표!O253)</f>
        <v/>
      </c>
      <c r="AM255" s="1183" t="str">
        <f>IF(보수일람표!P253="","",보수일람표!P253)</f>
        <v/>
      </c>
      <c r="AN255" s="1184">
        <f>IF(보수일람표!S253="","",보수일람표!S253)</f>
        <v>0</v>
      </c>
      <c r="AO255" s="1185">
        <f>IF(보수일람표!R253="","",보수일람표!R253)</f>
        <v>0</v>
      </c>
      <c r="AP255" s="1118">
        <f>IF(보수일람표!S253="","",보수일람표!S253)</f>
        <v>0</v>
      </c>
      <c r="AQ255" s="1186">
        <f>IF(보수일람표!T253="","",보수일람표!T253)</f>
        <v>0</v>
      </c>
      <c r="AR255" s="1120">
        <f>IF(보수일람표!U253="","",보수일람표!U253)</f>
        <v>0</v>
      </c>
      <c r="AS255" s="1121">
        <f>IF(보수일람표!V253="","",보수일람표!V253)</f>
        <v>0</v>
      </c>
      <c r="AT255" s="1122">
        <f>IF(보수일람표!W253="","",보수일람표!W253)</f>
        <v>0</v>
      </c>
      <c r="AU255" s="1123">
        <f>IF(보수일람표!X253="","",보수일람표!X253)</f>
        <v>0</v>
      </c>
      <c r="AV255" s="1124">
        <f>IF(보수일람표!Y253="","",보수일람표!Y253)</f>
        <v>0</v>
      </c>
      <c r="AW255" s="1187">
        <f>IF(보수일람표!Z253="","",보수일람표!Z253)</f>
        <v>0</v>
      </c>
      <c r="AX255" s="1134">
        <f>IF(보수일람표!AA253="","",보수일람표!AA253)</f>
        <v>0</v>
      </c>
    </row>
    <row r="256" spans="38:50">
      <c r="AL256" s="1182" t="str">
        <f>IF(보수일람표!O254="","",보수일람표!O254)</f>
        <v/>
      </c>
      <c r="AM256" s="1183" t="str">
        <f>IF(보수일람표!P254="","",보수일람표!P254)</f>
        <v/>
      </c>
      <c r="AN256" s="1184">
        <f>IF(보수일람표!S254="","",보수일람표!S254)</f>
        <v>0</v>
      </c>
      <c r="AO256" s="1185">
        <f>IF(보수일람표!R254="","",보수일람표!R254)</f>
        <v>0</v>
      </c>
      <c r="AP256" s="1118">
        <f>IF(보수일람표!S254="","",보수일람표!S254)</f>
        <v>0</v>
      </c>
      <c r="AQ256" s="1186">
        <f>IF(보수일람표!T254="","",보수일람표!T254)</f>
        <v>0</v>
      </c>
      <c r="AR256" s="1120">
        <f>IF(보수일람표!U254="","",보수일람표!U254)</f>
        <v>0</v>
      </c>
      <c r="AS256" s="1121">
        <f>IF(보수일람표!V254="","",보수일람표!V254)</f>
        <v>0</v>
      </c>
      <c r="AT256" s="1122">
        <f>IF(보수일람표!W254="","",보수일람표!W254)</f>
        <v>0</v>
      </c>
      <c r="AU256" s="1123">
        <f>IF(보수일람표!X254="","",보수일람표!X254)</f>
        <v>0</v>
      </c>
      <c r="AV256" s="1124">
        <f>IF(보수일람표!Y254="","",보수일람표!Y254)</f>
        <v>0</v>
      </c>
      <c r="AW256" s="1187">
        <f>IF(보수일람표!Z254="","",보수일람표!Z254)</f>
        <v>0</v>
      </c>
      <c r="AX256" s="1134">
        <f>IF(보수일람표!AA254="","",보수일람표!AA254)</f>
        <v>0</v>
      </c>
    </row>
    <row r="257" spans="38:50">
      <c r="AL257" s="1182" t="str">
        <f>IF(보수일람표!O255="","",보수일람표!O255)</f>
        <v/>
      </c>
      <c r="AM257" s="1183" t="str">
        <f>IF(보수일람표!P255="","",보수일람표!P255)</f>
        <v/>
      </c>
      <c r="AN257" s="1184">
        <f>IF(보수일람표!S255="","",보수일람표!S255)</f>
        <v>0</v>
      </c>
      <c r="AO257" s="1185">
        <f>IF(보수일람표!R255="","",보수일람표!R255)</f>
        <v>0</v>
      </c>
      <c r="AP257" s="1118">
        <f>IF(보수일람표!S255="","",보수일람표!S255)</f>
        <v>0</v>
      </c>
      <c r="AQ257" s="1186">
        <f>IF(보수일람표!T255="","",보수일람표!T255)</f>
        <v>0</v>
      </c>
      <c r="AR257" s="1120">
        <f>IF(보수일람표!U255="","",보수일람표!U255)</f>
        <v>0</v>
      </c>
      <c r="AS257" s="1121">
        <f>IF(보수일람표!V255="","",보수일람표!V255)</f>
        <v>0</v>
      </c>
      <c r="AT257" s="1122">
        <f>IF(보수일람표!W255="","",보수일람표!W255)</f>
        <v>0</v>
      </c>
      <c r="AU257" s="1123">
        <f>IF(보수일람표!X255="","",보수일람표!X255)</f>
        <v>0</v>
      </c>
      <c r="AV257" s="1124">
        <f>IF(보수일람표!Y255="","",보수일람표!Y255)</f>
        <v>0</v>
      </c>
      <c r="AW257" s="1187">
        <f>IF(보수일람표!Z255="","",보수일람표!Z255)</f>
        <v>0</v>
      </c>
      <c r="AX257" s="1134">
        <f>IF(보수일람표!AA255="","",보수일람표!AA255)</f>
        <v>0</v>
      </c>
    </row>
    <row r="258" spans="38:50">
      <c r="AL258" s="1182" t="str">
        <f>IF(보수일람표!O256="","",보수일람표!O256)</f>
        <v/>
      </c>
      <c r="AM258" s="1183" t="str">
        <f>IF(보수일람표!P256="","",보수일람표!P256)</f>
        <v/>
      </c>
      <c r="AN258" s="1184">
        <f>IF(보수일람표!S256="","",보수일람표!S256)</f>
        <v>0</v>
      </c>
      <c r="AO258" s="1185">
        <f>IF(보수일람표!R256="","",보수일람표!R256)</f>
        <v>0</v>
      </c>
      <c r="AP258" s="1118">
        <f>IF(보수일람표!S256="","",보수일람표!S256)</f>
        <v>0</v>
      </c>
      <c r="AQ258" s="1186">
        <f>IF(보수일람표!T256="","",보수일람표!T256)</f>
        <v>0</v>
      </c>
      <c r="AR258" s="1120">
        <f>IF(보수일람표!U256="","",보수일람표!U256)</f>
        <v>0</v>
      </c>
      <c r="AS258" s="1121">
        <f>IF(보수일람표!V256="","",보수일람표!V256)</f>
        <v>0</v>
      </c>
      <c r="AT258" s="1122">
        <f>IF(보수일람표!W256="","",보수일람표!W256)</f>
        <v>0</v>
      </c>
      <c r="AU258" s="1123">
        <f>IF(보수일람표!X256="","",보수일람표!X256)</f>
        <v>0</v>
      </c>
      <c r="AV258" s="1124">
        <f>IF(보수일람표!Y256="","",보수일람표!Y256)</f>
        <v>0</v>
      </c>
      <c r="AW258" s="1187">
        <f>IF(보수일람표!Z256="","",보수일람표!Z256)</f>
        <v>0</v>
      </c>
      <c r="AX258" s="1134">
        <f>IF(보수일람표!AA256="","",보수일람표!AA256)</f>
        <v>0</v>
      </c>
    </row>
    <row r="259" spans="38:50">
      <c r="AL259" s="1182" t="str">
        <f>IF(보수일람표!O257="","",보수일람표!O257)</f>
        <v/>
      </c>
      <c r="AM259" s="1183" t="str">
        <f>IF(보수일람표!P257="","",보수일람표!P257)</f>
        <v/>
      </c>
      <c r="AN259" s="1184">
        <f>IF(보수일람표!S257="","",보수일람표!S257)</f>
        <v>0</v>
      </c>
      <c r="AO259" s="1185">
        <f>IF(보수일람표!R257="","",보수일람표!R257)</f>
        <v>0</v>
      </c>
      <c r="AP259" s="1118">
        <f>IF(보수일람표!S257="","",보수일람표!S257)</f>
        <v>0</v>
      </c>
      <c r="AQ259" s="1186">
        <f>IF(보수일람표!T257="","",보수일람표!T257)</f>
        <v>0</v>
      </c>
      <c r="AR259" s="1120">
        <f>IF(보수일람표!U257="","",보수일람표!U257)</f>
        <v>0</v>
      </c>
      <c r="AS259" s="1121">
        <f>IF(보수일람표!V257="","",보수일람표!V257)</f>
        <v>0</v>
      </c>
      <c r="AT259" s="1122">
        <f>IF(보수일람표!W257="","",보수일람표!W257)</f>
        <v>0</v>
      </c>
      <c r="AU259" s="1123">
        <f>IF(보수일람표!X257="","",보수일람표!X257)</f>
        <v>0</v>
      </c>
      <c r="AV259" s="1124">
        <f>IF(보수일람표!Y257="","",보수일람표!Y257)</f>
        <v>0</v>
      </c>
      <c r="AW259" s="1187">
        <f>IF(보수일람표!Z257="","",보수일람표!Z257)</f>
        <v>0</v>
      </c>
      <c r="AX259" s="1134">
        <f>IF(보수일람표!AA257="","",보수일람표!AA257)</f>
        <v>0</v>
      </c>
    </row>
    <row r="260" spans="38:50">
      <c r="AL260" s="1182" t="str">
        <f>IF(보수일람표!O258="","",보수일람표!O258)</f>
        <v/>
      </c>
      <c r="AM260" s="1183" t="str">
        <f>IF(보수일람표!P258="","",보수일람표!P258)</f>
        <v/>
      </c>
      <c r="AN260" s="1184">
        <f>IF(보수일람표!S258="","",보수일람표!S258)</f>
        <v>0</v>
      </c>
      <c r="AO260" s="1185">
        <f>IF(보수일람표!R258="","",보수일람표!R258)</f>
        <v>0</v>
      </c>
      <c r="AP260" s="1118">
        <f>IF(보수일람표!S258="","",보수일람표!S258)</f>
        <v>0</v>
      </c>
      <c r="AQ260" s="1186">
        <f>IF(보수일람표!T258="","",보수일람표!T258)</f>
        <v>0</v>
      </c>
      <c r="AR260" s="1120">
        <f>IF(보수일람표!U258="","",보수일람표!U258)</f>
        <v>0</v>
      </c>
      <c r="AS260" s="1121">
        <f>IF(보수일람표!V258="","",보수일람표!V258)</f>
        <v>0</v>
      </c>
      <c r="AT260" s="1122">
        <f>IF(보수일람표!W258="","",보수일람표!W258)</f>
        <v>0</v>
      </c>
      <c r="AU260" s="1123">
        <f>IF(보수일람표!X258="","",보수일람표!X258)</f>
        <v>0</v>
      </c>
      <c r="AV260" s="1124">
        <f>IF(보수일람표!Y258="","",보수일람표!Y258)</f>
        <v>0</v>
      </c>
      <c r="AW260" s="1187">
        <f>IF(보수일람표!Z258="","",보수일람표!Z258)</f>
        <v>0</v>
      </c>
      <c r="AX260" s="1134">
        <f>IF(보수일람표!AA258="","",보수일람표!AA258)</f>
        <v>0</v>
      </c>
    </row>
    <row r="261" spans="38:50">
      <c r="AL261" s="1182" t="str">
        <f>IF(보수일람표!O259="","",보수일람표!O259)</f>
        <v/>
      </c>
      <c r="AM261" s="1183" t="str">
        <f>IF(보수일람표!P259="","",보수일람표!P259)</f>
        <v/>
      </c>
      <c r="AN261" s="1184">
        <f>IF(보수일람표!S259="","",보수일람표!S259)</f>
        <v>0</v>
      </c>
      <c r="AO261" s="1185">
        <f>IF(보수일람표!R259="","",보수일람표!R259)</f>
        <v>0</v>
      </c>
      <c r="AP261" s="1118">
        <f>IF(보수일람표!S259="","",보수일람표!S259)</f>
        <v>0</v>
      </c>
      <c r="AQ261" s="1186">
        <f>IF(보수일람표!T259="","",보수일람표!T259)</f>
        <v>0</v>
      </c>
      <c r="AR261" s="1120">
        <f>IF(보수일람표!U259="","",보수일람표!U259)</f>
        <v>0</v>
      </c>
      <c r="AS261" s="1121">
        <f>IF(보수일람표!V259="","",보수일람표!V259)</f>
        <v>0</v>
      </c>
      <c r="AT261" s="1122">
        <f>IF(보수일람표!W259="","",보수일람표!W259)</f>
        <v>0</v>
      </c>
      <c r="AU261" s="1123">
        <f>IF(보수일람표!X259="","",보수일람표!X259)</f>
        <v>0</v>
      </c>
      <c r="AV261" s="1124">
        <f>IF(보수일람표!Y259="","",보수일람표!Y259)</f>
        <v>0</v>
      </c>
      <c r="AW261" s="1187">
        <f>IF(보수일람표!Z259="","",보수일람표!Z259)</f>
        <v>0</v>
      </c>
      <c r="AX261" s="1134">
        <f>IF(보수일람표!AA259="","",보수일람표!AA259)</f>
        <v>0</v>
      </c>
    </row>
    <row r="262" spans="38:50" ht="17.25" thickBot="1">
      <c r="AL262" s="1182" t="str">
        <f>IF(보수일람표!O260="","",보수일람표!O260)</f>
        <v/>
      </c>
      <c r="AM262" s="1183" t="str">
        <f>IF(보수일람표!P260="","",보수일람표!P260)</f>
        <v/>
      </c>
      <c r="AN262" s="1184">
        <f>IF(보수일람표!S260="","",보수일람표!S260)</f>
        <v>0</v>
      </c>
      <c r="AO262" s="1185">
        <f>IF(보수일람표!R260="","",보수일람표!R260)</f>
        <v>0</v>
      </c>
      <c r="AP262" s="1118">
        <f>IF(보수일람표!S260="","",보수일람표!S260)</f>
        <v>0</v>
      </c>
      <c r="AQ262" s="1186">
        <f>IF(보수일람표!T260="","",보수일람표!T260)</f>
        <v>0</v>
      </c>
      <c r="AR262" s="1120">
        <f>IF(보수일람표!U260="","",보수일람표!U260)</f>
        <v>0</v>
      </c>
      <c r="AS262" s="1121">
        <f>IF(보수일람표!V260="","",보수일람표!V260)</f>
        <v>0</v>
      </c>
      <c r="AT262" s="1122">
        <f>IF(보수일람표!W260="","",보수일람표!W260)</f>
        <v>0</v>
      </c>
      <c r="AU262" s="1123">
        <f>IF(보수일람표!X260="","",보수일람표!X260)</f>
        <v>0</v>
      </c>
      <c r="AV262" s="1124">
        <f>IF(보수일람표!Y260="","",보수일람표!Y260)</f>
        <v>0</v>
      </c>
      <c r="AW262" s="1187">
        <f>IF(보수일람표!Z260="","",보수일람표!Z260)</f>
        <v>0</v>
      </c>
      <c r="AX262" s="1134">
        <f>IF(보수일람표!AA260="","",보수일람표!AA260)</f>
        <v>0</v>
      </c>
    </row>
    <row r="263" spans="38:50" ht="17.25" thickBot="1">
      <c r="AL263" s="1258" t="s">
        <v>489</v>
      </c>
      <c r="AM263" s="1259"/>
      <c r="AN263" s="1195">
        <f t="shared" ref="AN263:AV263" si="2">SUM(AN63:AN262)</f>
        <v>10578000</v>
      </c>
      <c r="AO263" s="1195">
        <f t="shared" si="2"/>
        <v>0</v>
      </c>
      <c r="AP263" s="1196">
        <f t="shared" si="2"/>
        <v>10578000</v>
      </c>
      <c r="AQ263" s="1197">
        <f t="shared" si="2"/>
        <v>0</v>
      </c>
      <c r="AR263" s="1198">
        <f t="shared" si="2"/>
        <v>881501</v>
      </c>
      <c r="AS263" s="1198">
        <f t="shared" si="2"/>
        <v>1106360</v>
      </c>
      <c r="AT263" s="1196">
        <f t="shared" si="2"/>
        <v>12565861</v>
      </c>
      <c r="AU263" s="1199">
        <f t="shared" si="2"/>
        <v>10578000</v>
      </c>
      <c r="AV263" s="1199">
        <f t="shared" si="2"/>
        <v>10578000</v>
      </c>
    </row>
    <row r="264" spans="38:50" ht="17.25" thickBot="1">
      <c r="AL264" s="1248" t="s">
        <v>491</v>
      </c>
      <c r="AM264" s="1249"/>
      <c r="AN264" s="1200">
        <f t="shared" ref="AN264:AV264" si="3">AN61+AN263</f>
        <v>15378000</v>
      </c>
      <c r="AO264" s="1200">
        <f t="shared" si="3"/>
        <v>0</v>
      </c>
      <c r="AP264" s="1201">
        <f t="shared" si="3"/>
        <v>15378000</v>
      </c>
      <c r="AQ264" s="1202">
        <f t="shared" si="3"/>
        <v>0</v>
      </c>
      <c r="AR264" s="1202">
        <f t="shared" si="3"/>
        <v>1281501</v>
      </c>
      <c r="AS264" s="1202">
        <f t="shared" si="3"/>
        <v>1809220</v>
      </c>
      <c r="AT264" s="1201">
        <f t="shared" si="3"/>
        <v>18468721</v>
      </c>
      <c r="AU264" s="1199">
        <f t="shared" si="3"/>
        <v>15197540</v>
      </c>
      <c r="AV264" s="1199">
        <f t="shared" si="3"/>
        <v>15378000</v>
      </c>
    </row>
  </sheetData>
  <phoneticPr fontId="1" type="noConversion"/>
  <conditionalFormatting sqref="B24:B41 B70:B75">
    <cfRule type="cellIs" dxfId="25" priority="39" operator="lessThan">
      <formula>0</formula>
    </cfRule>
  </conditionalFormatting>
  <conditionalFormatting sqref="B51:B52">
    <cfRule type="cellIs" dxfId="24" priority="30" operator="lessThan">
      <formula>0</formula>
    </cfRule>
  </conditionalFormatting>
  <conditionalFormatting sqref="B64:B65">
    <cfRule type="cellIs" dxfId="23" priority="55" operator="lessThan">
      <formula>0</formula>
    </cfRule>
  </conditionalFormatting>
  <conditionalFormatting sqref="D14:D21">
    <cfRule type="cellIs" dxfId="22" priority="41" operator="lessThan">
      <formula>0</formula>
    </cfRule>
  </conditionalFormatting>
  <conditionalFormatting sqref="D24:D31">
    <cfRule type="cellIs" dxfId="21" priority="9" operator="lessThan">
      <formula>0</formula>
    </cfRule>
  </conditionalFormatting>
  <conditionalFormatting sqref="D33:D39">
    <cfRule type="cellIs" dxfId="20" priority="38" operator="lessThan">
      <formula>0</formula>
    </cfRule>
  </conditionalFormatting>
  <conditionalFormatting sqref="D64:D65">
    <cfRule type="cellIs" dxfId="19" priority="66" operator="lessThan">
      <formula>0</formula>
    </cfRule>
  </conditionalFormatting>
  <conditionalFormatting sqref="E70:E75">
    <cfRule type="cellIs" dxfId="18" priority="32" operator="lessThan">
      <formula>0</formula>
    </cfRule>
  </conditionalFormatting>
  <conditionalFormatting sqref="F14:F21">
    <cfRule type="cellIs" dxfId="17" priority="40" operator="lessThan">
      <formula>0</formula>
    </cfRule>
  </conditionalFormatting>
  <conditionalFormatting sqref="F24:F41">
    <cfRule type="cellIs" dxfId="16" priority="7" operator="lessThan">
      <formula>0</formula>
    </cfRule>
  </conditionalFormatting>
  <conditionalFormatting sqref="F51:F52">
    <cfRule type="cellIs" dxfId="15" priority="48" operator="lessThan">
      <formula>0</formula>
    </cfRule>
  </conditionalFormatting>
  <conditionalFormatting sqref="F64:F65">
    <cfRule type="cellIs" dxfId="14" priority="64" operator="lessThan">
      <formula>0</formula>
    </cfRule>
  </conditionalFormatting>
  <conditionalFormatting sqref="F70">
    <cfRule type="cellIs" dxfId="13" priority="63" operator="lessThan">
      <formula>0</formula>
    </cfRule>
  </conditionalFormatting>
  <conditionalFormatting sqref="F73">
    <cfRule type="cellIs" dxfId="12" priority="62" operator="lessThan">
      <formula>0</formula>
    </cfRule>
  </conditionalFormatting>
  <conditionalFormatting sqref="H14:H21">
    <cfRule type="cellIs" dxfId="11" priority="86" operator="lessThan">
      <formula>0</formula>
    </cfRule>
  </conditionalFormatting>
  <conditionalFormatting sqref="H24:H63">
    <cfRule type="cellIs" dxfId="10" priority="1" operator="lessThan">
      <formula>0</formula>
    </cfRule>
  </conditionalFormatting>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656" r:id="rId4" name="Check Box 32">
              <controlPr defaultSize="0" autoFill="0" autoLine="0" autoPict="0">
                <anchor moveWithCells="1">
                  <from>
                    <xdr:col>8</xdr:col>
                    <xdr:colOff>390525</xdr:colOff>
                    <xdr:row>0</xdr:row>
                    <xdr:rowOff>209550</xdr:rowOff>
                  </from>
                  <to>
                    <xdr:col>8</xdr:col>
                    <xdr:colOff>695325</xdr:colOff>
                    <xdr:row>1</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A538-373F-4301-BA3B-5F39E52B2D2C}">
  <sheetPr>
    <tabColor theme="4"/>
  </sheetPr>
  <dimension ref="A1:G14"/>
  <sheetViews>
    <sheetView tabSelected="1" view="pageBreakPreview" zoomScaleNormal="100" zoomScaleSheetLayoutView="100" workbookViewId="0">
      <selection activeCell="B2" sqref="B2:C2"/>
    </sheetView>
  </sheetViews>
  <sheetFormatPr defaultRowHeight="16.5"/>
  <cols>
    <col min="1" max="1" width="1.25" style="47" customWidth="1"/>
    <col min="2" max="3" width="45" style="47" customWidth="1"/>
    <col min="4" max="4" width="9" style="47"/>
    <col min="5" max="5" width="11.125" style="47" bestFit="1" customWidth="1"/>
    <col min="6" max="7" width="9" style="49"/>
    <col min="8" max="16384" width="9" style="9"/>
  </cols>
  <sheetData>
    <row r="1" spans="2:7" s="47" customFormat="1" ht="17.25" thickBot="1">
      <c r="B1" s="46"/>
      <c r="C1" s="46"/>
    </row>
    <row r="2" spans="2:7" s="47" customFormat="1" ht="56.25" customHeight="1" thickTop="1">
      <c r="B2" s="1641" t="str">
        <f>데이터입력!$Y$1&amp;"년도 "&amp;IF(데이터입력!$AE$2="추경","예산서(추경"&amp;데이터입력!$AI$2&amp;"차)","예산서")</f>
        <v>2023년도 예산서(추경2차)</v>
      </c>
      <c r="C2" s="1641"/>
      <c r="D2" s="48"/>
      <c r="E2" s="1642" t="str">
        <f>데이터입력!$Y$1&amp;"년도 인건비비율"</f>
        <v>2023년도 인건비비율</v>
      </c>
      <c r="F2" s="1643"/>
    </row>
    <row r="3" spans="2:7" s="47" customFormat="1" ht="48.75" customHeight="1" thickBot="1">
      <c r="B3" s="1644"/>
      <c r="C3" s="1644"/>
      <c r="E3" s="1645">
        <f>데이터입력!$Y$12</f>
        <v>0.50700000000000001</v>
      </c>
      <c r="F3" s="1646"/>
    </row>
    <row r="4" spans="2:7" s="47" customFormat="1" ht="48.75" customHeight="1" thickTop="1">
      <c r="B4" s="1640"/>
      <c r="C4" s="1640"/>
      <c r="E4" s="1642" t="s">
        <v>736</v>
      </c>
      <c r="F4" s="1643"/>
    </row>
    <row r="5" spans="2:7" s="47" customFormat="1" ht="71.25" customHeight="1" thickBot="1">
      <c r="B5" s="46"/>
      <c r="C5" s="46"/>
      <c r="E5" s="1648">
        <f>데이터입력!Y2</f>
        <v>45267</v>
      </c>
      <c r="F5" s="1649"/>
    </row>
    <row r="6" spans="2:7" s="47" customFormat="1" ht="57" customHeight="1" thickTop="1">
      <c r="B6" s="46"/>
      <c r="C6" s="46"/>
    </row>
    <row r="7" spans="2:7" s="47" customFormat="1" ht="28.5" customHeight="1">
      <c r="B7" s="1647"/>
      <c r="C7" s="1640"/>
    </row>
    <row r="8" spans="2:7" s="47" customFormat="1" ht="62.25" customHeight="1">
      <c r="B8" s="46"/>
      <c r="C8" s="46"/>
    </row>
    <row r="9" spans="2:7" s="47" customFormat="1" ht="43.5" customHeight="1">
      <c r="B9" s="1639" t="str">
        <f>IF(데이터입력!$AI$1="",데이터입력!$AB$1,데이터입력!$AB$1&amp;"("&amp;데이터입력!$AI$1&amp;")")</f>
        <v>한마음데이케어센터</v>
      </c>
      <c r="C9" s="1639"/>
    </row>
    <row r="10" spans="2:7">
      <c r="B10" s="46"/>
      <c r="C10" s="46"/>
      <c r="F10" s="47"/>
      <c r="G10" s="47"/>
    </row>
    <row r="11" spans="2:7">
      <c r="B11" s="46"/>
      <c r="C11" s="46"/>
    </row>
    <row r="12" spans="2:7">
      <c r="B12" s="46"/>
      <c r="C12" s="46"/>
    </row>
    <row r="14" spans="2:7" ht="26.25">
      <c r="B14" s="1640"/>
      <c r="C14" s="1640"/>
    </row>
  </sheetData>
  <sheetProtection algorithmName="SHA-512" hashValue="KEW0DbKZljAgvFfpceW3X2t0fJSw9Hu9oCEsb8VbcPrui32do5iBjqIprf3Swy1On/wQNDMh7HIz+zh110E5QQ==" saltValue="TZUUdaXdYu4TpoYR2jPodA==" spinCount="100000" sheet="1" objects="1" scenarios="1"/>
  <mergeCells count="10">
    <mergeCell ref="B9:C9"/>
    <mergeCell ref="B14:C14"/>
    <mergeCell ref="B2:C2"/>
    <mergeCell ref="E2:F2"/>
    <mergeCell ref="B3:C3"/>
    <mergeCell ref="E3:F3"/>
    <mergeCell ref="B4:C4"/>
    <mergeCell ref="B7:C7"/>
    <mergeCell ref="E4:F4"/>
    <mergeCell ref="E5:F5"/>
  </mergeCells>
  <phoneticPr fontId="1" type="noConversion"/>
  <pageMargins left="0.7" right="0.7" top="0.75" bottom="0.75" header="0.3" footer="0.3"/>
  <pageSetup paperSize="9" scale="88"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917B-6FAC-4BE3-B5D1-C8121E46CA71}">
  <sheetPr>
    <tabColor theme="4"/>
  </sheetPr>
  <dimension ref="A1:N25"/>
  <sheetViews>
    <sheetView view="pageBreakPreview" zoomScaleNormal="100" zoomScaleSheetLayoutView="100" workbookViewId="0">
      <selection activeCell="H4" sqref="H4"/>
    </sheetView>
  </sheetViews>
  <sheetFormatPr defaultRowHeight="16.5"/>
  <cols>
    <col min="1" max="1" width="1.375" style="50" customWidth="1"/>
    <col min="2" max="2" width="6.625" style="50" customWidth="1"/>
    <col min="3" max="3" width="6.125" style="50" customWidth="1"/>
    <col min="4" max="4" width="16.5" style="50" customWidth="1"/>
    <col min="5" max="7" width="25.125" style="50" customWidth="1"/>
    <col min="8" max="8" width="1.5" style="50" customWidth="1"/>
    <col min="9" max="14" width="9" style="1"/>
  </cols>
  <sheetData>
    <row r="1" spans="2:14">
      <c r="I1" s="50"/>
      <c r="J1" s="50"/>
      <c r="K1" s="50"/>
      <c r="L1" s="50"/>
      <c r="M1" s="50"/>
      <c r="N1" s="50"/>
    </row>
    <row r="2" spans="2:14">
      <c r="B2" s="51"/>
      <c r="C2" s="51"/>
      <c r="D2" s="51"/>
      <c r="E2" s="51"/>
      <c r="F2" s="51"/>
      <c r="G2" s="51"/>
      <c r="I2" s="50"/>
      <c r="J2" s="50"/>
      <c r="K2" s="50"/>
      <c r="L2" s="50"/>
      <c r="M2" s="50"/>
      <c r="N2" s="50"/>
    </row>
    <row r="3" spans="2:14" ht="38.25">
      <c r="B3" s="1651" t="str">
        <f>IF(데이터입력!$AE$2="추경",데이터입력!Y1&amp;"년도 예산총칙(추경"&amp;데이터입력!$AI$2&amp;"차)",데이터입력!Y1&amp;"년도 예산총칙")</f>
        <v>2023년도 예산총칙(추경2차)</v>
      </c>
      <c r="C3" s="1651"/>
      <c r="D3" s="1651"/>
      <c r="E3" s="1651"/>
      <c r="F3" s="1651"/>
      <c r="G3" s="1651"/>
      <c r="I3" s="50"/>
      <c r="J3" s="50"/>
      <c r="K3" s="50"/>
      <c r="L3" s="50"/>
      <c r="M3" s="50"/>
      <c r="N3" s="50"/>
    </row>
    <row r="4" spans="2:14">
      <c r="B4" s="1652"/>
      <c r="C4" s="1652"/>
      <c r="D4" s="1652"/>
      <c r="E4" s="1652"/>
      <c r="F4" s="1652"/>
      <c r="G4" s="1652"/>
      <c r="I4" s="50"/>
      <c r="J4" s="50"/>
      <c r="K4" s="50"/>
      <c r="L4" s="50"/>
      <c r="M4" s="50"/>
      <c r="N4" s="50"/>
    </row>
    <row r="5" spans="2:14">
      <c r="B5" s="1653" t="s">
        <v>273</v>
      </c>
      <c r="C5" s="1653"/>
      <c r="D5" s="1654" t="str">
        <f>데이터입력!Y1&amp;"년도 세입, 세출 예산 총액은 다음과 같다."</f>
        <v>2023년도 세입, 세출 예산 총액은 다음과 같다.</v>
      </c>
      <c r="E5" s="1654"/>
      <c r="F5" s="1654"/>
      <c r="G5" s="1654"/>
      <c r="I5" s="50"/>
      <c r="J5" s="50"/>
      <c r="K5" s="50"/>
      <c r="L5" s="50"/>
      <c r="M5" s="50"/>
      <c r="N5" s="50"/>
    </row>
    <row r="6" spans="2:14">
      <c r="B6" s="1655" t="s">
        <v>274</v>
      </c>
      <c r="C6" s="1655"/>
      <c r="D6" s="1655"/>
      <c r="E6" s="1655"/>
      <c r="F6" s="1655"/>
      <c r="G6" s="1655"/>
      <c r="I6" s="50"/>
      <c r="J6" s="50"/>
      <c r="K6" s="50"/>
      <c r="L6" s="50"/>
      <c r="M6" s="50"/>
      <c r="N6" s="50"/>
    </row>
    <row r="7" spans="2:14">
      <c r="B7" s="1650" t="s">
        <v>275</v>
      </c>
      <c r="C7" s="1650"/>
      <c r="D7" s="1650"/>
      <c r="E7" s="1650" t="s">
        <v>276</v>
      </c>
      <c r="F7" s="1650"/>
      <c r="G7" s="1650"/>
      <c r="I7" s="50"/>
      <c r="J7" s="50"/>
      <c r="K7" s="50"/>
      <c r="L7" s="50"/>
      <c r="M7" s="50"/>
      <c r="N7" s="50"/>
    </row>
    <row r="8" spans="2:14">
      <c r="B8" s="1650"/>
      <c r="C8" s="1650"/>
      <c r="D8" s="1650"/>
      <c r="E8" s="52" t="s">
        <v>277</v>
      </c>
      <c r="F8" s="53" t="s">
        <v>278</v>
      </c>
      <c r="G8" s="52" t="str">
        <f>IF(데이터입력!$AE$2="추경","증감(본예산대비)","증감(전년도대비)")</f>
        <v>증감(본예산대비)</v>
      </c>
      <c r="I8" s="50"/>
      <c r="J8" s="50"/>
      <c r="K8" s="50"/>
      <c r="L8" s="50"/>
      <c r="M8" s="50"/>
      <c r="N8" s="50"/>
    </row>
    <row r="9" spans="2:14">
      <c r="B9" s="1657" t="s">
        <v>279</v>
      </c>
      <c r="C9" s="1657"/>
      <c r="D9" s="54" t="str">
        <f>IF(데이터입력!$AE$2="추경",데이터입력!Y1&amp;"년도 추경",데이터입력!Y1&amp;"년도")</f>
        <v>2023년도 추경</v>
      </c>
      <c r="E9" s="55">
        <f>총괄표!F17</f>
        <v>369513</v>
      </c>
      <c r="F9" s="55">
        <f>총괄표!M17</f>
        <v>369513</v>
      </c>
      <c r="G9" s="55">
        <f>총괄표!G17</f>
        <v>15545</v>
      </c>
      <c r="I9" s="50"/>
      <c r="J9" s="50"/>
      <c r="K9" s="50"/>
      <c r="L9" s="50"/>
      <c r="M9" s="50"/>
      <c r="N9" s="50"/>
    </row>
    <row r="10" spans="2:14">
      <c r="B10" s="1654"/>
      <c r="C10" s="1654"/>
      <c r="D10" s="1654"/>
      <c r="E10" s="1654"/>
      <c r="F10" s="1654"/>
      <c r="G10" s="1654"/>
      <c r="I10" s="50"/>
      <c r="J10" s="50"/>
      <c r="K10" s="50"/>
      <c r="L10" s="50"/>
      <c r="M10" s="50"/>
      <c r="N10" s="50"/>
    </row>
    <row r="11" spans="2:14">
      <c r="B11" s="1653" t="s">
        <v>280</v>
      </c>
      <c r="C11" s="1653"/>
      <c r="D11" s="51" t="s">
        <v>281</v>
      </c>
      <c r="E11" s="51"/>
      <c r="F11" s="51"/>
      <c r="G11" s="51"/>
      <c r="I11" s="50"/>
      <c r="J11" s="50"/>
      <c r="K11" s="50"/>
      <c r="L11" s="50"/>
      <c r="M11" s="50"/>
      <c r="N11" s="50"/>
    </row>
    <row r="12" spans="2:14">
      <c r="B12" s="1654"/>
      <c r="C12" s="1654"/>
      <c r="D12" s="1654"/>
      <c r="E12" s="1654"/>
      <c r="F12" s="1654"/>
      <c r="G12" s="1654"/>
      <c r="I12" s="50"/>
      <c r="J12" s="50"/>
      <c r="K12" s="50"/>
      <c r="L12" s="50"/>
      <c r="M12" s="50"/>
      <c r="N12" s="50"/>
    </row>
    <row r="13" spans="2:14">
      <c r="B13" s="1653" t="s">
        <v>282</v>
      </c>
      <c r="C13" s="1653"/>
      <c r="D13" s="56" t="str">
        <f>데이터입력!Y1&amp;"년도 차입금은  "&amp;세입예산서!$Y$123&amp;" 원 한도내에서  일시 차입할 수 있다."</f>
        <v>2023년도 차입금은  0 원 한도내에서  일시 차입할 수 있다.</v>
      </c>
      <c r="E13" s="56"/>
      <c r="F13" s="56"/>
      <c r="G13" s="56"/>
      <c r="I13" s="50"/>
      <c r="J13" s="50"/>
      <c r="K13" s="50"/>
      <c r="L13" s="50"/>
      <c r="M13" s="50"/>
      <c r="N13" s="50"/>
    </row>
    <row r="14" spans="2:14">
      <c r="B14" s="57"/>
      <c r="C14" s="57"/>
      <c r="D14" s="57"/>
      <c r="E14" s="57"/>
      <c r="F14" s="57"/>
      <c r="G14" s="57"/>
      <c r="I14" s="50"/>
      <c r="J14" s="50"/>
      <c r="K14" s="50"/>
      <c r="L14" s="50"/>
      <c r="M14" s="50"/>
      <c r="N14" s="50"/>
    </row>
    <row r="15" spans="2:14">
      <c r="B15" s="1653" t="s">
        <v>283</v>
      </c>
      <c r="C15" s="1653"/>
      <c r="D15" s="1654" t="str">
        <f>"일반회계 예비비는  "&amp;세출예산서!$Y$290&amp;" 원으로 한다."</f>
        <v>일반회계 예비비는  0 원으로 한다.</v>
      </c>
      <c r="E15" s="1654"/>
      <c r="F15" s="1654"/>
      <c r="G15" s="1654"/>
      <c r="I15" s="50"/>
      <c r="J15" s="50"/>
      <c r="K15" s="50"/>
      <c r="L15" s="50"/>
      <c r="M15" s="50"/>
      <c r="N15" s="50"/>
    </row>
    <row r="16" spans="2:14">
      <c r="B16" s="51"/>
      <c r="C16" s="51"/>
      <c r="D16" s="51"/>
      <c r="E16" s="51"/>
      <c r="F16" s="51"/>
      <c r="G16" s="51"/>
      <c r="I16" s="50"/>
      <c r="J16" s="50"/>
      <c r="K16" s="50"/>
      <c r="L16" s="50"/>
      <c r="M16" s="50"/>
      <c r="N16" s="50"/>
    </row>
    <row r="17" spans="2:14">
      <c r="B17" s="1653" t="s">
        <v>284</v>
      </c>
      <c r="C17" s="1653"/>
      <c r="D17" s="58" t="s">
        <v>285</v>
      </c>
      <c r="E17" s="51"/>
      <c r="F17" s="51"/>
      <c r="G17" s="51"/>
      <c r="I17" s="50"/>
      <c r="J17" s="50"/>
      <c r="K17" s="50"/>
      <c r="L17" s="50"/>
      <c r="M17" s="50"/>
      <c r="N17" s="50"/>
    </row>
    <row r="18" spans="2:14">
      <c r="B18" s="59"/>
      <c r="C18" s="59"/>
      <c r="D18" s="58" t="s">
        <v>286</v>
      </c>
      <c r="E18" s="51"/>
      <c r="F18" s="51"/>
      <c r="G18" s="51"/>
      <c r="I18" s="50"/>
      <c r="J18" s="50"/>
      <c r="K18" s="50"/>
      <c r="L18" s="50"/>
      <c r="M18" s="50"/>
      <c r="N18" s="50"/>
    </row>
    <row r="19" spans="2:14">
      <c r="B19" s="59"/>
      <c r="C19" s="59"/>
      <c r="D19" s="58" t="s">
        <v>287</v>
      </c>
      <c r="E19" s="51"/>
      <c r="F19" s="51"/>
      <c r="G19" s="51"/>
      <c r="I19" s="50"/>
      <c r="J19" s="50"/>
      <c r="K19" s="50"/>
      <c r="L19" s="50"/>
      <c r="M19" s="50"/>
      <c r="N19" s="50"/>
    </row>
    <row r="20" spans="2:14">
      <c r="B20" s="51"/>
      <c r="C20" s="51"/>
      <c r="D20" s="51"/>
      <c r="E20" s="51"/>
      <c r="F20" s="51"/>
      <c r="G20" s="51"/>
      <c r="I20" s="50"/>
      <c r="J20" s="50"/>
      <c r="K20" s="50"/>
      <c r="L20" s="50"/>
      <c r="M20" s="50"/>
      <c r="N20" s="50"/>
    </row>
    <row r="21" spans="2:14">
      <c r="B21" s="1653" t="s">
        <v>288</v>
      </c>
      <c r="C21" s="1653"/>
      <c r="D21" s="58" t="s">
        <v>289</v>
      </c>
      <c r="E21" s="51"/>
      <c r="F21" s="51"/>
      <c r="G21" s="51"/>
      <c r="I21" s="50"/>
      <c r="J21" s="50"/>
      <c r="K21" s="50"/>
      <c r="L21" s="50"/>
      <c r="M21" s="50"/>
      <c r="N21" s="50"/>
    </row>
    <row r="22" spans="2:14">
      <c r="B22" s="59"/>
      <c r="C22" s="59"/>
      <c r="D22" s="58" t="s">
        <v>290</v>
      </c>
      <c r="E22" s="51"/>
      <c r="F22" s="51"/>
      <c r="G22" s="51"/>
      <c r="I22" s="50"/>
      <c r="J22" s="50"/>
      <c r="K22" s="50"/>
      <c r="L22" s="50"/>
      <c r="M22" s="50"/>
      <c r="N22" s="50"/>
    </row>
    <row r="23" spans="2:14">
      <c r="B23" s="51"/>
      <c r="C23" s="51"/>
      <c r="D23" s="51" t="s">
        <v>291</v>
      </c>
      <c r="E23" s="51"/>
      <c r="F23" s="51"/>
      <c r="G23" s="51"/>
      <c r="I23" s="50"/>
      <c r="J23" s="50"/>
      <c r="K23" s="50"/>
      <c r="L23" s="50"/>
      <c r="M23" s="50"/>
      <c r="N23" s="50"/>
    </row>
    <row r="24" spans="2:14">
      <c r="B24" s="1656" t="str">
        <f>표지!B9</f>
        <v>한마음데이케어센터</v>
      </c>
      <c r="C24" s="1656"/>
      <c r="D24" s="1656"/>
      <c r="E24" s="1656"/>
      <c r="F24" s="1656"/>
      <c r="G24" s="1656"/>
      <c r="I24" s="50"/>
      <c r="J24" s="50"/>
      <c r="K24" s="50"/>
      <c r="L24" s="50"/>
      <c r="M24" s="50"/>
      <c r="N24" s="50"/>
    </row>
    <row r="25" spans="2:14">
      <c r="I25" s="50"/>
      <c r="J25" s="50"/>
      <c r="K25" s="50"/>
      <c r="L25" s="50"/>
      <c r="M25" s="50"/>
      <c r="N25" s="50"/>
    </row>
  </sheetData>
  <sheetProtection algorithmName="SHA-512" hashValue="A+yi4U4FPTjjayVVt/UcO2WOWLZSxSk5dR5KyCaWGy1oUFRqejn6IWlgUY3veh38Owb9TPhxZWee9ojVFej3lg==" saltValue="glVNRLrKWLQFRyho/4tmIg==" spinCount="100000" sheet="1" objects="1" scenarios="1"/>
  <mergeCells count="17">
    <mergeCell ref="B17:C17"/>
    <mergeCell ref="B21:C21"/>
    <mergeCell ref="B24:G24"/>
    <mergeCell ref="B9:C9"/>
    <mergeCell ref="B10:G10"/>
    <mergeCell ref="B11:C11"/>
    <mergeCell ref="B12:G12"/>
    <mergeCell ref="B13:C13"/>
    <mergeCell ref="B15:C15"/>
    <mergeCell ref="D15:G15"/>
    <mergeCell ref="B7:D8"/>
    <mergeCell ref="E7:G7"/>
    <mergeCell ref="B3:G3"/>
    <mergeCell ref="B4:G4"/>
    <mergeCell ref="B5:C5"/>
    <mergeCell ref="D5:G5"/>
    <mergeCell ref="B6:G6"/>
  </mergeCells>
  <phoneticPr fontId="1" type="noConversion"/>
  <pageMargins left="0.7" right="0.7" top="0.75" bottom="0.75" header="0.3" footer="0.3"/>
  <pageSetup paperSize="9" scale="76"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C5ABF-18AE-495A-A3CB-8B16CE55A484}">
  <sheetPr>
    <tabColor theme="4"/>
  </sheetPr>
  <dimension ref="A1:U19"/>
  <sheetViews>
    <sheetView view="pageBreakPreview" zoomScale="85" zoomScaleNormal="100" zoomScaleSheetLayoutView="85" workbookViewId="0">
      <selection activeCell="A2" sqref="A2"/>
    </sheetView>
  </sheetViews>
  <sheetFormatPr defaultRowHeight="16.5"/>
  <cols>
    <col min="1" max="1" width="5.125" style="94" customWidth="1"/>
    <col min="2" max="2" width="12.875" style="94" customWidth="1"/>
    <col min="3" max="3" width="4.75" style="94" customWidth="1"/>
    <col min="4" max="4" width="17.875" style="94" customWidth="1"/>
    <col min="5" max="5" width="12.125" style="94" customWidth="1"/>
    <col min="6" max="6" width="13" style="94" customWidth="1"/>
    <col min="7" max="7" width="13" style="95" customWidth="1"/>
    <col min="8" max="8" width="5.625" style="95" customWidth="1"/>
    <col min="9" max="9" width="14.25" style="95" customWidth="1"/>
    <col min="10" max="10" width="5.125" style="95" customWidth="1"/>
    <col min="11" max="11" width="18" style="95" customWidth="1"/>
    <col min="12" max="12" width="12.375" style="95" customWidth="1"/>
    <col min="13" max="13" width="13.375" style="95" customWidth="1"/>
    <col min="14" max="14" width="12.875" style="95" customWidth="1"/>
  </cols>
  <sheetData>
    <row r="1" spans="1:21" s="98" customFormat="1" ht="51" customHeight="1">
      <c r="A1" s="1659" t="str">
        <f>IF(데이터입력!$AE$2="추경","세입, 세출 명세서 ("&amp;데이터입력!Y1&amp;"년도 추경"&amp;데이터입력!$AI$2&amp;"차)","세입, 세출 명세서 ("&amp;데이터입력!Y1&amp;"년도)")</f>
        <v>세입, 세출 명세서 (2023년도 추경2차)</v>
      </c>
      <c r="B1" s="1659"/>
      <c r="C1" s="1659"/>
      <c r="D1" s="1659"/>
      <c r="E1" s="1659"/>
      <c r="F1" s="1659"/>
      <c r="G1" s="1659"/>
      <c r="H1" s="1659"/>
      <c r="I1" s="1659"/>
      <c r="J1" s="1659"/>
      <c r="K1" s="1659"/>
      <c r="L1" s="1659"/>
      <c r="M1" s="1659"/>
      <c r="N1" s="1659"/>
      <c r="O1" s="97"/>
      <c r="P1" s="97"/>
      <c r="Q1" s="97"/>
      <c r="R1" s="97"/>
      <c r="S1" s="97"/>
      <c r="T1" s="97"/>
      <c r="U1" s="97"/>
    </row>
    <row r="2" spans="1:21" s="98" customFormat="1" ht="17.25" thickBot="1">
      <c r="A2" s="60" t="s">
        <v>292</v>
      </c>
      <c r="B2" s="61"/>
      <c r="C2" s="61"/>
      <c r="D2" s="61"/>
      <c r="E2" s="61"/>
      <c r="F2" s="61"/>
      <c r="G2" s="62"/>
      <c r="H2" s="62"/>
      <c r="I2" s="62"/>
      <c r="J2" s="62"/>
      <c r="K2" s="62"/>
      <c r="L2" s="62"/>
      <c r="M2" s="62"/>
      <c r="N2" s="63" t="s">
        <v>293</v>
      </c>
    </row>
    <row r="3" spans="1:21" s="98" customFormat="1">
      <c r="A3" s="1660" t="s">
        <v>294</v>
      </c>
      <c r="B3" s="1661"/>
      <c r="C3" s="1662" t="s">
        <v>295</v>
      </c>
      <c r="D3" s="1661"/>
      <c r="E3" s="64" t="str">
        <f>IF(데이터입력!$AE$2="추경","본예산액","전년도예산액")</f>
        <v>본예산액</v>
      </c>
      <c r="F3" s="64" t="str">
        <f>IF(데이터입력!$AE$2="추경","추경예산액","예산액")</f>
        <v>추경예산액</v>
      </c>
      <c r="G3" s="65" t="s">
        <v>296</v>
      </c>
      <c r="H3" s="1660" t="s">
        <v>294</v>
      </c>
      <c r="I3" s="1661"/>
      <c r="J3" s="1662" t="s">
        <v>295</v>
      </c>
      <c r="K3" s="1661"/>
      <c r="L3" s="64" t="str">
        <f>IF(데이터입력!$AE$2="추경","본예산액","전년도예산액")</f>
        <v>본예산액</v>
      </c>
      <c r="M3" s="64" t="str">
        <f>IF(데이터입력!$AE$2="추경","추경예산액","예산액")</f>
        <v>추경예산액</v>
      </c>
      <c r="N3" s="65" t="s">
        <v>296</v>
      </c>
    </row>
    <row r="4" spans="1:21" s="98" customFormat="1" ht="36" customHeight="1">
      <c r="A4" s="66" t="s">
        <v>297</v>
      </c>
      <c r="B4" s="67" t="s">
        <v>298</v>
      </c>
      <c r="C4" s="68" t="s">
        <v>299</v>
      </c>
      <c r="D4" s="68" t="s">
        <v>4</v>
      </c>
      <c r="E4" s="69">
        <f>세입예산서!H4</f>
        <v>72578</v>
      </c>
      <c r="F4" s="69">
        <f>세입예산서!I4</f>
        <v>71949</v>
      </c>
      <c r="G4" s="69">
        <f>세입예산서!J4</f>
        <v>-629</v>
      </c>
      <c r="H4" s="70" t="s">
        <v>300</v>
      </c>
      <c r="I4" s="71" t="s">
        <v>301</v>
      </c>
      <c r="J4" s="68" t="s">
        <v>299</v>
      </c>
      <c r="K4" s="68" t="s">
        <v>39</v>
      </c>
      <c r="L4" s="69">
        <f>세출예산서!H5</f>
        <v>207214</v>
      </c>
      <c r="M4" s="69">
        <f>세출예산서!I5</f>
        <v>219458</v>
      </c>
      <c r="N4" s="348">
        <f>세출예산서!J5</f>
        <v>12244</v>
      </c>
    </row>
    <row r="5" spans="1:21" s="98" customFormat="1" ht="36" customHeight="1">
      <c r="A5" s="72" t="s">
        <v>302</v>
      </c>
      <c r="B5" s="73" t="s">
        <v>11</v>
      </c>
      <c r="C5" s="73" t="s">
        <v>299</v>
      </c>
      <c r="D5" s="74" t="s">
        <v>11</v>
      </c>
      <c r="E5" s="69">
        <f>세입예산서!H39</f>
        <v>0</v>
      </c>
      <c r="F5" s="69">
        <f>세입예산서!I39</f>
        <v>0</v>
      </c>
      <c r="G5" s="69">
        <f>세입예산서!J39</f>
        <v>0</v>
      </c>
      <c r="H5" s="76"/>
      <c r="I5" s="77"/>
      <c r="J5" s="73" t="s">
        <v>303</v>
      </c>
      <c r="K5" s="74" t="s">
        <v>304</v>
      </c>
      <c r="L5" s="69">
        <f>세출예산서!H71</f>
        <v>12000</v>
      </c>
      <c r="M5" s="69">
        <f>세출예산서!I71</f>
        <v>10800</v>
      </c>
      <c r="N5" s="348">
        <f>세출예산서!J71</f>
        <v>-1200</v>
      </c>
    </row>
    <row r="6" spans="1:21" s="98" customFormat="1" ht="36" customHeight="1">
      <c r="A6" s="72" t="s">
        <v>305</v>
      </c>
      <c r="B6" s="73" t="s">
        <v>12</v>
      </c>
      <c r="C6" s="73" t="s">
        <v>299</v>
      </c>
      <c r="D6" s="74" t="s">
        <v>12</v>
      </c>
      <c r="E6" s="69">
        <f>세입예산서!H43</f>
        <v>0</v>
      </c>
      <c r="F6" s="69">
        <f>세입예산서!I43</f>
        <v>0</v>
      </c>
      <c r="G6" s="69">
        <f>세입예산서!J43</f>
        <v>0</v>
      </c>
      <c r="H6" s="79"/>
      <c r="I6" s="80"/>
      <c r="J6" s="73" t="s">
        <v>306</v>
      </c>
      <c r="K6" s="74" t="s">
        <v>307</v>
      </c>
      <c r="L6" s="69">
        <f>세출예산서!H101</f>
        <v>38696</v>
      </c>
      <c r="M6" s="69">
        <f>세출예산서!I101</f>
        <v>52132</v>
      </c>
      <c r="N6" s="348">
        <f>세출예산서!J101</f>
        <v>13436</v>
      </c>
    </row>
    <row r="7" spans="1:21" s="98" customFormat="1" ht="36" customHeight="1">
      <c r="A7" s="81" t="s">
        <v>308</v>
      </c>
      <c r="B7" s="82" t="s">
        <v>309</v>
      </c>
      <c r="C7" s="82" t="s">
        <v>299</v>
      </c>
      <c r="D7" s="82" t="s">
        <v>309</v>
      </c>
      <c r="E7" s="69">
        <f>세입예산서!H47</f>
        <v>0</v>
      </c>
      <c r="F7" s="69">
        <f>세입예산서!I47</f>
        <v>0</v>
      </c>
      <c r="G7" s="69">
        <f>세입예산서!J47</f>
        <v>0</v>
      </c>
      <c r="H7" s="81" t="s">
        <v>310</v>
      </c>
      <c r="I7" s="83" t="s">
        <v>311</v>
      </c>
      <c r="J7" s="82" t="s">
        <v>299</v>
      </c>
      <c r="K7" s="82" t="s">
        <v>58</v>
      </c>
      <c r="L7" s="69">
        <f>세출예산서!H167</f>
        <v>6000</v>
      </c>
      <c r="M7" s="69">
        <f>세출예산서!I167</f>
        <v>3600</v>
      </c>
      <c r="N7" s="348">
        <f>세출예산서!J167</f>
        <v>-2400</v>
      </c>
    </row>
    <row r="8" spans="1:21" s="98" customFormat="1" ht="36" customHeight="1">
      <c r="A8" s="81" t="s">
        <v>312</v>
      </c>
      <c r="B8" s="82" t="s">
        <v>313</v>
      </c>
      <c r="C8" s="82" t="s">
        <v>299</v>
      </c>
      <c r="D8" s="82" t="s">
        <v>313</v>
      </c>
      <c r="E8" s="69">
        <f>세입예산서!H84</f>
        <v>0</v>
      </c>
      <c r="F8" s="69">
        <f>세입예산서!I84</f>
        <v>0</v>
      </c>
      <c r="G8" s="69">
        <f>세입예산서!J84</f>
        <v>0</v>
      </c>
      <c r="H8" s="70" t="s">
        <v>314</v>
      </c>
      <c r="I8" s="71" t="s">
        <v>315</v>
      </c>
      <c r="J8" s="82" t="s">
        <v>299</v>
      </c>
      <c r="K8" s="82" t="s">
        <v>307</v>
      </c>
      <c r="L8" s="69">
        <f>세출예산서!H192</f>
        <v>41520</v>
      </c>
      <c r="M8" s="69">
        <f>세출예산서!I192</f>
        <v>41214</v>
      </c>
      <c r="N8" s="348">
        <f>세출예산서!J192</f>
        <v>-306</v>
      </c>
    </row>
    <row r="9" spans="1:21" s="98" customFormat="1" ht="36" customHeight="1">
      <c r="A9" s="81" t="s">
        <v>316</v>
      </c>
      <c r="B9" s="82" t="s">
        <v>317</v>
      </c>
      <c r="C9" s="82" t="s">
        <v>299</v>
      </c>
      <c r="D9" s="82" t="s">
        <v>317</v>
      </c>
      <c r="E9" s="69">
        <f>세입예산서!H91</f>
        <v>246993</v>
      </c>
      <c r="F9" s="69">
        <f>세입예산서!I91</f>
        <v>263167</v>
      </c>
      <c r="G9" s="69">
        <f>세입예산서!J91</f>
        <v>16174</v>
      </c>
      <c r="H9" s="76"/>
      <c r="I9" s="77"/>
      <c r="J9" s="82" t="s">
        <v>318</v>
      </c>
      <c r="K9" s="82" t="s">
        <v>315</v>
      </c>
      <c r="L9" s="69">
        <f>세출예산서!H237</f>
        <v>8396</v>
      </c>
      <c r="M9" s="69">
        <f>세출예산서!I237</f>
        <v>8396</v>
      </c>
      <c r="N9" s="348">
        <f>세출예산서!J237</f>
        <v>0</v>
      </c>
    </row>
    <row r="10" spans="1:21" s="98" customFormat="1" ht="36" customHeight="1">
      <c r="A10" s="81" t="s">
        <v>319</v>
      </c>
      <c r="B10" s="82" t="s">
        <v>320</v>
      </c>
      <c r="C10" s="82" t="s">
        <v>299</v>
      </c>
      <c r="D10" s="82" t="s">
        <v>320</v>
      </c>
      <c r="E10" s="69">
        <f>세입예산서!H123</f>
        <v>0</v>
      </c>
      <c r="F10" s="69">
        <f>세입예산서!I123</f>
        <v>0</v>
      </c>
      <c r="G10" s="69">
        <f>세입예산서!J123</f>
        <v>0</v>
      </c>
      <c r="H10" s="81" t="s">
        <v>321</v>
      </c>
      <c r="I10" s="82" t="s">
        <v>322</v>
      </c>
      <c r="J10" s="82" t="s">
        <v>299</v>
      </c>
      <c r="K10" s="82" t="s">
        <v>322</v>
      </c>
      <c r="L10" s="69">
        <f>세출예산서!H257</f>
        <v>33000</v>
      </c>
      <c r="M10" s="69">
        <f>세출예산서!I257</f>
        <v>30000</v>
      </c>
      <c r="N10" s="348">
        <f>세출예산서!J257</f>
        <v>-3000</v>
      </c>
    </row>
    <row r="11" spans="1:21" s="98" customFormat="1" ht="36" customHeight="1">
      <c r="A11" s="81" t="s">
        <v>323</v>
      </c>
      <c r="B11" s="82" t="s">
        <v>324</v>
      </c>
      <c r="C11" s="82" t="s">
        <v>299</v>
      </c>
      <c r="D11" s="82" t="s">
        <v>324</v>
      </c>
      <c r="E11" s="69">
        <f>세입예산서!H130</f>
        <v>0</v>
      </c>
      <c r="F11" s="69">
        <f>세입예산서!I130</f>
        <v>0</v>
      </c>
      <c r="G11" s="69">
        <f>세입예산서!J130</f>
        <v>0</v>
      </c>
      <c r="H11" s="84" t="s">
        <v>325</v>
      </c>
      <c r="I11" s="73" t="s">
        <v>68</v>
      </c>
      <c r="J11" s="73" t="s">
        <v>299</v>
      </c>
      <c r="K11" s="73" t="s">
        <v>68</v>
      </c>
      <c r="L11" s="69">
        <f>세출예산서!H264</f>
        <v>0</v>
      </c>
      <c r="M11" s="69">
        <f>세출예산서!I264</f>
        <v>0</v>
      </c>
      <c r="N11" s="348">
        <f>세출예산서!J264</f>
        <v>0</v>
      </c>
    </row>
    <row r="12" spans="1:21" s="98" customFormat="1" ht="36" customHeight="1">
      <c r="A12" s="84" t="s">
        <v>326</v>
      </c>
      <c r="B12" s="73" t="s">
        <v>327</v>
      </c>
      <c r="C12" s="73" t="s">
        <v>299</v>
      </c>
      <c r="D12" s="73" t="s">
        <v>327</v>
      </c>
      <c r="E12" s="69">
        <f>세입예산서!H143</f>
        <v>24777</v>
      </c>
      <c r="F12" s="69">
        <f>세입예산서!I143</f>
        <v>24777</v>
      </c>
      <c r="G12" s="69">
        <f>세입예산서!J143</f>
        <v>0</v>
      </c>
      <c r="H12" s="85" t="s">
        <v>328</v>
      </c>
      <c r="I12" s="86" t="s">
        <v>329</v>
      </c>
      <c r="J12" s="73" t="s">
        <v>299</v>
      </c>
      <c r="K12" s="73" t="s">
        <v>330</v>
      </c>
      <c r="L12" s="69">
        <f>세출예산서!H269</f>
        <v>0</v>
      </c>
      <c r="M12" s="69">
        <f>세출예산서!I269</f>
        <v>0</v>
      </c>
      <c r="N12" s="348">
        <f>세출예산서!J269</f>
        <v>0</v>
      </c>
    </row>
    <row r="13" spans="1:21" s="98" customFormat="1" ht="36" customHeight="1">
      <c r="A13" s="85" t="s">
        <v>331</v>
      </c>
      <c r="B13" s="86" t="s">
        <v>332</v>
      </c>
      <c r="C13" s="73" t="s">
        <v>299</v>
      </c>
      <c r="D13" s="73" t="s">
        <v>332</v>
      </c>
      <c r="E13" s="69">
        <f>세입예산서!H159</f>
        <v>9620</v>
      </c>
      <c r="F13" s="69">
        <f>세입예산서!I159</f>
        <v>9620</v>
      </c>
      <c r="G13" s="69">
        <f>세입예산서!J159</f>
        <v>0</v>
      </c>
      <c r="H13" s="84" t="s">
        <v>333</v>
      </c>
      <c r="I13" s="73" t="s">
        <v>71</v>
      </c>
      <c r="J13" s="73" t="s">
        <v>299</v>
      </c>
      <c r="K13" s="73" t="s">
        <v>71</v>
      </c>
      <c r="L13" s="69">
        <f>세출예산서!H276</f>
        <v>6142</v>
      </c>
      <c r="M13" s="69">
        <f>세출예산서!I276</f>
        <v>3913</v>
      </c>
      <c r="N13" s="348">
        <f>세출예산서!J276</f>
        <v>-2229</v>
      </c>
    </row>
    <row r="14" spans="1:21" s="98" customFormat="1" ht="36" customHeight="1">
      <c r="A14" s="87"/>
      <c r="B14" s="88"/>
      <c r="C14" s="88"/>
      <c r="D14" s="88"/>
      <c r="E14" s="75"/>
      <c r="F14" s="75"/>
      <c r="G14" s="75"/>
      <c r="H14" s="81" t="s">
        <v>334</v>
      </c>
      <c r="I14" s="89" t="s">
        <v>335</v>
      </c>
      <c r="J14" s="73" t="s">
        <v>336</v>
      </c>
      <c r="K14" s="73" t="s">
        <v>335</v>
      </c>
      <c r="L14" s="69">
        <f>세출예산서!H289</f>
        <v>1000</v>
      </c>
      <c r="M14" s="69">
        <f>세출예산서!I289</f>
        <v>0</v>
      </c>
      <c r="N14" s="348">
        <f>세출예산서!J289</f>
        <v>-1000</v>
      </c>
    </row>
    <row r="15" spans="1:21" s="98" customFormat="1" ht="36" customHeight="1">
      <c r="A15" s="81"/>
      <c r="B15" s="89"/>
      <c r="C15" s="88"/>
      <c r="D15" s="88"/>
      <c r="E15" s="90"/>
      <c r="F15" s="90"/>
      <c r="G15" s="91"/>
      <c r="H15" s="84" t="s">
        <v>337</v>
      </c>
      <c r="I15" s="73" t="s">
        <v>338</v>
      </c>
      <c r="J15" s="73" t="s">
        <v>336</v>
      </c>
      <c r="K15" s="74" t="s">
        <v>339</v>
      </c>
      <c r="L15" s="69">
        <f>세출예산서!H297</f>
        <v>0</v>
      </c>
      <c r="M15" s="69">
        <f>세출예산서!I297</f>
        <v>0</v>
      </c>
      <c r="N15" s="348">
        <f>세출예산서!J297</f>
        <v>0</v>
      </c>
    </row>
    <row r="16" spans="1:21" s="98" customFormat="1" ht="36" customHeight="1">
      <c r="A16" s="87"/>
      <c r="B16" s="88"/>
      <c r="C16" s="88"/>
      <c r="D16" s="88"/>
      <c r="E16" s="90"/>
      <c r="F16" s="90"/>
      <c r="G16" s="91"/>
      <c r="H16" s="84"/>
      <c r="I16" s="82"/>
      <c r="J16" s="82"/>
      <c r="K16" s="82"/>
      <c r="L16" s="78"/>
      <c r="M16" s="78"/>
      <c r="N16" s="92"/>
    </row>
    <row r="17" spans="1:14" s="98" customFormat="1" ht="36" customHeight="1" thickBot="1">
      <c r="A17" s="1663" t="s">
        <v>340</v>
      </c>
      <c r="B17" s="1664"/>
      <c r="C17" s="1664"/>
      <c r="D17" s="1664"/>
      <c r="E17" s="347">
        <f>SUM(E4:E16)</f>
        <v>353968</v>
      </c>
      <c r="F17" s="347">
        <f>SUM(F4:F16)</f>
        <v>369513</v>
      </c>
      <c r="G17" s="347">
        <f>SUM(G4:G16)</f>
        <v>15545</v>
      </c>
      <c r="H17" s="1663" t="s">
        <v>341</v>
      </c>
      <c r="I17" s="1664"/>
      <c r="J17" s="1664"/>
      <c r="K17" s="1664"/>
      <c r="L17" s="347">
        <f>SUM(L4:L16)</f>
        <v>353968</v>
      </c>
      <c r="M17" s="347">
        <f>SUM(M4:M16)</f>
        <v>369513</v>
      </c>
      <c r="N17" s="93">
        <f>SUM(N4:N16)</f>
        <v>15545</v>
      </c>
    </row>
    <row r="18" spans="1:14" s="98" customFormat="1">
      <c r="A18" s="94"/>
      <c r="B18" s="94"/>
      <c r="C18" s="94"/>
      <c r="D18" s="94"/>
      <c r="E18" s="94"/>
      <c r="F18" s="94"/>
      <c r="G18" s="95"/>
      <c r="H18" s="95"/>
      <c r="I18" s="95"/>
      <c r="J18" s="95"/>
      <c r="K18" s="95"/>
      <c r="L18" s="1658" t="str">
        <f>표지!B9</f>
        <v>한마음데이케어센터</v>
      </c>
      <c r="M18" s="1658"/>
      <c r="N18" s="1658"/>
    </row>
    <row r="19" spans="1:14">
      <c r="F19" s="96"/>
    </row>
  </sheetData>
  <sheetProtection algorithmName="SHA-512" hashValue="6I00sWhXR5+imd2+6Lm0Cc67rX4DrA58sHD5Z4P5dsXAhdPXshPYyJCBPFozpsaqcRrmwexfWhEJuhB36K72Wg==" saltValue="4bX7t2fGmY+LHaoxlGOjmQ==" spinCount="100000" sheet="1" objects="1" scenarios="1"/>
  <mergeCells count="8">
    <mergeCell ref="L18:N18"/>
    <mergeCell ref="A1:N1"/>
    <mergeCell ref="A3:B3"/>
    <mergeCell ref="C3:D3"/>
    <mergeCell ref="H3:I3"/>
    <mergeCell ref="J3:K3"/>
    <mergeCell ref="A17:D17"/>
    <mergeCell ref="H17:K17"/>
  </mergeCells>
  <phoneticPr fontId="1" type="noConversion"/>
  <pageMargins left="0.7" right="0.7" top="0.75" bottom="0.75" header="0.3" footer="0.3"/>
  <pageSetup paperSize="9" scale="47" orientation="portrait" verticalDpi="300" r:id="rId1"/>
  <ignoredErrors>
    <ignoredError sqref="C5:N16 C4:K4 M4:N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16</vt:i4>
      </vt:variant>
      <vt:variant>
        <vt:lpstr>이름 지정된 범위</vt:lpstr>
      </vt:variant>
      <vt:variant>
        <vt:i4>8</vt:i4>
      </vt:variant>
    </vt:vector>
  </HeadingPairs>
  <TitlesOfParts>
    <vt:vector size="24" baseType="lpstr">
      <vt:lpstr>데이터입력</vt:lpstr>
      <vt:lpstr>예산평균</vt:lpstr>
      <vt:lpstr>예산실적비교표</vt:lpstr>
      <vt:lpstr>예산업로드양식</vt:lpstr>
      <vt:lpstr>추경예산업로드양식(희망이음)</vt:lpstr>
      <vt:lpstr>예산작성자료(추경,다음년도)</vt:lpstr>
      <vt:lpstr>표지</vt:lpstr>
      <vt:lpstr>예산총칙</vt:lpstr>
      <vt:lpstr>총괄표</vt:lpstr>
      <vt:lpstr>세입예산서</vt:lpstr>
      <vt:lpstr>세출예산서</vt:lpstr>
      <vt:lpstr>보수일람표</vt:lpstr>
      <vt:lpstr>인건비,생계비현황</vt:lpstr>
      <vt:lpstr>차입금사전신고서</vt:lpstr>
      <vt:lpstr>운영충당적립금 계획서</vt:lpstr>
      <vt:lpstr>시설환경개선준비금 계획서</vt:lpstr>
      <vt:lpstr>보수일람표!Print_Area</vt:lpstr>
      <vt:lpstr>세입예산서!Print_Area</vt:lpstr>
      <vt:lpstr>세출예산서!Print_Area</vt:lpstr>
      <vt:lpstr>예산실적비교표!Print_Area</vt:lpstr>
      <vt:lpstr>예산총칙!Print_Area</vt:lpstr>
      <vt:lpstr>'인건비,생계비현황'!Print_Area</vt:lpstr>
      <vt:lpstr>총괄표!Print_Area</vt:lpstr>
      <vt:lpstr>표지!Print_Area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이홍섭</dc:creator>
  <cp:lastModifiedBy>재무 베스트</cp:lastModifiedBy>
  <cp:lastPrinted>2023-12-07T00:49:25Z</cp:lastPrinted>
  <dcterms:created xsi:type="dcterms:W3CDTF">2022-04-13T03:13:46Z</dcterms:created>
  <dcterms:modified xsi:type="dcterms:W3CDTF">2023-12-07T04:12:41Z</dcterms:modified>
</cp:coreProperties>
</file>